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1" sheetId="28" r:id="rId31"/>
    <sheet state="visible" name="ID10"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calcPr/>
  <extLst>
    <ext uri="GoogleSheetsCustomDataVersion2">
      <go:sheetsCustomData xmlns:go="http://customooxmlschemas.google.com/" r:id="rId40" roundtripDataChecksum="nP6366dXTdcirTwvOGt31xl0basn72Hga1KLUdiz2H4="/>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E685">
      <text>
        <t xml:space="preserve">======
ID#AAABP5nLGyw
Cristina    (2024-05-21 19:35:48)
Cristina:</t>
      </text>
    </comment>
  </commentList>
  <extLst>
    <ext uri="GoogleSheetsCustomDataVersion2">
      <go:sheetsCustomData xmlns:go="http://customooxmlschemas.google.com/" r:id="rId1" roundtripDataSignature="AMtx7mhLgk4vxYDB7tw/ssbacRwTRYvPXA=="/>
    </ext>
  </extLst>
</comments>
</file>

<file path=xl/sharedStrings.xml><?xml version="1.0" encoding="utf-8"?>
<sst xmlns="http://schemas.openxmlformats.org/spreadsheetml/2006/main" count="43737" uniqueCount="13090">
  <si>
    <t>Facultate:</t>
  </si>
  <si>
    <t>Inginerie</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</si>
  <si>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</si>
  <si>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</si>
  <si>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</si>
  <si>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</si>
  <si>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</si>
  <si>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</si>
  <si>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</si>
  <si>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01.01.2023</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</si>
  <si>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</si>
  <si>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</si>
  <si>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</si>
  <si>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</si>
  <si>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</si>
  <si>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</si>
  <si>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</si>
  <si>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</si>
  <si>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</si>
  <si>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</si>
  <si>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</si>
  <si>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</si>
  <si>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</si>
  <si>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</si>
  <si>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</si>
  <si>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</si>
  <si>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</si>
  <si>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</si>
  <si>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</si>
  <si>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</si>
  <si>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</si>
  <si>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</si>
  <si>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</si>
  <si>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</si>
  <si>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</si>
  <si>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</si>
  <si>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</si>
  <si>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</si>
  <si>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</si>
  <si>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</si>
  <si>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</si>
  <si>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</si>
  <si>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</si>
  <si>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</si>
  <si>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</si>
  <si>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</si>
  <si>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</si>
  <si>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</si>
  <si>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</si>
  <si>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</si>
  <si>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</si>
  <si>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Breaz Radu</t>
  </si>
  <si>
    <t>FING4</t>
  </si>
  <si>
    <t>prof.dr.ing. – conducător de doctorat</t>
  </si>
  <si>
    <t>Florea Adriana</t>
  </si>
  <si>
    <t>prof.dr.ing.</t>
  </si>
  <si>
    <t>Florea Radu</t>
  </si>
  <si>
    <t>Manolea Daniel</t>
  </si>
  <si>
    <t>Oleksik Valentin</t>
  </si>
  <si>
    <t>Pascu Adrian-Marius</t>
  </si>
  <si>
    <t>Racz Sever Gabriel</t>
  </si>
  <si>
    <t>Avrigean Eugen</t>
  </si>
  <si>
    <t>conf.dr.ing. – conducător de doctorat</t>
  </si>
  <si>
    <t xml:space="preserve">Chicea Anca </t>
  </si>
  <si>
    <t>conf.dr.ing.</t>
  </si>
  <si>
    <t>Coman Diana</t>
  </si>
  <si>
    <t>Girjob Claudia Emilia</t>
  </si>
  <si>
    <t>Popp Ilie Octavian</t>
  </si>
  <si>
    <t>Biris Cristina-Maria</t>
  </si>
  <si>
    <t>s.l.dr.ing.</t>
  </si>
  <si>
    <t>Brad Raluca Irina</t>
  </si>
  <si>
    <t>Chiliban Bogdan</t>
  </si>
  <si>
    <t>Coldea Alina</t>
  </si>
  <si>
    <t>Crenganis Mihai</t>
  </si>
  <si>
    <t>Dumitrascu Oana</t>
  </si>
  <si>
    <t>Florea Marin</t>
  </si>
  <si>
    <t>Iridon Anca Madalina</t>
  </si>
  <si>
    <t>Matran Cristian</t>
  </si>
  <si>
    <t>Soare Sorin</t>
  </si>
  <si>
    <t>Burghelea Melania</t>
  </si>
  <si>
    <t>Vlad Dorin</t>
  </si>
  <si>
    <t>Vrinceanu Narcisa</t>
  </si>
  <si>
    <t>Barsan Alexandru</t>
  </si>
  <si>
    <t>asist.dr.ing.</t>
  </si>
  <si>
    <t>Maroșan Iosif Adrian</t>
  </si>
  <si>
    <t>Morariu Fineas</t>
  </si>
  <si>
    <t>asist.drd.ing.</t>
  </si>
  <si>
    <t>Baiasu Petrascu Olivia</t>
  </si>
  <si>
    <t>Bleotul Robert Marian</t>
  </si>
  <si>
    <t>Rusu Dan Mihai</t>
  </si>
  <si>
    <t>Rusu Gabriela</t>
  </si>
  <si>
    <t>Popp Mihai</t>
  </si>
  <si>
    <t>Preda Cosmin</t>
  </si>
  <si>
    <t>BĂDESCU Mircea</t>
  </si>
  <si>
    <t>FING3</t>
  </si>
  <si>
    <t>Prof</t>
  </si>
  <si>
    <t>BARB Carmen</t>
  </si>
  <si>
    <t>Șl</t>
  </si>
  <si>
    <t>BEJU Livia Dana</t>
  </si>
  <si>
    <t>BONDREA Ioan</t>
  </si>
  <si>
    <t>BRATU MIHAELA</t>
  </si>
  <si>
    <t>BRĂNESCU HORIA</t>
  </si>
  <si>
    <t xml:space="preserve">BUTĂNESCU – VOLANIN Remus </t>
  </si>
  <si>
    <t>Lect</t>
  </si>
  <si>
    <t>CIOCA Lucian</t>
  </si>
  <si>
    <t>CIOCA Marius</t>
  </si>
  <si>
    <t xml:space="preserve">CIOFU Cristian Florin </t>
  </si>
  <si>
    <t>COFARU Nicolae Florin</t>
  </si>
  <si>
    <t>DAN Nicoleta</t>
  </si>
  <si>
    <t>DEAC Cristian</t>
  </si>
  <si>
    <t>Conf</t>
  </si>
  <si>
    <t>DENEŞ Călin Ionel</t>
  </si>
  <si>
    <t>DOBROTĂ Dan</t>
  </si>
  <si>
    <t>DUMITRAŞCU BALDAU Iulia</t>
  </si>
  <si>
    <t>DUMITRAŞCU Dănuţ-Dumitru</t>
  </si>
  <si>
    <t>FĂLĂDĂU Alina</t>
  </si>
  <si>
    <t>FLEISCHER Wiegand</t>
  </si>
  <si>
    <t>FOIDAŞ Ion</t>
  </si>
  <si>
    <t>GRECU Valentin</t>
  </si>
  <si>
    <t>INŢĂ Marinela</t>
  </si>
  <si>
    <t>ISARIE Claudiu Laurenţiu</t>
  </si>
  <si>
    <t>KIFOR Claudiu</t>
  </si>
  <si>
    <t>LOBONŢ Lucian</t>
  </si>
  <si>
    <t>LUPU Diana</t>
  </si>
  <si>
    <t>Asist</t>
  </si>
  <si>
    <t>MIRICESCU Dan</t>
  </si>
  <si>
    <t>MORARU Gina</t>
  </si>
  <si>
    <t>MUȚIU CĂLIN</t>
  </si>
  <si>
    <t>OLEKSIK Mihaela</t>
  </si>
  <si>
    <t>PETRUSE Radu Emanuil</t>
  </si>
  <si>
    <t>PÎRVU Bogdan</t>
  </si>
  <si>
    <t>POPA Daniela</t>
  </si>
  <si>
    <t>POPESCU Liliana</t>
  </si>
  <si>
    <t>PRODEA Laurenţiu</t>
  </si>
  <si>
    <t>PURCAR Carmen</t>
  </si>
  <si>
    <t>ROŞCA Liviu Ion</t>
  </si>
  <si>
    <t>ROŞCA Nicolae</t>
  </si>
  <si>
    <t>ROTARU Ionela</t>
  </si>
  <si>
    <t>ROTARU Mihaela</t>
  </si>
  <si>
    <t>SĂVESCU Roxana</t>
  </si>
  <si>
    <t>SIMION Carmen Mihaela</t>
  </si>
  <si>
    <t>STOICA Augustin</t>
  </si>
  <si>
    <t>ŞTEŢIU Mircea</t>
  </si>
  <si>
    <t>TARNU Lucian</t>
  </si>
  <si>
    <t>ŢÎŢU Mihail</t>
  </si>
  <si>
    <t>ZERBEŞ Mihai Victor</t>
  </si>
  <si>
    <t>VOLOVICI Daniel</t>
  </si>
  <si>
    <t>FING2</t>
  </si>
  <si>
    <t>Prof (Cd. Doc)</t>
  </si>
  <si>
    <t>BRAD Remus Ovidiu</t>
  </si>
  <si>
    <t>VINTAN Maria</t>
  </si>
  <si>
    <t>Prof.</t>
  </si>
  <si>
    <t>ZAMFIRESCU Bălă - Constantin</t>
  </si>
  <si>
    <t>FLOREA Adrian</t>
  </si>
  <si>
    <t>Bogdan Mihai</t>
  </si>
  <si>
    <t>Baciu Rodica</t>
  </si>
  <si>
    <t>BREAZU Macarie</t>
  </si>
  <si>
    <t>CREŢULESCU Radu George</t>
  </si>
  <si>
    <t>MORARIU Ionel Daniel</t>
  </si>
  <si>
    <t>GELLERT Arpad</t>
  </si>
  <si>
    <t>Conf.</t>
  </si>
  <si>
    <t>BUTEAN Vasile Alexandru</t>
  </si>
  <si>
    <t>CIUREA Stelian</t>
  </si>
  <si>
    <t>Sef lucrari</t>
  </si>
  <si>
    <t>ILIE Constantin Beriliu</t>
  </si>
  <si>
    <t>COFARU Ileana Ioana</t>
  </si>
  <si>
    <t>CRĂCIUNAŞ Gabriela</t>
  </si>
  <si>
    <t>STĂNESCU Dorel Mircea</t>
  </si>
  <si>
    <t>BOULEAN Paraschiv Iulian</t>
  </si>
  <si>
    <t>SPĂTARI Ovidiu Nicolae</t>
  </si>
  <si>
    <t>VIOREL Alina Cristina</t>
  </si>
  <si>
    <t>PITIC Antoniu Gabriel</t>
  </si>
  <si>
    <t>NEGHINĂ Mihai</t>
  </si>
  <si>
    <t>NEGHINĂ Elena Cătălina</t>
  </si>
  <si>
    <t>DIODIU Ioan Lucian</t>
  </si>
  <si>
    <t>CHIŞ Radu</t>
  </si>
  <si>
    <t>DOROBANŢIU Alexandru</t>
  </si>
  <si>
    <t>CRĂCIUNEAN Daniel Cristian</t>
  </si>
  <si>
    <t>MUNTEAN Vasile Horia</t>
  </si>
  <si>
    <t>BARGLAZAN Adrian Alin</t>
  </si>
  <si>
    <t>CONSTANTINESCU Constantin</t>
  </si>
  <si>
    <t>Bibu Marius</t>
  </si>
  <si>
    <t>FING 3</t>
  </si>
  <si>
    <t>RENTEA Cornel Dan</t>
  </si>
  <si>
    <t>PANU Mihai Gheorghe</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</si>
  <si>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</si>
  <si>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</si>
  <si>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</si>
  <si>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</si>
  <si>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</si>
  <si>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</si>
  <si>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</si>
  <si>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</si>
  <si>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</si>
  <si>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</si>
  <si>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</si>
  <si>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</si>
  <si>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</si>
  <si>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</si>
  <si>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t>* Punctaje de referință:                                                                                                                                                                                                                                                                                                          
•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Drept, pentru toate publicațiile se aplică un coeficient de multiplicare de 2; coeficientul se aplică doar pentru lucrările din domeniul respectiv, nu și pentru publicațiile în alte domenii sau pentru cele cu caracter inter- sau multidisciplinar.</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</si>
  <si>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</si>
  <si>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</si>
  <si>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</si>
  <si>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</si>
  <si>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</si>
  <si>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</si>
  <si>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</si>
  <si>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</si>
  <si>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</si>
  <si>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</si>
  <si>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</si>
  <si>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</si>
  <si>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</si>
  <si>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</si>
  <si>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</si>
  <si>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</si>
  <si>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</si>
  <si>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</si>
  <si>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</si>
  <si>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</si>
  <si>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</si>
  <si>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</si>
  <si>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</si>
  <si>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Minimizing the Main Strains and Thickness Reduction in the Single Point Incremental Forming Process of Polyamide and High-Density Polyethylene Sheets</t>
  </si>
  <si>
    <t>ROSCA, N. (ULBS), OLEKSIK, M. (ULBS), ROSCA, L. (ULBS), AVRIGEAN, E., (ULBS), TRZEPIECINSKI, T. (Rzeszow University of Technology), NAJM, S.M. (Northern Tech Univ., Irak) &amp; OLEKSIK, V. (ULBS)</t>
  </si>
  <si>
    <t>Materials</t>
  </si>
  <si>
    <t>1996-1944</t>
  </si>
  <si>
    <t>https://www.webofscience.com/wos/woscc/full-record/WOS:000941590100001</t>
  </si>
  <si>
    <t>https://www.mdpi.com/1996-1944/16/4/1644</t>
  </si>
  <si>
    <t>DOI:10.3390/ma16041644</t>
  </si>
  <si>
    <t>WOS:000941590100001</t>
  </si>
  <si>
    <t>1644</t>
  </si>
  <si>
    <t>Q1</t>
  </si>
  <si>
    <t>Eco-Design of Polymer Matrix Composite Parts: A Review</t>
  </si>
  <si>
    <t>Lazăr, S.; Dobrotă, D.; Breaz, R.-E.; Racz, S.-G</t>
  </si>
  <si>
    <t>Polymers</t>
  </si>
  <si>
    <t>2073-4360</t>
  </si>
  <si>
    <t>https://1510qk5d7-y-https-www-webofscience-com.z.e-nformation.ro/wos/woscc/full-record/WOS:001061188300001</t>
  </si>
  <si>
    <t>https://www.mdpi.com/2073-4360/15/17/3634</t>
  </si>
  <si>
    <t>https://doi.org/10.3390/polym15173634</t>
  </si>
  <si>
    <t>WOS:001061188300001</t>
  </si>
  <si>
    <t>1-21</t>
  </si>
  <si>
    <t>Q1 (https://uefiscdi.gov.ro/resource-866136-clasament.ais.jcr.2021.pdf (pagina 423, linia 35)</t>
  </si>
  <si>
    <t>Experimental Research on Wolfram Inert Gas AA1050 Aluminum Alloy Tailor Welded Blanks Processed by Single Point Incremental Forming Process</t>
  </si>
  <si>
    <t>Rusu, G.-P.; Breaz, R.-E.; Popp, M.-O.; Oleksik, V.; Racz, S.-G. </t>
  </si>
  <si>
    <t>https://1510qk5d7-y-https-www-webofscience-com.z.e-nformation.ro/wos/woscc/full-record/WOS:001081829900001</t>
  </si>
  <si>
    <t>https://www.mdpi.com/1996-1944/16/19/6408</t>
  </si>
  <si>
    <t>https://doi.org/10.3390/ma16196408</t>
  </si>
  <si>
    <t>WOS:001081829900001</t>
  </si>
  <si>
    <t>Q1 (https://uefiscdi.gov.ro/resource-866136-clasament.ais.jcr.2021.pdf (pagina 330, linia 30)</t>
  </si>
  <si>
    <t>Evaluation of the dimensional accuracy through 3D optical scanning in incremental sheet forming</t>
  </si>
  <si>
    <t>Bârsan, Alexandru
Racz, Sever-Gabriel
Breaz, Radu
Crenganiş, Mihai</t>
  </si>
  <si>
    <t>Materials Today: Proceedings</t>
  </si>
  <si>
    <t>2214-7853</t>
  </si>
  <si>
    <t>https://www.sciencedirect.com/science/article/pii/S2214785323012178?via%3Dihub</t>
  </si>
  <si>
    <t>https://www.scopus.com/record/display.uri?eid=2-s2.0-85151430561&amp;origin=resultslist&amp;sort=plf-f</t>
  </si>
  <si>
    <t xml:space="preserve">https://doi.org/10.1016/j.matpr.2023.03.175 </t>
  </si>
  <si>
    <t>-</t>
  </si>
  <si>
    <t xml:space="preserve"> 594-598</t>
  </si>
  <si>
    <t>Scopus</t>
  </si>
  <si>
    <t>Monitoring the current provided by a Hall sensor integrated in a drive
wheel module of a mobile robot</t>
  </si>
  <si>
    <t>George Constantin, Iosif Adrian Maroșan *, Mihai Crenganiș, Corina
Botez, Claudia Emilia Gîrjob, Cristina Maria Biriș, Anca Lucia Chicea,
Alexandru Bârsan</t>
  </si>
  <si>
    <t>Machines</t>
  </si>
  <si>
    <t xml:space="preserve"> ISSN: 2075-1702</t>
  </si>
  <si>
    <t>https://www.webofscience.com/wos/woscc/full-record/WOS:000960072900001</t>
  </si>
  <si>
    <t>https://www.mdpi.com/2075-1702/11/3/385</t>
  </si>
  <si>
    <t xml:space="preserve">https://doi.org/10.3390/machines11030385 </t>
  </si>
  <si>
    <t>WOS:000960072900001</t>
  </si>
  <si>
    <t>385</t>
  </si>
  <si>
    <t>Q2</t>
  </si>
  <si>
    <r>
      <rPr>
        <rFont val="Arial Narrow"/>
        <color theme="1"/>
        <sz val="10.0"/>
      </rPr>
      <t>Bârsan, A.</t>
    </r>
    <r>
      <rPr>
        <rFont val="Arial Narrow"/>
        <color rgb="FF323232"/>
        <sz val="10.0"/>
      </rPr>
      <t>, Racz, S.-G., Breaz, R., Crenganis, M.</t>
    </r>
  </si>
  <si>
    <t>ISSN:
221478533</t>
  </si>
  <si>
    <t>https://www.scopus.com/record/display.uri?eid=2-s2.0-85151430561&amp;origin=resultslist&amp;sort=plf-f&amp;src=s&amp;sid=1a5210474ee3bc9b1b363ede044ae537&amp;sot=a&amp;sdt=a&amp;s=AU-ID%2842861335100%29+AND+PUBYEAR+IS+2023&amp;sl=38&amp;sessionSearchId=1a5210474ee3bc9b1b363ede044ae537&amp;relpos=1</t>
  </si>
  <si>
    <t>10.1016/j.matpr.2023.03.175</t>
  </si>
  <si>
    <t>594 - 598</t>
  </si>
  <si>
    <t>DOI: 10.3390/ma16041644</t>
  </si>
  <si>
    <t>RUSU, G.P., BREAZ, R.E., POPP, M.O., OLEKSIK, V., RACZ, S.G. (toți ULBS)</t>
  </si>
  <si>
    <t>https://www.webofscience.com/wos/woscc/full-record/WOS:001081829900001</t>
  </si>
  <si>
    <t>DOI: 10.3390/ma16196408</t>
  </si>
  <si>
    <t>6408</t>
  </si>
  <si>
    <t>Student perceptions of remote learning transitions in engineering disciplines during the COVID-19 pandemic: a cross-national study</t>
  </si>
  <si>
    <t>BEHERA, A.K. (Univ Chester, Exton Pk, England), DE SOUSA, R.A. (Univ Aveiro, Portugal), OLEKSIK, V. (ULBS), DONG, J. (North Carolina State Univ, USA), FRITZEN, D. (SATC Coll, Brazil)</t>
  </si>
  <si>
    <t>European Journal of Engineering Education</t>
  </si>
  <si>
    <t>1469-5898</t>
  </si>
  <si>
    <t>https://www.webofscience.com/wos/woscc/full-record/WOS:000807049000001</t>
  </si>
  <si>
    <t>https://www.tandfonline.com/doi/full/10.1080/03043797.2022.2080529</t>
  </si>
  <si>
    <t>DOI: 10.1080/03043797.2022.2080529</t>
  </si>
  <si>
    <t>WOS:000807049000001</t>
  </si>
  <si>
    <t>110-142</t>
  </si>
  <si>
    <t>ESCI</t>
  </si>
  <si>
    <t>Monitoring the Current Provided by a Hall Sensor Integrated in a Drive Wheel Module of a Mobile Robot</t>
  </si>
  <si>
    <t>Maroșan, A.; Crenganiș, M.; Bârsan, A.; Gîrjob, C.-E.; Biriș, C.-M.;  (Departamentul de Mașini și Echipamente Industriale, Facultatea de Inginerie, Universitatea Lucian Blaga din Sibiu, Victoriei 10, 550024 Sibiu, România) Constantin, C.(Department of Robots and Manufacturing Systems, Faculty of Industrial Engineering and Robotics, University Politehnica of Bucharest, Spl. Independentei 303, 060042 Bucharest, Romania) Botez, C. (Department of Engineering Graphics and Industrial Design, Faculty of Aerospace Engineering, University Politehnica of Bucharest, Spl. Independentei 303, 060042 Bucharest, Romania)</t>
  </si>
  <si>
    <t xml:space="preserve">MDPI- Machines </t>
  </si>
  <si>
    <t>2075-1702</t>
  </si>
  <si>
    <t>https://1510qdtro-y-https-www-webofscience-com.z.e-nformation.ro/wos/woscc/full-record/WOS:000960072900001</t>
  </si>
  <si>
    <t>https://doi.org/10.3390/machines11030385</t>
  </si>
  <si>
    <t>Marosan Iosif Adrian</t>
  </si>
  <si>
    <t>Gabriela-Petruța Rusu, Radu-Eugen Breaz, Mihai-Octavian Popp, Valentin Oleksik, Sever-Gabriel Racz  (ULBS)</t>
  </si>
  <si>
    <t>MATERIALS</t>
  </si>
  <si>
    <t>10.3390/ma16196408</t>
  </si>
  <si>
    <t>21 pagini</t>
  </si>
  <si>
    <t>Dynamic study through numerical simulations of MacPherson suspension and static analysis of shock absorber components</t>
  </si>
  <si>
    <t>Preda Cosmin (ULBS), Bleotu Robert-Marian (ULBS), Pinca Bretotean-Camelia (UPT)</t>
  </si>
  <si>
    <t>Journal of Physics: Conference Series</t>
  </si>
  <si>
    <t>1742-6596</t>
  </si>
  <si>
    <t xml:space="preserve">SCOPUS </t>
  </si>
  <si>
    <t>IOP Science</t>
  </si>
  <si>
    <t>10.1088/1742-6596/2540/1/012022</t>
  </si>
  <si>
    <t>1-15</t>
  </si>
  <si>
    <t>ICAS 2022</t>
  </si>
  <si>
    <t>Bosnia-Hertegovina</t>
  </si>
  <si>
    <t>Study and analysis of sandwich panels for use in the construction of cabin roofs used on construction equipment</t>
  </si>
  <si>
    <t xml:space="preserve">Bleotu Robert-Marian (ULBS), Preda Cosmin (ULBS) </t>
  </si>
  <si>
    <t>1742-6597</t>
  </si>
  <si>
    <t>SCOPUS</t>
  </si>
  <si>
    <t>10.1088/1742-6596/2540/1/012031</t>
  </si>
  <si>
    <t>1-16</t>
  </si>
  <si>
    <t>Mapping Smart Materials' Literature: An Insight between 1990 and 2022</t>
  </si>
  <si>
    <t>Petrașcu, R.M.; Racz, S.-G.; Rusu, D.-M.</t>
  </si>
  <si>
    <t>Sustainability</t>
  </si>
  <si>
    <t>2071-1050</t>
  </si>
  <si>
    <t>https://1510qkv2a-y-https-www-webofscience-com.z.e-nformation.ro/wos/woscc/full-record/WOS:001089466600001</t>
  </si>
  <si>
    <t>https://www.mdpi.com/2071-1050/15/20/15143</t>
  </si>
  <si>
    <t>https://doi.org/10.3390/su152015143</t>
  </si>
  <si>
    <t>WOS:001089466600001</t>
  </si>
  <si>
    <t>1-17</t>
  </si>
  <si>
    <t>A Wearable Device for Upper Limb Rehabilitation and Assistance Based on Fluid Actuators and Myoelectric Control.</t>
  </si>
  <si>
    <t>Biriș, C.-M.; Racz, S.-G.; Gîrjob, C.-E.; Grovu, R.-D.; Rusu, D.-M. </t>
  </si>
  <si>
    <t>Applied Sciences</t>
  </si>
  <si>
    <t>2076-3417</t>
  </si>
  <si>
    <t>https://1510qkv2a-y-https-www-webofscience-com.z.e-nformation.ro/wos/woscc/full-record/WOS:001145085600001</t>
  </si>
  <si>
    <t>https://www.mdpi.com/2076-3417/13/18/10181</t>
  </si>
  <si>
    <t>https://doi.org/10.3390/app131810181</t>
  </si>
  <si>
    <t>WOS:001145085600001</t>
  </si>
  <si>
    <t>1-14</t>
  </si>
  <si>
    <t>Mobile robot vision navigation strategy based on Pixy2 camera</t>
  </si>
  <si>
    <t>Morariu, F. , Morariu, T. , Racz, S.-G.</t>
  </si>
  <si>
    <t>https://15109kv3o-y-https-www-scopus-com.z.e-nformation.ro/record/display.uri?eid=2-s2.0-85156272445&amp;origin=resultslist&amp;sort=plf-f&amp;src=s&amp;st1=racz&amp;st2=gabriel&amp;nlo=1&amp;nlr=20&amp;nls=afprfnm-t&amp;sid=8c67653d6f174c5b862db57635bd26a1&amp;sot=anl&amp;sdt=aut&amp;sl=40&amp;s=AU-ID%28%22Racz%2c+Sever+Gabriel%22+57215866756%29&amp;relpos=3&amp;citeCnt=1&amp;searchTerm=</t>
  </si>
  <si>
    <t>https://doi.org/10.1016/j.matpr.2023.04.327</t>
  </si>
  <si>
    <t>636-640</t>
  </si>
  <si>
    <t>38th Danubia-Adria Symposium on Advances in Experimental Mechanics</t>
  </si>
  <si>
    <t>Poros Island, Grecia</t>
  </si>
  <si>
    <t>ISSN 22147853</t>
  </si>
  <si>
    <t>38th Danubia-Adria Symposium on Advances in Experimental Mechanics-</t>
  </si>
  <si>
    <t>POROS Grecia</t>
  </si>
  <si>
    <t>Constantin G (UPB), Maroșan I-A, Crenganiș M, Botez C (UPB), Gîrjob C-E, Biriș C-M, Chicea A-L, Bârsan A.</t>
  </si>
  <si>
    <t xml:space="preserve">https://www.sciencedirect.com/science/article/pii/S2214785323012178?via%3Dihub </t>
  </si>
  <si>
    <t xml:space="preserve">https://www.scopus.com/record/display.uri?eid=2-s2.0-85151430561&amp;origin=resultslist&amp;sort=plf-f </t>
  </si>
  <si>
    <t xml:space="preserve">https://doi.org/10.1016/j.matpr.2023.03.175  </t>
  </si>
  <si>
    <t>Soft Robotics: A Systematic Review and Bibliometric Analysist</t>
  </si>
  <si>
    <t>Dan-Mihai Rusu, Silviu-Dan Mândru, Cristina-Maria Biriș, Olivia-Laura Petrașcu, Fineas Morariu, Alexandru Ianosi-Andreeva-Dimitrova</t>
  </si>
  <si>
    <t>Micromachines</t>
  </si>
  <si>
    <t>2072-666X</t>
  </si>
  <si>
    <t>https://www.webofscience.com/wos/woscc/full-record/WOS:000940554800001</t>
  </si>
  <si>
    <t>https://www.mdpi.com/2072-666X/14/2/359</t>
  </si>
  <si>
    <t>https://doi.org/10.3390/mi14020359</t>
  </si>
  <si>
    <t>WOS:000940554800001</t>
  </si>
  <si>
    <t xml:space="preserve"> Q2</t>
  </si>
  <si>
    <t>The Influence of Industrial Environmental Factors on Soft Robot Materials</t>
  </si>
  <si>
    <t>Rusu Dan Mihai (UTCN), Petrașcu Olivia-Laura (ULBS), Pascu Adrian Marius (ULBS), Mândru Silviu Dan (UTCN)</t>
  </si>
  <si>
    <t>https://www.webofscience.com/wos/woscc/full-record/WOS:000983142400001</t>
  </si>
  <si>
    <t>https://www.mdpi.com/1996-1944/16/8/2948</t>
  </si>
  <si>
    <t>10.3390/ma16082948</t>
  </si>
  <si>
    <t>WOS:000983142400001</t>
  </si>
  <si>
    <t xml:space="preserve"> Q1</t>
  </si>
  <si>
    <t>Comparative study of polyamide 6 (PA6) and polyamide 6 reinforced with 30% of glass fiber (PA6GF30)</t>
  </si>
  <si>
    <t>Petrascu Olivia-Laura, Pascu Adrian Marius</t>
  </si>
  <si>
    <t>625-629</t>
  </si>
  <si>
    <t>https://www.scopus.com/record/display.uri?eid=2-s2.0-85153105861&amp;origin=resultslist&amp;sort=plf-f&amp;src=s&amp;st1=Petrascu&amp;st2=Olivia-Laura&amp;nlo=1&amp;nlr=20&amp;nls=afprfnm-t&amp;sid=01e56eba26768dafda6bb90e6a0009fe&amp;sot=anl&amp;sdt=aut&amp;sl=43&amp;s=AU-ID%28%22Petra%c5%9fcu%2c+Olivia+Laura%22+57754980500%29&amp;relpos=2&amp;citeCnt=1&amp;searchTerm=</t>
  </si>
  <si>
    <t>10.1016/j.matpr.2023.04.112</t>
  </si>
  <si>
    <t>Rusu Dan Mihai (UTCN), Ptrașcu Olivia Laura (ULBS), Pascu Adrian Marius (ULBS), Mândru Silviu Dan (UTCN)</t>
  </si>
  <si>
    <t>2948-</t>
  </si>
  <si>
    <t>Study of implementation the tensile data of the glass fiber reinforced polyamide into the finite element analyses</t>
  </si>
  <si>
    <t>Nicolae Ștefănoaea, Adrian Marius Pascu</t>
  </si>
  <si>
    <t>https://www.scopus.com/record/display.uri?eid=2-s2.0-85182021284&amp;origin=resultslist</t>
  </si>
  <si>
    <t>https://www.sciencedirect.com/science/article/abs/pii/S2214785323034028</t>
  </si>
  <si>
    <t xml:space="preserve">10.1016/j.matpr.2023.06.026 </t>
  </si>
  <si>
    <t>736-742</t>
  </si>
  <si>
    <t>Olivia-Laura Petrașcu, Adrian Marius Pascu</t>
  </si>
  <si>
    <t>https://www.scopus.com/record/display.uri?eid=2-s2.0-85153105861&amp;origin=resultslist</t>
  </si>
  <si>
    <t>https://www.sciencedirect.com/science/article/abs/pii/S2214785323020072</t>
  </si>
  <si>
    <t>Gabriela-Petruța Rusu, Radu-Eugen Breaz, Mihai-Octavian Popp, Valentin Oleksik, Sever-Gabriel Racz</t>
  </si>
  <si>
    <t>Soft Robotics: A Systematic Review and Bibliometric Analysis</t>
  </si>
  <si>
    <t>Fineas Morariu, Timotei Morariu, Sever-Gabriel Racz</t>
  </si>
  <si>
    <t>https://www.sciencedirect.com/science/article/pii/S2214785323022289</t>
  </si>
  <si>
    <t>https://www.scopus.com/record/display.uri?eid=2-s2.0-85156272445&amp;origin=inward&amp;txGid=5022fb3787ce33ce0444b26e8f615145</t>
  </si>
  <si>
    <t>10.1016/j.matpr.2023.04.327</t>
  </si>
  <si>
    <t> 636-640</t>
  </si>
  <si>
    <t>A Fractional Perspective on the Dynamics of HIV, Considering the Interaction of Viruses and Immune System with the Effect of Antiretroviral Therapy</t>
  </si>
  <si>
    <t>Tang, TQ; Jan,R.; Ahmad, H.; Shah, ZH. ; Vrinceanu, N.; Racheriu, M.</t>
  </si>
  <si>
    <t>Journal of Nonlinear Mathematical Physics</t>
  </si>
  <si>
    <t>1402-9251</t>
  </si>
  <si>
    <t>https://1510qkk9d-y-https-www-webofscience-com.z.e-nformation.ro/wos/woscc/full-record/WOS:001041354500001</t>
  </si>
  <si>
    <t>https://link.springer.com/article/10.1007/s44198-023-00133-5</t>
  </si>
  <si>
    <t>10.1007/s44198-023-00133-5</t>
  </si>
  <si>
    <t>WOS:001041354500001</t>
  </si>
  <si>
    <t>1327-1344</t>
  </si>
  <si>
    <t>Q4</t>
  </si>
  <si>
    <t>Analysis of the dynamics of a vector-borne infection with the effect of imperfect vaccination from a fractional perspective</t>
  </si>
  <si>
    <t>Tang, TQ; Jan, R.; Khurshaid, A.; Shah, Z. ; Vrinceanu, N.; Racheriu, M.</t>
  </si>
  <si>
    <t>Scientific Reports</t>
  </si>
  <si>
    <t>2045-2322</t>
  </si>
  <si>
    <t>https://1510qkk9d-y-https-www-webofscience-com.z.e-nformation.ro/wos/woscc/full-record/WOS:001127153800012</t>
  </si>
  <si>
    <t>https://www.nature.com/articles/s41598-023-41440-7</t>
  </si>
  <si>
    <t>10.1038/s41598-023-41440-7</t>
  </si>
  <si>
    <t>WOS:001127153800012</t>
  </si>
  <si>
    <t>Computational analysis and biomechanical study of Oldroyd-B fluid with homogeneous and heterogeneous reactions through a vertical non-uniform channel</t>
  </si>
  <si>
    <t>Deebani, W.; Rooman, M.; Vrinceanu, N.; Shah, ZH.; Shutaywi, M.; Jeli, RAA.</t>
  </si>
  <si>
    <t>OPEN PHYSICS</t>
  </si>
  <si>
    <t>2391-5471</t>
  </si>
  <si>
    <t>https://1510qkncv-y-https-www-webofscience-com.z.e-nformation.ro/wos/woscc/full-record/WOS:001037121900001</t>
  </si>
  <si>
    <t>https://www.degruyter.com/document/doi/10.1515/phys-2022-0241/html?lang=en</t>
  </si>
  <si>
    <t>10.1515/phys-2022-0241</t>
  </si>
  <si>
    <t>WOS:001037121900001</t>
  </si>
  <si>
    <t>Q3</t>
  </si>
  <si>
    <t>Computational study and characteristics of magnetized gold-blood Oldroyd-B nanofluid flow and heat transfer in stenosis narrow arteries</t>
  </si>
  <si>
    <t>Tang, TQ; Rooman, M; Shah, ZH; Jan, MA; Vrinceanu, N; Racheriu, M</t>
  </si>
  <si>
    <t>JOURNAL OF MAGNETISM AND MAGNETIC MATERIALS</t>
  </si>
  <si>
    <t>1873-4766</t>
  </si>
  <si>
    <t>https://1510qkncv-y-https-www-webofscience-com.z.e-nformation.ro/wos/woscc/full-record/WOS:000926570500001</t>
  </si>
  <si>
    <t>https://www.sciencedirect.com/science/article/pii/S0304885323000975</t>
  </si>
  <si>
    <t>10.1016/j.jmmm.2023.170448</t>
  </si>
  <si>
    <t>WOS:000926570500001</t>
  </si>
  <si>
    <t>Darcy-Forchheimer Magnetized Nanofluid flow along with Heating and Dissipation Effects over a Shrinking Exponential Sheet with Stability Analysis</t>
  </si>
  <si>
    <t>Lund, LA; Chandio, AF; Vrinceanu, N. ; Yashkun, U; Shah, ZH. ; Alshehri, A.</t>
  </si>
  <si>
    <t>MICROMACHINES</t>
  </si>
  <si>
    <t>https://1510qkncv-y-https-www-webofscience-com.z.e-nformation.ro/wos/woscc/full-record/WOS:000916174800001</t>
  </si>
  <si>
    <t>https://www.mdpi.com/2072-666X/14/1/106</t>
  </si>
  <si>
    <t>10.3390/mi14010106</t>
  </si>
  <si>
    <t>WOS:000916174800001</t>
  </si>
  <si>
    <t>Dual solutions of convective rotating flow of three-dimensional hybrid nanofluid across the linear stretching/shrinking sheet</t>
  </si>
  <si>
    <t>Asghar, A.; Vrinceanu, N. ; Ying, TY. ; Lund, LA.; Shah, Z.; Tirth, V.</t>
  </si>
  <si>
    <t>ALEXANDRIA ENGINEERING JOURNAL</t>
  </si>
  <si>
    <t>1110-0168</t>
  </si>
  <si>
    <t>https://1510qkncv-y-https-www-webofscience-com.z.e-nformation.ro/wos/woscc/full-record/WOS:001016622200001</t>
  </si>
  <si>
    <t>https://www.sciencedirect.com/science/article/pii/S1110016823004568</t>
  </si>
  <si>
    <t>10.1016/j.aej.2023.05.089</t>
  </si>
  <si>
    <t>WOS:001016622200001</t>
  </si>
  <si>
    <t>297-312</t>
  </si>
  <si>
    <t>Entropy generation analysis on Darcy-Forchheimer Maxwell nanofluid flow past a porous stretching sheet with threshold Non-Fourier heat flux model and Joule heating</t>
  </si>
  <si>
    <t>Jameel, M ; Shah, ZH; Rooman, M ; Alshehri, MH ; Vrinceanu, N</t>
  </si>
  <si>
    <t>Case Studies in Thermal Engineering</t>
  </si>
  <si>
    <t>2214-157X</t>
  </si>
  <si>
    <t>https://1510qkk9d-y-https-www-webofscience-com.z.e-nformation.ro/wos/woscc/full-record/WOS:001119302700001</t>
  </si>
  <si>
    <t>https://www.sciencedirect.com/science/article/pii/S2214157X23010444</t>
  </si>
  <si>
    <t>10.1016/j.csite.2023.103738</t>
  </si>
  <si>
    <t>WOS:001119302700001</t>
  </si>
  <si>
    <t>Entropy generation in magneto couple stress bionanofluid flow containing gyrotactic microorganisms towards a stagnation point on a stretching/shrinking sheet</t>
  </si>
  <si>
    <t>Khan, MS; Shah, Z. ; Roman, M.; Khan, W.; Vrinceanu, N.; Alshehri, MH</t>
  </si>
  <si>
    <t>https://1510qkk9d-y-https-www-webofscience-com.z.e-nformation.ro/wos/woscc/full-record/WOS:001201688200001</t>
  </si>
  <si>
    <t>https://www.nature.com/articles/s41598-023-48676-3</t>
  </si>
  <si>
    <t>10.1038/s41598-023-48676-3</t>
  </si>
  <si>
    <t>WOS:001201688200001</t>
  </si>
  <si>
    <t>Intelligent computing with Levenberg-Marquardt artificial neural network for Carbon nanotubes-water between stretchable rotating disks</t>
  </si>
  <si>
    <t>Ali, F. ; Awais, M.; Ali, A.; Vrinceanu, N.; Shah, ZH.; Tirth, V</t>
  </si>
  <si>
    <t>https://1510qkncv-y-https-www-webofscience-com.z.e-nformation.ro/wos/woscc/full-record/WOS:000985158100012</t>
  </si>
  <si>
    <t>https://www.nature.com/articles/s41598-023-30936-x</t>
  </si>
  <si>
    <t>10.1038/s41598-023-30936-x</t>
  </si>
  <si>
    <t>WOS:000985158100012</t>
  </si>
  <si>
    <t>Magnetized mixed convection hybrid nanofluid with effect of heat generation/absorption and velocity slip condition</t>
  </si>
  <si>
    <t>Asghar, A.; Chandio, AF.; Shah, ZH.; Vrinceanu, N. ; Deebani, W. ; Shutaywi, M.; Lund, LA.</t>
  </si>
  <si>
    <t>HELIYON</t>
  </si>
  <si>
    <t>2405-8440</t>
  </si>
  <si>
    <t>https://1510qkncv-y-https-www-webofscience-com.z.e-nformation.ro/wos/woscc/full-record/WOS:000968543100001</t>
  </si>
  <si>
    <t>https://www.sciencedirect.com/science/article/pii/S2405844023003961</t>
  </si>
  <si>
    <t>10.1016/j.heliyon.2023.e13189</t>
  </si>
  <si>
    <t>WOS:000968543100001</t>
  </si>
  <si>
    <t>Modeling and analysis of the addiction of social media through fractional calculus</t>
  </si>
  <si>
    <t>Shutaywi, M (Shutaywi, Meshal) [1] ; Rehman, ZU (Rehman, Ziad Ur) [2] ; Shah, ZH (Shah, Zahir) [3] ; Vrinceanu, N (Vrinceanu, Narcisa) [4] ; Jan, RS (Jan, Rashid) [5] ; Deebani, W (Deebani, Wejdan) [1] ; Dumitrascu, O (Dumitrascu, Oana) [4]</t>
  </si>
  <si>
    <t>FRONTIERS IN APPLIED MATHEMATICS AND STATISTICS</t>
  </si>
  <si>
    <t>2297-4687</t>
  </si>
  <si>
    <t>https://1510qkk9d-y-https-www-webofscience-com.z.e-nformation.ro/wos/woscc/full-record/WOS:001053938300001</t>
  </si>
  <si>
    <t>https://www.frontiersin.org/articles/10.3389/fams.2023.1210404/full</t>
  </si>
  <si>
    <t>10.3389/fams.2023.1210404</t>
  </si>
  <si>
    <t>WOS:001053938300001</t>
  </si>
  <si>
    <t>Modeling and analysis of the transmission of avian spirochetosis with non-singular and non-local kernel</t>
  </si>
  <si>
    <t>Tang, TQ.; Rehman, ZU.; Shah, ZH.; Jan, RS.; Vrinceanu, N.; Racheriu, M.</t>
  </si>
  <si>
    <t>COMPUTER METHODS IN BIOMECHANICS AND BIOMEDICAL ENGINEERING</t>
  </si>
  <si>
    <t>1025-5842</t>
  </si>
  <si>
    <t>https://1510qkncv-y-https-www-webofscience-com.z.e-nformation.ro/wos/woscc/full-record/WOS:001000618000001</t>
  </si>
  <si>
    <t>https://www.tandfonline.com/doi/full/10.1080/10255842.2023.2213370</t>
  </si>
  <si>
    <t>10.1080/10255842.2023.2213370</t>
  </si>
  <si>
    <t>WOS:001000618000001</t>
  </si>
  <si>
    <t>905-917</t>
  </si>
  <si>
    <t>Multiple solutions of Hiemenz flow of CNTs hybrid base C2H6O2+ H2O nanofluid and heat transfer over stretching/shrinking surface: Stability analysis</t>
  </si>
  <si>
    <t>Dero, S.; Fadhel, MA.; Shah, ZH.; Lund, LA.; Vrinceanu, N.; Dewidar, AZ.; Elansary, HO.</t>
  </si>
  <si>
    <t>https://1510qkncv-y-https-www-webofscience-com.z.e-nformation.ro/wos/woscc/full-record/WOS:001034326400001</t>
  </si>
  <si>
    <t>https://1510aknvk-y-https-www-sciencedirect-com.z.e-nformation.ro/science/article/pii/S2214157X23004963?via%3Dihub</t>
  </si>
  <si>
    <t>10.1016/j.csite.2023.103190</t>
  </si>
  <si>
    <t>WOS:001034326400001</t>
  </si>
  <si>
    <t>Numerical study of magnetized Powell-Eyring hybrid nanomaterial flow with variable heat transfer in the presence of artificial bacteria: Applications for tumor removal and cancer cell destruction</t>
  </si>
  <si>
    <t>Tang, TQ. ; Rooman, M.; Shah, Z.; Khan, S.; Vrinceanu, N.; Alshehri, A. ; Racheriu, M.</t>
  </si>
  <si>
    <t>FRONTIERS IN MATERIALS</t>
  </si>
  <si>
    <t>2296-8016</t>
  </si>
  <si>
    <t>https://1510qkncv-y-https-www-webofscience-com.z.e-nformation.ro/wos/woscc/full-record/WOS:000966904400001</t>
  </si>
  <si>
    <t>https://www.frontiersin.org/articles/10.3389/fmats.2023.1144854/full</t>
  </si>
  <si>
    <t>10.3389/fmats.2023.1144854</t>
  </si>
  <si>
    <t>WOS:000966904400001</t>
  </si>
  <si>
    <t>Response surface optimization and sensitive analysis on biomagnetic blood Carreau nanofluid flow in stenotic artery with motile gyrotactic microorganisms</t>
  </si>
  <si>
    <t>Tang, TQ; Shah, ZH; Thumma, T.; Rooman, M. ; Vrinceanu, N.; Alshehri, MH.</t>
  </si>
  <si>
    <t>SN Applied Sciences</t>
  </si>
  <si>
    <t>2523-3971</t>
  </si>
  <si>
    <t>https://1510qkk9d-y-https-www-webofscience-com.z.e-nformation.ro/wos/woscc/full-record/WOS:001119627500002</t>
  </si>
  <si>
    <t>https://link.springer.com/article/10.1007/s42452-023-05576-5</t>
  </si>
  <si>
    <t>10.1007/s42452-023-05576-5</t>
  </si>
  <si>
    <t>WOS:001119627500002</t>
  </si>
  <si>
    <t>Structural and Functional Characterization of Novel Phosphotyrosine Phosphatase Protein from Drosophila melanogaster (Pupal Retina)</t>
  </si>
  <si>
    <t>Naz, R.; Saeed, A.; Tirth, V.; Shukla, NK.; Mayet, AM.; Khan, A. ; Vrinceanu, N.; Racheriu, M.; Amir, T.; Iqbal, A.</t>
  </si>
  <si>
    <t>ACS OMEGA</t>
  </si>
  <si>
    <t>2470-1343</t>
  </si>
  <si>
    <t>https://1510qkk9d-y-https-www-webofscience-com.z.e-nformation.ro/wos/woscc/full-record/WOS:000907741200001</t>
  </si>
  <si>
    <t>https://pubs.acs.org/doi/10.1021/acsomega.2c04760</t>
  </si>
  <si>
    <t>10.1021/acsomega.2c04760</t>
  </si>
  <si>
    <t>WOS:000907741200001</t>
  </si>
  <si>
    <t>1937-1945</t>
  </si>
  <si>
    <t>Girjob Claudia</t>
  </si>
  <si>
    <t>A Wearable Device for Upper Limb Rehabilitation and Assistance Based on Fluid Actuators and Myoelectric Control</t>
  </si>
  <si>
    <t>Biris Cristina Maria, Racz Sever Gabriel, Girjob Claudia Emilia, Grovu Radu Dumitru (Continental), Rusu Dan Mihai (ULBS, UT Cluj)</t>
  </si>
  <si>
    <t> ISSN: 2076-3417</t>
  </si>
  <si>
    <t>https://www.webofscience.com/wos/woscc/full-record/WOS:001145085600001</t>
  </si>
  <si>
    <t>10181</t>
  </si>
  <si>
    <t>A review of different twisted tape configurations used inheat exchanger and their impact on thermal performance of the system</t>
  </si>
  <si>
    <t>Rohit Khargotra, Raj Kumar, Rahul Nadda, Sunil Dhingra, Tabish Alam, Dan Dobrota, Anca Lucia Chicea, Kovács András, Tej Singh</t>
  </si>
  <si>
    <t>HeliyonMarch 3, 2024</t>
  </si>
  <si>
    <t>https://www.webofscience.com/wos/woscc/full-record/WOS:000786980300001</t>
  </si>
  <si>
    <t xml:space="preserve">https://doi.org/10.1016/j.heliyon.2023.e16390 </t>
  </si>
  <si>
    <t>WOS:001017864100001.</t>
  </si>
  <si>
    <t>2735</t>
  </si>
  <si>
    <t>Chicea Anca</t>
  </si>
  <si>
    <t>Soft robotics: a systematic review and bibliometric analysis</t>
  </si>
  <si>
    <t>Dan Mihai Rusu * , Silviu Dan Mândru , Cristina Maria Biriș , Olivia Laura Petrașcu , Fineas Morariu , Alexandru Ianosi- Andreeva-Dimitrova</t>
  </si>
  <si>
    <t>ISSN 2072-666X</t>
  </si>
  <si>
    <t>359</t>
  </si>
  <si>
    <t>Biris Cristina</t>
  </si>
  <si>
    <t>Sustainable Prebiotic Dessert with Sericin Produced by Bombyx mori Worms</t>
  </si>
  <si>
    <t>Matran, IM (Matran, Irina Mihaela) - UMFST TG. MUREȘ; Matran, C (Matran, Cristian) - ULBS; Tarcea, M (Tarcea, Monica) -  UMFST TG. MUREȘ</t>
  </si>
  <si>
    <t>SUSTAINABILITY</t>
  </si>
  <si>
    <t>https://www.webofscience.com/wos/woscc/full-record/WOS:000910218600001</t>
  </si>
  <si>
    <t>https://www.mdpi.com/2071-1050/15/1/110</t>
  </si>
  <si>
    <t>DOI: 10.3390/su15010110</t>
  </si>
  <si>
    <t>WOS:000910218600001</t>
  </si>
  <si>
    <t>1-12</t>
  </si>
  <si>
    <t>Bleotu Robert Marian</t>
  </si>
  <si>
    <t>Meshal Shutaywi, Ziad Ur Rehman,  Zahir Shah,  Narcisa Vrinceanu,  Rashid Jan, Wejdan Deebani,  Oana Dumitrascu</t>
  </si>
  <si>
    <t>Frontiers in  Applied Mathematics and Statistics, 09 August 2023, Sec. Dynamical Systems</t>
  </si>
  <si>
    <t>09 August 2023, Sec. Dynamical Systems</t>
  </si>
  <si>
    <t>https://1510qkncv-y-https-www-webofscience-com.z.e-nformation.ro/wos/woscc/full-record/WOS:001053938300001</t>
  </si>
  <si>
    <t>https://doi.org/10.3389/fams.2023.1210404</t>
  </si>
  <si>
    <r>
      <rPr>
        <rFont val="Arial Narrow"/>
        <color theme="1"/>
        <sz val="10.0"/>
      </rPr>
      <t>W</t>
    </r>
    <r>
      <rPr>
        <rFont val="Arial Narrow"/>
        <color rgb="FF000000"/>
        <sz val="10.0"/>
      </rPr>
      <t>OS:001053938300001</t>
    </r>
    <r>
      <rPr>
        <rFont val="Arial Narrow"/>
        <color theme="1"/>
        <sz val="10.0"/>
      </rPr>
      <t>.</t>
    </r>
  </si>
  <si>
    <t>Mapping Smart Materials’ Literature: An Insight between 1990 and 2022</t>
  </si>
  <si>
    <t>Petrașcu, Raul Mihai, Sever-Gabriel Racz, and Dan-Mihai Rusu</t>
  </si>
  <si>
    <t>https://www.webofscience.com/wos/woscc/full-record/WOS:001089466600001</t>
  </si>
  <si>
    <t xml:space="preserve">
WOS:001089466600001</t>
  </si>
  <si>
    <t>Biriș, Cristina-Maria, Sever-Gabriel Racz, Claudia-Emilia Gîrjob, Radu-Dumitru Grovu, and Dan-Mihai Rusu</t>
  </si>
  <si>
    <t xml:space="preserve">Applied Sciences </t>
  </si>
  <si>
    <t>Stakeholder Ecosystems and Corporate Sustainability: A Nexus for Value Creation in the Age of Sustainability</t>
  </si>
  <si>
    <t>Andra-Teodora Gorski (ULBS), Danut Dumitru Dumitrascu (ULBS)</t>
  </si>
  <si>
    <t>Studies in Business and Economics 18(2):158-177
LicenseCC BY-NC-ND 3.0</t>
  </si>
  <si>
    <t>SBE no.18 (2) 2023</t>
  </si>
  <si>
    <t>Issue 2,  sep 2023</t>
  </si>
  <si>
    <t>eISSN:2344-5416</t>
  </si>
  <si>
    <t>https://sciendo.com/article/10.2478/sbe-2023-0030, https://www.scopus.com/authid/detail.uri?authorId=57162750400</t>
  </si>
  <si>
    <t>https://www.researchgate.net/publication/374067611_Stakeholder_Ecosystems_and_Corporate_Sustainability_A_Nexus_for_Value_Creation_in_the_Age_of_Sustainability</t>
  </si>
  <si>
    <t>DOI: 10.2478/sbe-2023-0030</t>
  </si>
  <si>
    <t>pp158-177,</t>
  </si>
  <si>
    <t>September 2023</t>
  </si>
  <si>
    <t>Dumitrascu Danut</t>
  </si>
  <si>
    <t>PROFILING THE MANAGEMENT OF ORGANISED CRIME – EVIDENCE OF A QUALITATIVE RESEARCH</t>
  </si>
  <si>
    <t>Costin-Dan David (ULBS), Dănuț Dumitru Dumitrașcu (ULBS)</t>
  </si>
  <si>
    <t>Studies in Business and Economics, 18(1): 90-100</t>
  </si>
  <si>
    <t>SBE no.18 (1) 2023</t>
  </si>
  <si>
    <t>Issue 1, May 2023</t>
  </si>
  <si>
    <t>https://sciendo.com/article/10.2478/sbe-2023-0005, https://www.scopus.com/authid/detail.uri?authorId=57162750400</t>
  </si>
  <si>
    <t>https://www.researchgate.net/publication/370799399_Profiling_the_Management_of_Organised_Crime_Evidence_of_a_Qualitative_Research</t>
  </si>
  <si>
    <t>DOI: 10.2478/sbe-2023-0005</t>
  </si>
  <si>
    <t>pp.90-100</t>
  </si>
  <si>
    <t>may 2023</t>
  </si>
  <si>
    <t>Exploring the Dynamic Landscape of Performance Management: A Bibliometric Analysis of Emerging Trends</t>
  </si>
  <si>
    <t>Studies in Business and Economics, 18(1): 342-366</t>
  </si>
  <si>
    <t>https://sciendo.com/article/10.2478/sbe-2023-0019, https://www.scopus.com/authid/detail.uri?authorId=57162750400, https://www.scopus.com/authid/detail.uri?authorId=57162750400</t>
  </si>
  <si>
    <t>https://www.researchgate.net/publication/370797516_Exploring_the_Dynamic_Landscape_of_Performance_Management_A_Bibliometric_Analysis_of_Emerging_Trends</t>
  </si>
  <si>
    <t>DOI: 10.2478/sbe-2023-0019</t>
  </si>
  <si>
    <t>pp.342-366</t>
  </si>
  <si>
    <t>May 2023</t>
  </si>
  <si>
    <t>Circular Economy Approaches for Electrical and Conventional Vehicles</t>
  </si>
  <si>
    <t xml:space="preserve">Kifor, CV, Grigore, NA </t>
  </si>
  <si>
    <t>https://1510qkb1a-y-https-www-webofscience-com.z.e-nformation.ro/wos/woscc/full-record/WOS:001056289900001</t>
  </si>
  <si>
    <t>https://www.mdpi.com/2071-1050/15/7/6140</t>
  </si>
  <si>
    <t>10.3390/su15076140</t>
  </si>
  <si>
    <t>WOS:001056289900001</t>
  </si>
  <si>
    <t>Kifor Claudiu</t>
  </si>
  <si>
    <t>Institutional drivers of research productivity: a canonical multivariate analysis of Romanian public universities</t>
  </si>
  <si>
    <t xml:space="preserve">Kifor, CV,  Benedek, AM, Sirbu, I, Savescu, RF (ULBS) </t>
  </si>
  <si>
    <t>SCIENTOMETRICS</t>
  </si>
  <si>
    <t>1588-2861</t>
  </si>
  <si>
    <t>https://1510qkb1a-y-https-www-webofscience-com.z.e-nformation.ro/wos/woscc/full-record/WOS:000936491000001</t>
  </si>
  <si>
    <t>https://link.springer.com/article/10.1007/s11192-023-04655-z</t>
  </si>
  <si>
    <t>10.1007/s11192-023-04655-z</t>
  </si>
  <si>
    <t>WOS:000936491000001</t>
  </si>
  <si>
    <t>2233-2258</t>
  </si>
  <si>
    <t>Key Performance Indicators for Smart Energy Systems in Sustainable Universities</t>
  </si>
  <si>
    <t>Kifor, CV ; Olteanu, A ; Zerbes, M. (ULBS)</t>
  </si>
  <si>
    <t>Energies</t>
  </si>
  <si>
    <t>1996-1073</t>
  </si>
  <si>
    <t>https://1510qkb1a-y-https-www-webofscience-com.z.e-nformation.ro/wos/woscc/full-record/WOS:000930353200001</t>
  </si>
  <si>
    <t>https://www.mdpi.com/1996-1073/16/3/1246</t>
  </si>
  <si>
    <t>10.3390/en16031246</t>
  </si>
  <si>
    <t>WOS:000930353200001</t>
  </si>
  <si>
    <t>Overview of the Sustainable Valorization of Using Waste and By-Products in Grain Processing</t>
  </si>
  <si>
    <t>Danciu Cristina-Anca (Universitatea „Lucian Blaga" din Sibiu), Tulbure Anca(Universitatea „Lucian Blaga" din Sibiu), Stanciu Mirela-Aurora(Universitatea „Lucian Blaga" din Sibiu), Antonie Iuliana(Universitatea „Lucian Blaga" din Sibiu), Capatana Ciprian(Universitatea „Lucian Blaga" din Sibiu), Zerbes Mihai Victor (Universitatea „Lucian Blaga" din Sibiu), Giurea Ramona (Universitatea „Lucian Blaga" din Sibiu), Rada Elena Cristina (Universitatea Insubria, Varese, Italy)</t>
  </si>
  <si>
    <t>FOODS</t>
  </si>
  <si>
    <t>2304-8158</t>
  </si>
  <si>
    <t>https://www.webofscience.com/wos/woscc/full-record/WOS:001090004500001</t>
  </si>
  <si>
    <t>https://www.mdpi.com/journal/foods</t>
  </si>
  <si>
    <t>https://doi.org/10.3390/foods12203770</t>
  </si>
  <si>
    <t>WOS:001090004500001</t>
  </si>
  <si>
    <t>Zerbes Mihai</t>
  </si>
  <si>
    <t>Kifor Claudiu Vasile (Universitatea „Lucian Blaga" din Sibiu), Olteanu Alexandru (Universitatea „Lucian Blaga" din Sibiu), Zerbes Mihai Victor (Universitatea „Lucian Blaga" din Sibiu)</t>
  </si>
  <si>
    <t>ENERGIES</t>
  </si>
  <si>
    <t>https://www.webofscience.com/wos/woscc/full-record/WOS:000930353200001</t>
  </si>
  <si>
    <t>https://www.mdpi.com/journal/energies</t>
  </si>
  <si>
    <t>https://doi.org/10.3390/en16031246</t>
  </si>
  <si>
    <t>Kifor, CV (ULBS);
Benedek, A (ULBS);
Sirbu, I (ULBS); Savescu, RF (ULBS)</t>
  </si>
  <si>
    <t>0138-9130</t>
  </si>
  <si>
    <t>https://1510qaiv4-y-https-www-webofscience-com.z.e-nformation.ro/wos/woscc/full-record/WOS:000936491000001</t>
  </si>
  <si>
    <t>https://ideas.repec.org/a/spr/scient/v128y2023i4d10.1007_s11192-023-04655-z.html</t>
  </si>
  <si>
    <t>Savescu Roxana</t>
  </si>
  <si>
    <t>Connecting Sustainable Development with Media, Journalism and Communication Programs in European Universities</t>
  </si>
  <si>
    <t>Salcudean, M (ULBSs); Pintea, A (ULBS) ; Savescu, R (ULBS)</t>
  </si>
  <si>
    <t>STUDIES IN BUSINESS AND ECONOMICS</t>
  </si>
  <si>
    <t>1842-4120</t>
  </si>
  <si>
    <t>https://1510qaiv4-y-https-www-webofscience-com.z.e-nformation.ro/wos/woscc/full-record/WOS:001069869700018</t>
  </si>
  <si>
    <t>https://www.researchgate.net/publication/374066946_Connecting_Sustainable_Development_with_Media_Journalism_and_Communication_Programs_in_European_Universities</t>
  </si>
  <si>
    <t>10.2478/sbe-2023-0038</t>
  </si>
  <si>
    <t>WOS:001069869700018</t>
  </si>
  <si>
    <t>290-302</t>
  </si>
  <si>
    <r>
      <rPr>
        <rFont val="Arial Narrow"/>
        <color theme="1"/>
        <sz val="10.0"/>
      </rPr>
      <t xml:space="preserve">Superposition of populations in multi-objective evolutionary optimization of car suspensions. </t>
    </r>
    <r>
      <rPr>
        <rFont val="Arial Narrow"/>
        <i/>
        <color theme="1"/>
        <sz val="10.0"/>
      </rPr>
      <t>Engineering applications of artificial intelligence</t>
    </r>
    <r>
      <rPr>
        <rFont val="Arial Narrow"/>
        <color theme="1"/>
        <sz val="10.0"/>
      </rPr>
      <t xml:space="preserve">, </t>
    </r>
    <r>
      <rPr>
        <rFont val="Arial Narrow"/>
        <i/>
        <color theme="1"/>
        <sz val="10.0"/>
      </rPr>
      <t>126</t>
    </r>
    <r>
      <rPr>
        <rFont val="Arial Narrow"/>
        <color theme="1"/>
        <sz val="10.0"/>
      </rPr>
      <t>, 107026.</t>
    </r>
  </si>
  <si>
    <t xml:space="preserve">Florea, A., Cofaru, I., Patrausanu, A., Cofaru, N., &amp; Fiore, U. </t>
  </si>
  <si>
    <t>ENGINEERING APPLICATIONS OF ARTIFICIAL INTELLIGENCE</t>
  </si>
  <si>
    <t>C</t>
  </si>
  <si>
    <t>0952-19761873-6769</t>
  </si>
  <si>
    <t>https://1510ql09u-y-https-www-webofscience-com.z.e-nformation.ro/wos/woscc/full-record/WOS:001068086000001</t>
  </si>
  <si>
    <t>https://1510al0af-y-https-www-sciencedirect-com.z.e-nformation.ro/science/article/pii/S0952197623012101?via%3Dihub</t>
  </si>
  <si>
    <t>DOI10.1016/j.engappai.2023.107026</t>
  </si>
  <si>
    <t>WOS:001068086000001</t>
  </si>
  <si>
    <t>Zona rosie Q1</t>
  </si>
  <si>
    <t>Cofaru Nicolae</t>
  </si>
  <si>
    <t>Adaptive Learning Using Artificial Intelligence in e-Learning: A Literature Review</t>
  </si>
  <si>
    <t>Gligorea, I (AFT); Cioca, M (ULBS); Oancea, R (AFT); Gorski, AT (ULBS); Gorski, H (AFT); Tudorache, P (AFT)</t>
  </si>
  <si>
    <t>EDUCATION SCIENCES</t>
  </si>
  <si>
    <t>2227-7102</t>
  </si>
  <si>
    <t>https://www.webofscience.com/wos/woscc/full-record/WOS:001131040600001</t>
  </si>
  <si>
    <t>https://www.mdpi.com/2227-7102/13/12/1216</t>
  </si>
  <si>
    <t>DOI10.3390/educsci13121216</t>
  </si>
  <si>
    <t>WOS:001131040600001</t>
  </si>
  <si>
    <t>Cioca Marius</t>
  </si>
  <si>
    <t>Minimizing the Main Strains and Thickness Reduction in the Single Point Incremental Forming Process of Polyamide and High-Density Polyethylene Sheets
Single Point Incremental Forming Process of Polyamide and
High-Density Polyethylene Sheets</t>
  </si>
  <si>
    <t>Nicolae Roșca (ULBS), Mihaela Oleksik (ULBS), Liviu Roșca (ULBS), Eugen Avrigeam (ULBS), Tomasz Trzepiecinski, Sherwan Mohammed Najm, Valentin Oleksik (ULBS)</t>
  </si>
  <si>
    <t>https://www.scopus.com/record/display.uri?eid=2-s2.0-85149231952&amp;origin=resultslist</t>
  </si>
  <si>
    <t>10.3390/
ma16041644</t>
  </si>
  <si>
    <t>zona rosie/Q1</t>
  </si>
  <si>
    <t>Rosca Nicolae</t>
  </si>
  <si>
    <t>Optimization of the composition of polyvinyl chloride based composite materials with rubber matrices and fly ash additions respectively</t>
  </si>
  <si>
    <t xml:space="preserve">
Rotaru Ionela Magdalena; Dobrota Dan; Miritoiu Cosmin Mihai; Dimulescu Cristinel Sabin</t>
  </si>
  <si>
    <t>POLYMER TESTING</t>
  </si>
  <si>
    <t>0142-9418</t>
  </si>
  <si>
    <t>https://1y10qdmy8-y-https-www-webofscience-com.z.e-nformation.ro/wos/woscc/full-record/WOS:001121072300001</t>
  </si>
  <si>
    <t>https://www.sciencedirect.com/science/article/pii/S0142941823003604</t>
  </si>
  <si>
    <t>10.1016/j.polymertesting.2023.108280</t>
  </si>
  <si>
    <t>wos: 1121072300001</t>
  </si>
  <si>
    <t>108280</t>
  </si>
  <si>
    <t>Rotaru Ionela</t>
  </si>
  <si>
    <t>Designing a multi-agent control system for a reconfigurable manufacturing system</t>
  </si>
  <si>
    <t>Alexandru Matei (ULBS), Bogdan Constantin Pirvu(ULBS), Radu Emanuil Petruse(ULBS), Ciprian Candea(Ropardo), Bala Constantin Zamfirescu(ULBS)</t>
  </si>
  <si>
    <t>https://www.scopus.com/record/display.uri?eid=2-s2.0-85148768606&amp;doi=10.1007%2f978-3-031-24291-5_34&amp;origin=inward&amp;txGid=e46189827fb38e3aff01d42e87f91ccc</t>
  </si>
  <si>
    <t>https://link.springer.com/chapter/10.1007/978-3-031-24291-5_34</t>
  </si>
  <si>
    <t>https://doi.org/10.1007/978-3-031-24291-5_34</t>
  </si>
  <si>
    <t>434 - 445</t>
  </si>
  <si>
    <t>12th International Workshop on Service Oriented, Holonic and Multi-Agent Manufacturing Systems for the Industry of the Future, SOHOMA 2022</t>
  </si>
  <si>
    <t>București</t>
  </si>
  <si>
    <t>978-3-031-24291-5</t>
  </si>
  <si>
    <t>Pirvu Bogdan</t>
  </si>
  <si>
    <t>Determination of Processing Precision of Hole in Industrial Plastic Materials</t>
  </si>
  <si>
    <t>Ravai-Nagy, S.(UTCN), Pop, Alina Bianca (UTCN), Țîțu, M.(ULBS)</t>
  </si>
  <si>
    <t>https://0m10mkh28-y-https-www-webofscience-com.z.e-nformation.ro/wos/woscc/full-record/WOS:000916163100001</t>
  </si>
  <si>
    <t>https://doi.org/10.3390/polym15020347</t>
  </si>
  <si>
    <t>10.3390/polym15020347</t>
  </si>
  <si>
    <t>WOS:000916163100001</t>
  </si>
  <si>
    <t>15 pag.</t>
  </si>
  <si>
    <t>Titu Mihail</t>
  </si>
  <si>
    <t>Digital Solutions for Bespoke Apparel Achieving Mass Customization Via As a Service Business Models has been accepted for publication and passed on to our Production Editing Department</t>
  </si>
  <si>
    <t>Dimcea, I. (UPT), Cozmiuc, D. C.(Univ. Ioan Slavici Tm), Botez, D.(Univ. V Alecsandri Bacau), Darvasi, D. .(Univ. Ioan Slavici Tm), Untaru, M..(Univ. Ioan Slavici Tm), Wagner, R. (Univ. Kassel, Germania), Țîțu, M. (ULBS)</t>
  </si>
  <si>
    <t>Industria Textila</t>
  </si>
  <si>
    <t>1222-5347</t>
  </si>
  <si>
    <t>https://0m10mkh28-y-https-www-webofscience-com.z.e-nformation.ro/wos/woscc/full-record/WOS:000940525500014</t>
  </si>
  <si>
    <t>https://doi.org/10.35530/IT.074.01.202281</t>
  </si>
  <si>
    <t>10.35530/IT.074.01.202281</t>
  </si>
  <si>
    <t>WOS:000940525500014</t>
  </si>
  <si>
    <t>107-120</t>
  </si>
  <si>
    <t>The Influence of Sample Size on Long-Term Performance of a 6σ Process</t>
  </si>
  <si>
    <t>Boroiu, A.A.(Univ. Pitesti), Țîțu, M.(ULBS), Boroiu, A.(Univ. Pitesti), Dragomir, M.(UTCN), Pop, A.B.(UTCN), Țîțu, Ș. (IOCN)</t>
  </si>
  <si>
    <t>Processes</t>
  </si>
  <si>
    <t>2227-9717</t>
  </si>
  <si>
    <t>https://0m10mkt1i-y-https-www-webofscience-com.z.e-nformation.ro/wos/woscc/full-record/WOS:000960449800001</t>
  </si>
  <si>
    <t>https://doi.org/10.3390/pr11030779</t>
  </si>
  <si>
    <t>10.3390/pr11030779</t>
  </si>
  <si>
    <t>WOS:000960449800001</t>
  </si>
  <si>
    <t>14 pg</t>
  </si>
  <si>
    <t>Characterization and Corrosion Behavior of Zinc Coatings for Two Anti-Corrosive Protections: A Detailed Study</t>
  </si>
  <si>
    <t>Pop Alina Bianca (UTCN), Iepure, G.(UTCN), Țîțu, M.(ULBS), Ravai-Nagy, S.(UTCN)</t>
  </si>
  <si>
    <t>Coatings</t>
  </si>
  <si>
    <t>2079-6412</t>
  </si>
  <si>
    <t>https://0m10mkt1i-y-https-www-webofscience-com.z.e-nformation.ro/wos/woscc/full-record/WOS:001057465000001</t>
  </si>
  <si>
    <t>https://doi.org/10.3390/coatings13081460</t>
  </si>
  <si>
    <t>10.3390/coatings13081460</t>
  </si>
  <si>
    <t>WOS:001057465000001</t>
  </si>
  <si>
    <t>30 pg</t>
  </si>
  <si>
    <t>Research on the Influence of Coating Technologies on Adhesion Anti-Corrosion Layers in the Case of Al7175 Aluminum Alloy</t>
  </si>
  <si>
    <t>Țîțu, M.(ULBS), Ravai-Nagy, S. (UTCN), Pop Alina Bianca (UTCN)</t>
  </si>
  <si>
    <t>https://0m10mkt1i-y-https-www-webofscience-com.z.e-nformation.ro/wos/woscc/full-record/WOS:001014208000001</t>
  </si>
  <si>
    <t>https://doi.org/10.3390/coatings13061054</t>
  </si>
  <si>
    <t>10.3390/coatings13061054</t>
  </si>
  <si>
    <t>WOS:001014208000001</t>
  </si>
  <si>
    <t>33 pg</t>
  </si>
  <si>
    <t>The Influence of Galvanizing on the Surface Quality and Part Precision of S235J0 Alloy Machined by Turning</t>
  </si>
  <si>
    <t>Ravai-Nagy, S. (UTCN), Țîțu, M.(ULBS), Pop Alina Bianca (UTCN)</t>
  </si>
  <si>
    <t>https://0m10mkt1i-y-https-www-webofscience-com.z.e-nformation.ro/wos/woscc/full-record/WOS:000981748700001</t>
  </si>
  <si>
    <t>https://doi.org/10.3390/coatings13040701</t>
  </si>
  <si>
    <t>10.3390/coatings13040701</t>
  </si>
  <si>
    <t>WOS:000981748700001</t>
  </si>
  <si>
    <t>Potential of New Sustainable Green Geopolymer Metal Composite (GGMC) Material as Mould Insert for Rapid Tooling (RT) in Injection Moulding Process</t>
  </si>
  <si>
    <t>Yin, A.T.M.(Univ. Perlis Malaysia), Rahim, S.Z.A.(Univ. Perlis Malaysia), Al Bakri Abdullah , M.M. (Univ. Perlis Malaysia), Nabialek, M. (Univ. Częstochowa Poland), Abdellah, A.E-h. (Univ. Medea Algeria), Rennie, A. (Lancaster University), Tahir, M.F.M. (Univ. Perlis Malaysia), Țîțu, M. (ULBS)</t>
  </si>
  <si>
    <t>https://0m10mkt1i-y-https-www-webofscience-com.z.e-nformation.ro/wos/woscc/full-record/WOS:000939959800001</t>
  </si>
  <si>
    <t>https://doi.org/10.3390/ma16041724</t>
  </si>
  <si>
    <t>10.3390/ma16041724</t>
  </si>
  <si>
    <t>WOS:000939959800001</t>
  </si>
  <si>
    <t>36 pg</t>
  </si>
  <si>
    <t>Sustainable Packaging Design for Molded Expanded Polystyrene Cushion</t>
  </si>
  <si>
    <t>Kassim, N.(Univ. Perlis Malaysia), Rahim, S.Z.A.(Univ. Perlis Malaysia), Ibrahim, W.A.R.A.W.(Univ. Perlis Malaysia), Shuaib, N.A.(Univ. Perlis Malaysia), Rahim, I.A.(Univ. Perlis Malaysia), Karim, N.A.(Univ. Perlis Malaysia), Sandu, A.V.(Gh Asachi Univ), Pop, M.(UTCN), Țîțu, M.(ULBS), Błoch, K.(Univ. Częstochowa Poland), Nabialek, M. (Univ. Częstochowa Poland)</t>
  </si>
  <si>
    <t>https://0m10mkt1i-y-https-www-webofscience-com.z.e-nformation.ro/wos/woscc/full-record/WOS:000940742500001</t>
  </si>
  <si>
    <t>https://doi.org/10.3390/ma16041723</t>
  </si>
  <si>
    <t>10.3390/ma16041723</t>
  </si>
  <si>
    <t>WOS:000940742500001</t>
  </si>
  <si>
    <t>19 pg</t>
  </si>
  <si>
    <t>Numerical studies on aerodynamic performance of NACA 0018 profile in fundamental and research application of the aerospace industry</t>
  </si>
  <si>
    <t>Apostol, E. I.(UPB), Țîţu, M.(ULBS)</t>
  </si>
  <si>
    <t>1742-6588</t>
  </si>
  <si>
    <t>https://0m10ekt3t-y-https-www-scopus-com.z.e-nformation.ro/record/display.uri?eid=2-s2.0-85173562975&amp;origin=resultslist&amp;sort=plf-f&amp;src=s&amp;sid=76b5c21b5b3900c9fbd895e0114a327d&amp;sot=b&amp;sdt=b&amp;s=DOI%2810.1088%2F1742-6596%2F2540%2F1%2F012001%29&amp;sl=36&amp;sessionSearchId=76b5c21b5b3900c9fbd895e0114a327d&amp;relpos=0</t>
  </si>
  <si>
    <t>https://doi.org/10.1088/1742-6596/2540/1/012001</t>
  </si>
  <si>
    <t>10.1088/1742-6596/2540/1/012001</t>
  </si>
  <si>
    <t>8 pg</t>
  </si>
  <si>
    <t>Sustainable Low-Carbon Production: From Strategy to Reality</t>
  </si>
  <si>
    <t>Szabo, D.(UTCN), Dragomir, M.(UTCN), Țîțu, M.(ULBS), Dragomir, D.(UTCN), Popescu, S.(UTCN), Tofană, S.(UTCN)</t>
  </si>
  <si>
    <t>https://0m10mkt1i-y-https-www-webofscience-com.z.e-nformation.ro/wos/woscc/full-record/WOS:001004646600001</t>
  </si>
  <si>
    <t>https://doi.org/10.3390/su15118516</t>
  </si>
  <si>
    <t>10.3390/su15118516</t>
  </si>
  <si>
    <t>WOS: 001004646600001</t>
  </si>
  <si>
    <t>16 pg</t>
  </si>
  <si>
    <t>Modelling the interwoven parallel testing process in the automotive industry</t>
  </si>
  <si>
    <t>Țîțu, M.(ULBS/AOSR), Bogorin-Predescu A.(UPB)</t>
  </si>
  <si>
    <t>International Journal of Mechatronics and Applied Mechanics</t>
  </si>
  <si>
    <t>2559-6497</t>
  </si>
  <si>
    <t>https://0m10ekt3t-y-https-www-scopus-com.z.e-nformation.ro/record/display.uri?eid=2-s2.0-85165191480&amp;origin=resultslist&amp;sort=plf-f&amp;src=s&amp;sid=aaf98753ff1a4509259c759fcf7f877d&amp;sot=b&amp;sdt=b&amp;s=DOI%2810.17683%2Fijomam%2Fissue13.16%29&amp;sl=31&amp;sessionSearchId=aaf98753ff1a4509259c759fcf7f877d&amp;relpos=0</t>
  </si>
  <si>
    <t>https://doi.org/10.17683/ijomam/issue13.16</t>
  </si>
  <si>
    <t>10.17683/ijomam/issue13.16</t>
  </si>
  <si>
    <t>128 - 135</t>
  </si>
  <si>
    <t>Surface treatment in aerospace industry: a study on acid pickling and paint adhesion</t>
  </si>
  <si>
    <t>Pop, A.B.(UTCN), Pop, G.I.(UAC Baia Mare), Gusan, V.(UPB), Țîțu, M.(ULBS/AOSR)</t>
  </si>
  <si>
    <t>https://0m10ekt3t-y-https-www-scopus-com.z.e-nformation.ro/record/display.uri?eid=2-s2.0-85165195762&amp;origin=resultslist&amp;sort=plf-f&amp;src=s&amp;sid=aaf98753ff1a4509259c759fcf7f877d&amp;sot=b&amp;sdt=b&amp;s=DOI%2810.17683%2Fijomam%2Fissue13.7%29&amp;sl=31&amp;sessionSearchId=aaf98753ff1a4509259c759fcf7f877d&amp;relpos=0</t>
  </si>
  <si>
    <t>https://doi.org/10.17683/ijomam/issue13.7</t>
  </si>
  <si>
    <t>10.17683/ijomam/issue13.7</t>
  </si>
  <si>
    <t>58-69</t>
  </si>
  <si>
    <t>Enhancing collaborative robot communication with Electrical Discharge Machine through modbus TCP integration: a feasibility and application study</t>
  </si>
  <si>
    <t>Țîțu, M.(ULBS/AOSR), Gusan, V.(UPB), Bogorin-Predescu, A.(UPB)</t>
  </si>
  <si>
    <t>https://0m10ekt3t-y-https-www-scopus-com.z.e-nformation.ro/record/display.uri?eid=2-s2.0-85178471833&amp;origin=resultslist&amp;sort=plf-f&amp;src=s&amp;sid=4e250e39d6db9c233bb30d14079ae171&amp;sot=b&amp;sdt=b&amp;s=ALL%28Enhancing+collaborative+robot+communication+with+Electrical+Discharge+Machine+through+modbus+TCP+integration%3A+a+feasibility+and+application+study%29&amp;sl=30&amp;sessionSearchId=4e250e39d6db9c233bb30d14079ae171&amp;relpos=0</t>
  </si>
  <si>
    <t>https://doi.org/10.17683/ijomam/issue14.4</t>
  </si>
  <si>
    <t>10.17683/ijomam/issue14.4</t>
  </si>
  <si>
    <t>27-34</t>
  </si>
  <si>
    <t>Improving the quality of rapid prototyping processes of electronic control units by using a dedicated software platform</t>
  </si>
  <si>
    <t>Bogorin-Predescu, A.(UPB), Țîțu, M.(ULBS/AOSR), Oprean, C.(pensionar)</t>
  </si>
  <si>
    <t>ACTA TECHNICA NAPOCENSIS SERIES-APPLIED MATHEMATICS MECHANICS AND ENGINEERING</t>
  </si>
  <si>
    <t>SI</t>
  </si>
  <si>
    <t>1221-5872</t>
  </si>
  <si>
    <t>https://0m10mkt1i-y-https-www-webofscience-com.z.e-nformation.ro/wos/woscc/full-record/WOS:001134913900015</t>
  </si>
  <si>
    <t>https://atna-mam.utcluj.ro/index.php/Acta/article/view/2227</t>
  </si>
  <si>
    <t>WOS:001134913900015</t>
  </si>
  <si>
    <t>171-180</t>
  </si>
  <si>
    <t>ISI ESCI</t>
  </si>
  <si>
    <t>Carbon footprint calculation in different areas of activity</t>
  </si>
  <si>
    <t>Ungureanu, A.M.(UPB), Țîțu, M.(ULBS/AOSR), Pană, M-M.(UPB), Moisescu, I.(UPB), Niță, N.-M.(UPB)</t>
  </si>
  <si>
    <t>https://0m10mkt1i-y-https-www-webofscience-com.z.e-nformation.ro/wos/woscc/full-record/WOS:001134913900019</t>
  </si>
  <si>
    <t>https://atna-mam.utcluj.ro/index.php/Acta/article/view/2222</t>
  </si>
  <si>
    <t>WOS:001134913900019</t>
  </si>
  <si>
    <t>131-140</t>
  </si>
  <si>
    <t>Contributions to the modeling and optimization of data saving solutions within a modern organization</t>
  </si>
  <si>
    <t>Moisescu, R.C.(UPB), Olteanu, C.(UPB), Tertereanu, P.(UPB), Țîțu, M.(ULBS/AOSR)</t>
  </si>
  <si>
    <t>https://0m10mkt1i-y-https-www-webofscience-com.z.e-nformation.ro/wos/woscc/full-record/WOS:001134913900011</t>
  </si>
  <si>
    <t>https://atna-mam.utcluj.ro/index.php/Acta/article/view/2218</t>
  </si>
  <si>
    <t>WOS:001134913900011</t>
  </si>
  <si>
    <t>95-104</t>
  </si>
  <si>
    <t>Integration of Collaborative Robots in the Automotive Industry during Post-Pandemic Recovery</t>
  </si>
  <si>
    <t>Țîțu, M.(ULBS/AOSR), Gusan, V.(UPB), Dramir, M.(UTCN)</t>
  </si>
  <si>
    <t>https://0m10mkt1i-y-https-www-webofscience-com.z.e-nformation.ro/wos/woscc/full-record/WOS:001134913900014</t>
  </si>
  <si>
    <t>https://atna-mam.utcluj.ro/index.php/Acta/article/view/2224</t>
  </si>
  <si>
    <t>WOS:001134913900014</t>
  </si>
  <si>
    <t>147-156</t>
  </si>
  <si>
    <t>Mathematical simulation of the aerodynamic characteristics of the NACA0018 symmetrical airfoil with flaps</t>
  </si>
  <si>
    <t>Apostol, Eliza-Ioana(UPB), Dragomir, Diana (UTCN), Țîțu, M.(ULBS/AOSR)</t>
  </si>
  <si>
    <t>1221-5873</t>
  </si>
  <si>
    <t>https://0m10mkt1i-y-https-www-webofscience-com.z.e-nformation.ro/wos/woscc/full-record/WOS:001106401600005</t>
  </si>
  <si>
    <t>https://atna-mam.utcluj.ro/index.php/Acta/article/view/2195</t>
  </si>
  <si>
    <t>WOS:001106401600005</t>
  </si>
  <si>
    <t>437-444</t>
  </si>
  <si>
    <t>fficiency and effectiveness through the lens of Communication quality management at the level of a Central public authority</t>
  </si>
  <si>
    <t>Moisescu, Iuliana(UPB), Țîțu, M.(ULBS/AOSR)</t>
  </si>
  <si>
    <t>1221-5874</t>
  </si>
  <si>
    <t>https://0m10mkt1i-y-https-www-webofscience-com.z.e-nformation.ro/wos/woscc/full-record/WOS:001044548800015</t>
  </si>
  <si>
    <t>https://atna-mam.utcluj.ro/index.php/Acta/article/view/2142</t>
  </si>
  <si>
    <t>WOS:001044548800015</t>
  </si>
  <si>
    <t>281-286</t>
  </si>
  <si>
    <t>Assessing Circularity in the Wood Industry—Methodology, Tool and Results</t>
  </si>
  <si>
    <t>Dragomir, M.(UTCN), Tofană, Silvia(UTCN), Dragomir, Diana(UTCN), Țîțu, M.(ULBS), Popescu, Daniela(UTCN)</t>
  </si>
  <si>
    <t>Forests</t>
  </si>
  <si>
    <t>1999-4907</t>
  </si>
  <si>
    <t>https://0m10mkt1i-y-https-www-webofscience-com.z.e-nformation.ro/wos/woscc/full-record/WOS:001095176800001</t>
  </si>
  <si>
    <t>https://doi.org/10.3390/f14101935</t>
  </si>
  <si>
    <t>10.3390/f14101935</t>
  </si>
  <si>
    <t>WOS:001095176800001</t>
  </si>
  <si>
    <t>13 pg</t>
  </si>
  <si>
    <t>Enhancing Aerospace Industry Efficiency and Sustainability: Process Integration and Quality Management in the Context of Industry 4.0</t>
  </si>
  <si>
    <t>Pop, G.I.(UAC Baia Mare), Țîțu, M.(ULBS), Pop Bianca Alina(UTCN)</t>
  </si>
  <si>
    <t>https://0m10mkt1i-y-https-www-webofscience-com.z.e-nformation.ro/wos/woscc/full-record/WOS:001116065800001</t>
  </si>
  <si>
    <t>https://doi.org/10.3390/su152316206</t>
  </si>
  <si>
    <t>10.3390/su152316206</t>
  </si>
  <si>
    <t>WOS:001116065800001</t>
  </si>
  <si>
    <t>20 pg</t>
  </si>
  <si>
    <t>Modelling the natural gas transportation process using the factorial experiment method</t>
  </si>
  <si>
    <t>Țîțu, M.(ULBS), Pop, Alina Bianca(UTCN), Nabialek, M.(Univ. Częstochowa Poland)</t>
  </si>
  <si>
    <t>Archives of Metallurgy and Materials</t>
  </si>
  <si>
    <t>1733-3490</t>
  </si>
  <si>
    <t>https://0m10mkt1i-y-https-www-webofscience-com.z.e-nformation.ro/wos/woscc/full-record/WOS:001106664500007</t>
  </si>
  <si>
    <t>https://doi.org/10.24425/amm.2023.145460</t>
  </si>
  <si>
    <t>10.24425/amm.2023.145460</t>
  </si>
  <si>
    <t>WOS:001106664500007</t>
  </si>
  <si>
    <t>961-966</t>
  </si>
  <si>
    <t>Verification of the Random Nature of the Experimental Data in the End-Milling Process of Aluminum Alloys</t>
  </si>
  <si>
    <t>Pop, Alina Bianca(UTCN), Țîțu, M.(ULBS)</t>
  </si>
  <si>
    <t>https://0m10mkt1i-y-https-www-webofscience-com.z.e-nformation.ro/wos/woscc/full-record/WOS:001106664500008</t>
  </si>
  <si>
    <t>https://doi.org/10.24425/amm.2023.145461</t>
  </si>
  <si>
    <t>10.24425/amm.2023.145461</t>
  </si>
  <si>
    <t>WOS:001106664500008</t>
  </si>
  <si>
    <t>967-971</t>
  </si>
  <si>
    <t>Rosca Liviu</t>
  </si>
  <si>
    <t>Exergy and sustainability analysis of a solar heat collector with wavy delta winglets as
turbulent promoters: A numerical analysis</t>
  </si>
  <si>
    <t>Rajesh Maithani (Department of Mechanical Engineering, School of Engineering, University of Petroleum and Energy Studies, Dehradun, 248007, India), Anil Kumar (Department of Industrial Engineering, College of Engineering, Prince Sattam Bin Abdulaziz University, Al-Kharj, 11942, Saudi Arabia), Masood Ashraf Ali (Department of Industrial Engineering, College of Engineering, Prince Sattam Bin Abdulaziz University, Al-Kharj, 11942, Saudi Arabia), Naveen Kumar Gupta (Mechanical Engineering Department, Institute of Engineering &amp; Technology, GLA University, Mathura, 281406, India), Sachin Sharma (Architecture, Planning and Energy Efficiency, CSIR-Central Building Research Institute, Roorkee, 247667, India), Tabish Alam (Architecture, Planning and Energy Efficiency, CSIR-Central Building Research Institute, Roorkee, 247667, India), Sayed M. Eldin (Center of Research, Faculty of Engineering, Future University in Egypt New Cairo, 11835, Egypt), Javed Khan Bhutto (Department of Electrical Engineering, College of Engineering, King Khalid University, Abha, Saudi Arabia), Dan Dobrota (Lucian Blaga University of Sibiu, 550024, Sibiu, Romania), Florin Cristian Ciofu (Lucian Blaga University of Sibiu, 550024, Sibiu, Romania)</t>
  </si>
  <si>
    <t>2214157X</t>
  </si>
  <si>
    <t>https://www.sciencedirect.com/science/article/pii/S2214157X23005993</t>
  </si>
  <si>
    <t>https://www.sciencedirect.com/journal/case-studies-in-thermal-engineering/vol/49/suppl/C?page=2</t>
  </si>
  <si>
    <t>10.1016/j.csite.2023.103293</t>
  </si>
  <si>
    <t>WOS:001045316900001</t>
  </si>
  <si>
    <t>103293</t>
  </si>
  <si>
    <t>Ciofu Florin</t>
  </si>
  <si>
    <t>Developing Sustainable Entrepreneurs Through Social Entrepreneurship Education</t>
  </si>
  <si>
    <t>Baltador, Lia Alexandra (ULBS);Grecu, Valentin (ULBS)</t>
  </si>
  <si>
    <t>Studies in Business and Economics</t>
  </si>
  <si>
    <t>https://1510qjsxi-y-https-www-webofscience-com.z.e-nformation.ro/wos/woscc/full-record/WOS:001069869700003</t>
  </si>
  <si>
    <t>https://intapi.sciendo.com/pdf/10.2478/sbe-2023-0023</t>
  </si>
  <si>
    <t>DOI10.2478/sbe-2023-0023</t>
  </si>
  <si>
    <t>WOS:001069869700003</t>
  </si>
  <si>
    <t>37-47</t>
  </si>
  <si>
    <t>Grecu Valentin</t>
  </si>
  <si>
    <t>ENHANCING THE EFFECTIVENESS OF DEFENCE PLANNING THROUGH THE IMPLEMENTATION OF CAPABILITY-BASED BUDGETING AND CIVILIAN CONTROL</t>
  </si>
  <si>
    <t>Petlenko, Y., Tarnu, L., Shchehliuk, B., Nate, S.</t>
  </si>
  <si>
    <t>Access to Justice in Eastern EuropeThis link is disabled.</t>
  </si>
  <si>
    <t xml:space="preserve">ISSN 2663-0575 (Print)     ISSN 2663-0583 (Online)  </t>
  </si>
  <si>
    <t>https://www.webofscience.com/wos/woscc/full-record/WOS:001100616400001</t>
  </si>
  <si>
    <t>https://ajee-journal.com/enhancing-the-effectiveness-of-defence-planning-through-the-implementation-of-capability-based-budgeting-and-civilian-control</t>
  </si>
  <si>
    <t>10.33327/AJEE-18-6.4-n000477</t>
  </si>
  <si>
    <t>Q3 - WOS:001100616400001</t>
  </si>
  <si>
    <t>265-267</t>
  </si>
  <si>
    <t>Tarnu Lucian</t>
  </si>
  <si>
    <t xml:space="preserve">Treatment of Acid Tars by Encapsulation to Reduce the Effects of Pollution on the Environment </t>
  </si>
  <si>
    <t>Tita, M., Tita, D., Onutu, I., Chis, T., Tarnu, L.I.,</t>
  </si>
  <si>
    <t>WSEAS Transactions on Environment and Development</t>
  </si>
  <si>
    <t>19</t>
  </si>
  <si>
    <t>E-ISSN: 2224-3496</t>
  </si>
  <si>
    <t>chrome-extension://efaidnbmnnnibpcajpcglclefindmkaj/https://wseas.com/journals/ead/2023/c445115-044(2023).pdf</t>
  </si>
  <si>
    <t>https://wseas.com/journals/ead/2023/c445115-044(2023).pdf</t>
  </si>
  <si>
    <t xml:space="preserve"> 10.37394/232015.2023.19.120</t>
  </si>
  <si>
    <t>1329-1345</t>
  </si>
  <si>
    <t>scopus</t>
  </si>
  <si>
    <t>Big data in oil and gas industry. A new project base learning technique for students</t>
  </si>
  <si>
    <t xml:space="preserve"> Tarnu, L.I.,, Chis, T.,,  Stoianovici, D., Mohammad, S.R.,</t>
  </si>
  <si>
    <t xml:space="preserve">INTERNATIONAL JOURNAL OF EDUCATION AND INFORMATION TECHNOLOGIES </t>
  </si>
  <si>
    <t>E-ISSN: 2074-1316</t>
  </si>
  <si>
    <t>https://npublications.com/indexes.php</t>
  </si>
  <si>
    <t xml:space="preserve">https://npublications.com/journals/educationinformation/2023/a282008-0014(2023).pdf  </t>
  </si>
  <si>
    <t>DOI: 10.46300/9109.2023.17.14</t>
  </si>
  <si>
    <t>128-133</t>
  </si>
  <si>
    <t>Circularity Outlines in the Construction and Demolition Waste Management: A Literature Review</t>
  </si>
  <si>
    <t>Gherman, IE; Lakatos, ES; Clinci, SD; Lungu, F; Constandoiu, VV; Cioca, LI; Rada, EC (Italia)</t>
  </si>
  <si>
    <t>RECYCLING</t>
  </si>
  <si>
    <t>2313-4321</t>
  </si>
  <si>
    <t>https://www.webofscience.com/wos/woscc/full-record/WOS:001095227500001</t>
  </si>
  <si>
    <t>https://www.mdpi.com/2313-4321/8/5/69</t>
  </si>
  <si>
    <t>10.3390/recycling8050069</t>
  </si>
  <si>
    <t>1-24</t>
  </si>
  <si>
    <t>Cioca Lucian</t>
  </si>
  <si>
    <t>The expectations of generation Z regarding the university educational act in Romania: optimizing the didactic process by providing feedback</t>
  </si>
  <si>
    <t>Bratu, ML; Cioca, LI; Nerisanu, RA; Rotaru, M; Plesa, R</t>
  </si>
  <si>
    <t>FRONTIERS IN PSYCHOLOGY</t>
  </si>
  <si>
    <t>1664-1078</t>
  </si>
  <si>
    <t>https://www.webofscience.com/wos/woscc/full-record/WOS:001085496900001</t>
  </si>
  <si>
    <t>https://www.frontiersin.org/journals/psychology/articles/10.3389/fpsyg.2023.1160046/full</t>
  </si>
  <si>
    <t>10.3389/fpsyg.2023.1160046</t>
  </si>
  <si>
    <t>1-19</t>
  </si>
  <si>
    <t>Smokers' Attitude and Behavior towards Cigarette Littering in Romania: A Survey-Based Approach</t>
  </si>
  <si>
    <t>Lakatos, ES; Cioca, LI; Szilagyi, A; Bîrgovan, AL; Rada, EC (Italia)</t>
  </si>
  <si>
    <t>https://www.webofscience.com/wos/woscc/full-record/WOS:001045828000001</t>
  </si>
  <si>
    <t>https://www.mdpi.com/2071-1050/15/15/11908</t>
  </si>
  <si>
    <t>10.3390/su151511908</t>
  </si>
  <si>
    <t>1-10</t>
  </si>
  <si>
    <t>Environmental sustainability for traditional energy small and medium enterprises</t>
  </si>
  <si>
    <t>Karaeva, A (Italia); Ionescu, G; Cioca, LI; Tolkou, A (Grecia); Katsoyiannis, I (Grecia); Kyzas, G (Grecia)</t>
  </si>
  <si>
    <t>ENVIRONMENTAL SCIENCE AND POLLUTION RESEARCH</t>
  </si>
  <si>
    <t>0944-1344</t>
  </si>
  <si>
    <t>https://www.webofscience.com/wos/woscc/full-record/WOS:000930833200003</t>
  </si>
  <si>
    <t>https://link.springer.com/article/10.1007/s11356-023-25718-x</t>
  </si>
  <si>
    <t>10.1007/s11356-023-25718-x</t>
  </si>
  <si>
    <t>47822-47831</t>
  </si>
  <si>
    <t>Exopolysaccharides of Fungal Origin: Properties and Pharmaceutical Applications</t>
  </si>
  <si>
    <t>Stoica, RM; Moscovici, M; Lakatos, ES; Cioca, LI</t>
  </si>
  <si>
    <t>https://www.webofscience.com/wos/woscc/full-record/WOS:000942295400001</t>
  </si>
  <si>
    <t>https://www.mdpi.com/2227-9717/11/2/335</t>
  </si>
  <si>
    <t>10.3390/pr11020335</t>
  </si>
  <si>
    <t>1-18</t>
  </si>
  <si>
    <t>CRITICAL ANALYSIS OF MINI UNMANNED AERIAL VEHICLES (UAV) DEVELOPMENT CAPABILITIES AND PERSPECTIVES OF EFFECTIVE INTEGRATION IN HORTICULTURAL AGROECOSYSTEMS IN ROMANIA</t>
  </si>
  <si>
    <t>Iagaru, P; Boscoianu, M; Cioca, IL; Petre, IM; Pop, S; Sarbu, FA; Iagaru, R</t>
  </si>
  <si>
    <t>SCIENTIFIC PAPERS-SERIES MANAGEMENT ECONOMIC ENGINEERING IN AGRICULTURE AND RURAL DEVELOPMENT</t>
  </si>
  <si>
    <t>2284-7995</t>
  </si>
  <si>
    <t>https://www.webofscience.com/wos/woscc/full-record/WOS:000989840300032</t>
  </si>
  <si>
    <t>https://managementjournal.usamv.ro/pdf/vol.23_1/Art33.pdf</t>
  </si>
  <si>
    <t>293-302</t>
  </si>
  <si>
    <t>An Exploratory Study on Implementing Circular Economy in Rural Family Businesses</t>
  </si>
  <si>
    <t>Lakatos, ES; Druta, RM; Szilagyi, A; Birgovan, AL; Cioca, LI; Vatca, SD</t>
  </si>
  <si>
    <t>CIRCULAR BUSINESS MANAGEMENT IN SUSTAINABILITY</t>
  </si>
  <si>
    <t>2198-0772</t>
  </si>
  <si>
    <t>https://www.webofscience.com/wos/woscc/full-record/WOS:000982537700001</t>
  </si>
  <si>
    <t>https://link.springer.com/chapter/10.1007/978-3-031-23463-7_1</t>
  </si>
  <si>
    <t>10.1007/978-3-031-23463-7_1</t>
  </si>
  <si>
    <t>ISCMEE 2nd International Conference on Sustainable, Circular Management and Environmental Engineering</t>
  </si>
  <si>
    <t>Turcia</t>
  </si>
  <si>
    <t>978-3-031-23482-8; 978-3-031-23463-7; 978-3-031-23462-0</t>
  </si>
  <si>
    <t>Q1 (după AIS)</t>
  </si>
  <si>
    <t>Oleksik Mihaela</t>
  </si>
  <si>
    <t>Study on the Ecology, Biology and Ethology of the Invasive Species Corythucha arcuata Say, 1832 (Heteroptera: Tingidae), a Danger to Quercus spp. in the Climatic Conditions of the City of Sibiu, Romania</t>
  </si>
  <si>
    <t>Stanca-Moise Cristina (ULBS), Moise George(ULBS), Rotaru Mihaela(ULBS), Vonica Ghizela(National Brukenthal Museum), Sanislau Dorina(ULBS)</t>
  </si>
  <si>
    <t>IIM</t>
  </si>
  <si>
    <t>Journal FORESTS</t>
  </si>
  <si>
    <t xml:space="preserve">
1999-4907</t>
  </si>
  <si>
    <t>https://www.webofscience.com/wos/woscc/full-record/WOS:001017257400001?SID=EUW1ED0CE7n0kLq39IEp0hDVNRU2c</t>
  </si>
  <si>
    <t>https://www.mdpi.com/1999-4907/14/6/1278</t>
  </si>
  <si>
    <t>DOI: 10.3390/f14061278</t>
  </si>
  <si>
    <t>WOS:001017257400001</t>
  </si>
  <si>
    <t>Rotaru Mihaela</t>
  </si>
  <si>
    <t>Bratu, M. L. (ULBS); Cioca, L. I.(ULBS); Nerisanu, R. A. (ULBS); Rotaru, M. (ULBS); Plesa, R.(Univ. PETROSANI)</t>
  </si>
  <si>
    <t>Frontiers in Psychology</t>
  </si>
  <si>
    <t>ISSN=1664-1078</t>
  </si>
  <si>
    <t>https://www.webofscience.com/wos/woscc/full-record/WOS:001085496900001?SID=EUW1ED0CE7n0kLq39IEp0hDVNRU2c</t>
  </si>
  <si>
    <t>https://doi.org/10.3389/fpsyg.2023.1160046</t>
  </si>
  <si>
    <t>WOS:001085496900001</t>
  </si>
  <si>
    <t>Dobrota Dan</t>
  </si>
  <si>
    <t>A case study on thermal performance of solar air heater with down apex position of open trapezoidal ribs with gaps</t>
  </si>
  <si>
    <t>Gupta Naveen Kumar; Karmveer; Alam, Tabish; Siddiqui, Md Irfanul Haque; Khargotra Rohit; Dobrota Dan</t>
  </si>
  <si>
    <t>CASE STUDIES in THERMAL ENGINEERING</t>
  </si>
  <si>
    <t>https://1y10qdmy8-y-https-www-webofscience-com.z.e-nformation.ro/wos/woscc/full-record/WOS:001097316800001</t>
  </si>
  <si>
    <t>https://www.sciencedirect.com/science/article/pii/S2214157X2300878X</t>
  </si>
  <si>
    <t>10.1016/j.csite.2023.103572</t>
  </si>
  <si>
    <t>WOS:001097316800001</t>
  </si>
  <si>
    <t>103572</t>
  </si>
  <si>
    <t>Thermophysical properties of nanofluids and their potential applications in heat transfer enhancement: a review</t>
  </si>
  <si>
    <t>Sujata Kalsi, Sunil Kumar, Anil Kumar, Tabish Alam, Dan Dobrotă</t>
  </si>
  <si>
    <t>Arabian Journal of Chemistry</t>
  </si>
  <si>
    <t>1878-5352</t>
  </si>
  <si>
    <t>https://1y10qdmy8-y-https-www-webofscience-com.z.e-nformation.ro/wos/woscc/full-record/WOS:001086229100001</t>
  </si>
  <si>
    <t>https://www.sciencedirect.com/science/article/pii/S1878535223007347</t>
  </si>
  <si>
    <t>10.1016/j.arabjc.2023.105272</t>
  </si>
  <si>
    <t>WOS:001086229100001</t>
  </si>
  <si>
    <t>105272</t>
  </si>
  <si>
    <t>Mathematical modeling of active contraction of the human cardiac myocyte: A review</t>
  </si>
  <si>
    <t>Fisal Asiri,, Md Irfanul Haque Siddiqui, Masood Ashraf Ali, Tabish Alam, Dan Dobrota, Radu Chicea, Robert Daniel Dobrota,</t>
  </si>
  <si>
    <t>Helyion</t>
  </si>
  <si>
    <t>https://1y10qdmy8-y-https-www-webofscience-com.z.e-nformation.ro/wos/woscc/full-record/WOS:001081468400001</t>
  </si>
  <si>
    <t>https://www.cell.com/heliyon/fulltext/S2405-8440(23)07273-0?_returnURL=https%3A%2F%2Flinkinghub.elsevier.com%2Fretrieve%2Fpii%2FS2405844023072730%3Fshowall%3Dtrue</t>
  </si>
  <si>
    <t>ttps://doi.org/10.1016/j.heliyon.2023.e20065</t>
  </si>
  <si>
    <t>WOS:001081468400001</t>
  </si>
  <si>
    <t>Lazăr Sergiu, Dan Dobrotă, Radu-Eugen Breaz, Sever-Gabriel Racz</t>
  </si>
  <si>
    <t>POLYMERS</t>
  </si>
  <si>
    <t>https://1y10qdmy8-y-https-www-webofscience-com.z.e-nformation.ro/wos/woscc/full-record/WOS:001061188300001</t>
  </si>
  <si>
    <t>DOI10.3390/polym15173634</t>
  </si>
  <si>
    <t>3634</t>
  </si>
  <si>
    <t>Exergy and sustainability analysis of a solar heat collector with wavy delta winglets as turbulent promoters: a numerical analysis</t>
  </si>
  <si>
    <t>Rajesh Maithani, Anil Kumar, Masood Ashraf Ali, Naveen Kumar Gupta, Sachin Sharma, Tabish Alam, Sayed M. Eldin, Javed Khan Bhutto, Dan Dobrota, Florin Cristian Ciofu</t>
  </si>
  <si>
    <t>https://1y10qdmy8-y-https-www-webofscience-com.z.e-nformation.ro/wos/woscc/full-record/WOS:001045316900001</t>
  </si>
  <si>
    <t>DOI10.1016/j.csite.2023.103293</t>
  </si>
  <si>
    <t>https://1y10qdmy8-y-https-www-webofscience-com.z.e-nformation.ro/wos/woscc/full-record/WOS:001017864100001</t>
  </si>
  <si>
    <t>https://www.sciencedirect.com/science/article/pii/S2405844023035971</t>
  </si>
  <si>
    <t>DOI10.1016/j.heliyon.2023.e16390</t>
  </si>
  <si>
    <t>WOS:001017864100001</t>
  </si>
  <si>
    <t>e16390</t>
  </si>
  <si>
    <t>Experimental analysis of heat exchanger using perforated conical rings, twisted tape inserts and CuO/H2O nanofluids</t>
  </si>
  <si>
    <t xml:space="preserve">Anil Kumar, Masood Ashraf Ali, Rajesh Maithani, Naveen Kumar Gupta, Sachin Sharma, Sunil Kumar, Lohit Sharma, Robin Thakur, Tabish Alam, Dan Dobrota, Sayed M. Eldin </t>
  </si>
  <si>
    <t>https://1y10qdmy8-y-https-www-webofscience-com.z.e-nformation.ro/wos/woscc/full-record/WOS:001044245700001</t>
  </si>
  <si>
    <t>https://www.sciencedirect.com/science/article/pii/S2214157X23005610</t>
  </si>
  <si>
    <t>DOI10.1016/j.csite.2023.103255</t>
  </si>
  <si>
    <t>WOS:001044245700001</t>
  </si>
  <si>
    <t> 103255</t>
  </si>
  <si>
    <t>Experimental evaluation of diesel blends mixed with municipal plastic waste pyrolysis oil on performance and emission characteristics of CI engine</t>
  </si>
  <si>
    <t>Shashank Pal, Anil Kumar, Masood Ashraf Ali, Naveen Kumar Gupta, Shyam Pandey, Praveen Kumar Ghodkhe, Swapnil Bhurat, Tabish Alam, Sayed M. Eldin, Dan Dobrota</t>
  </si>
  <si>
    <t>https://1y10qdmy8-y-https-www-webofscience-com.z.e-nformation.ro/wos/woscc/full-record/WOS:001008375000001</t>
  </si>
  <si>
    <t>https://www.sciencedirect.com/science/article/pii/S2214157X23003805</t>
  </si>
  <si>
    <t>DOI10.1016/j.csite.2023.103074</t>
  </si>
  <si>
    <t>WOS:001008375000001</t>
  </si>
  <si>
    <t>103074</t>
  </si>
  <si>
    <t>Numerical analysis of heat transfer and fluid flow in microchannel heat sinks for thermal management</t>
  </si>
  <si>
    <t>Raghav Singupuram, Tabish Alam, Masood Ashraf Ali, Saboor Shaik, Naveen Kumar Gupta, Nevzat Akkurt, Mukesh Kumar, Sayed M. Eldin, Dan Dobrotă</t>
  </si>
  <si>
    <t>https://1y10qdmy8-y-https-www-webofscience-com.z.e-nformation.ro/wos/woscc/full-record/WOS:001017581800001</t>
  </si>
  <si>
    <t>https://www.sciencedirect.com/science/article/pii/S2214157X23002708</t>
  </si>
  <si>
    <t>DOI10.1016/j.csite.2023.102964</t>
  </si>
  <si>
    <t>WOS:001017581800001</t>
  </si>
  <si>
    <t>Develop a new correlation between thermal radiation and heat source in dual-tube heat exchanger with a twist ratio insert and dimple configurations: an experimental study</t>
  </si>
  <si>
    <t>Heeraman Jatoth, Ravinder Kumar, Prem Kumar Chaurasiya, Naveen Kumar Gupta, Dan Dobrotă</t>
  </si>
  <si>
    <t xml:space="preserve">
2227-9717</t>
  </si>
  <si>
    <t>https://1y10qdmy8-y-https-www-webofscience-com.z.e-nformation.ro/wos/woscc/full-record/WOS:000959028600001</t>
  </si>
  <si>
    <t>https://www.mdpi.com/2227-9717/11/3/860</t>
  </si>
  <si>
    <t>DOI10.3390/pr11030860</t>
  </si>
  <si>
    <t xml:space="preserve">
WOS:000959028600001</t>
  </si>
  <si>
    <t>860</t>
  </si>
  <si>
    <t>Optimal insulation assessment, emission analysis, and correlation formulation for Indian region</t>
  </si>
  <si>
    <t>Kallioğlu Mehmet Ali, Ahmet Yılmaz, Ashutosh Sharma, Ahmed Mohamed, Dan Dobrotă, Tabish Alam, Rohit Khargotra, Tej Singh.</t>
  </si>
  <si>
    <t>Buildings</t>
  </si>
  <si>
    <t>https://1y10qdmy8-y-https-www-webofscience-com.z.e-nformation.ro/wos/woscc/full-record/WOS:000938316900001</t>
  </si>
  <si>
    <t>https://www.mdpi.com/2075-5309/13/2/569</t>
  </si>
  <si>
    <t>DOI10.3390/buildings13020569</t>
  </si>
  <si>
    <t xml:space="preserve">
WOS:000938316900001</t>
  </si>
  <si>
    <t>569</t>
  </si>
  <si>
    <t>Bratu Mihaela Laura (ULBS), Cioca Lucian-Ionel (ULBS), Nerisanu Raluca Andreea (ULBS), Rotaru, Mihaela (ULBS), Plesa Roxana (UP)</t>
  </si>
  <si>
    <t>Bratu Mihaela</t>
  </si>
  <si>
    <t>Superposition of populations in multi-objective evolutionary optimization of car suspensions</t>
  </si>
  <si>
    <t>Adrian Florea (FING2), Ioana Cofaru (FING2), Andrei Patrausanu (FING2), Nicolae Cofaru (FING3), Ugo Fiore (UniSa)</t>
  </si>
  <si>
    <t>Engineering Applications of Artificial Intelligence</t>
  </si>
  <si>
    <t>Part C</t>
  </si>
  <si>
    <t>0952-1976</t>
  </si>
  <si>
    <t>https://1510qk9s7-y-https-www-webofscience-com.z.e-nformation.ro/wos/woscc/full-record/WOS:001068086000001</t>
  </si>
  <si>
    <t>https://1510ak9sm-y-https-www-sciencedirect-com.z.e-nformation.ro/science/article/pii/S0952197623012101?via%3Dihub</t>
  </si>
  <si>
    <t>10.1016/j.engappai.2023.107026</t>
  </si>
  <si>
    <t>1-32</t>
  </si>
  <si>
    <t>Florea Adrian</t>
  </si>
  <si>
    <t>Digital farming based on a smart and user-friendly IoT irrigation system: A conifer nursery case study</t>
  </si>
  <si>
    <t>Florea, Adrian;
Popa, Daniel-Ioan;
Morariu, Daniel;
Maniu, Ionela;
Berntzen, Lasse;
Fiore, Ugo</t>
  </si>
  <si>
    <t>IET CYBER-PHYSICAL SYSTEMS: THEORY &amp; APPLICATIONS</t>
  </si>
  <si>
    <t>April</t>
  </si>
  <si>
    <t>2398-3396</t>
  </si>
  <si>
    <t>https://www.webofscience.com/wos/woscc/full-record/WOS:000977303000001</t>
  </si>
  <si>
    <t>https://ietresearch.onlinelibrary.wiley.com/doi/10.1049/cps2.12054</t>
  </si>
  <si>
    <t>10.1049/cps2.12054</t>
  </si>
  <si>
    <t>Selective High-Latency Arithmetic Instruction Reuse in Multicore Processors</t>
  </si>
  <si>
    <t>Claudiu-Raul Buduleci (FING2), Arpad Gellert (FING2), Adrian Florea (FING2)</t>
  </si>
  <si>
    <t>https://www.scopus.com/record/display.uri?eid=2-s2.0-85179511939&amp;origin=resultslist</t>
  </si>
  <si>
    <t>https://ieeexplore.ieee.org/abstract/document/10308483/</t>
  </si>
  <si>
    <t>10.1109/ICSTCC59206.2023.10308483</t>
  </si>
  <si>
    <t>410-415</t>
  </si>
  <si>
    <t>27th International Conference on System Theory, Control and Computing (ICSTCC)</t>
  </si>
  <si>
    <t>Timisoara</t>
  </si>
  <si>
    <t>979-8-3503-3799-0</t>
  </si>
  <si>
    <t>The Role of Aggregators and Hubs in Collaborative Prosumer Networks</t>
  </si>
  <si>
    <t>Berntzen, L. (USN), Florea, A.(FING2)</t>
  </si>
  <si>
    <t>https://www.scopus.com/record/display.uri?eid=2-s2.0-85174443878&amp;origin=resultslist</t>
  </si>
  <si>
    <t>https://link.springer.com/chapter/10.1007/978-3-031-42622-3_2</t>
  </si>
  <si>
    <t>10.1007/978-3-031-42622-3_2</t>
  </si>
  <si>
    <t>21-34</t>
  </si>
  <si>
    <t>In: Camarinha-Matos, L.M., Boucher, X., Ortiz, A. (eds) Collaborative Networks in Digitalization and Society 5.0. PRO-VE 2023. IFIP Advances in Information and Communication Technology, vol 688. Springer, Cham</t>
  </si>
  <si>
    <t>Valencia</t>
  </si>
  <si>
    <t>978-3-031-42621-6</t>
  </si>
  <si>
    <t>MATLAB Library for Simulation of High Impedance Faults in Distribution Networks and Related Protective Relay Behaviour Analysis</t>
  </si>
  <si>
    <t>Şolea Claudiu(UP Timișoara) Toader Dumitru (UP Timișoara), Vințan, Maria, Greconici Marian (UP Timișoara), Vesa Daniela (UP Timișoara), Tatai Ildiko (UP Timișoara)</t>
  </si>
  <si>
    <t>13th International Symposium on Advanced Topics in Electrical Engineering, ATEE 2023</t>
  </si>
  <si>
    <t>https://www.scopus.com/record/display.uri?eid=2-s2.0-85159097091&amp;origin=resultslist</t>
  </si>
  <si>
    <t>https://ieeexplore.ieee.org/document/10108111</t>
  </si>
  <si>
    <t>10.1109/ATEE58038.2023.10108111</t>
  </si>
  <si>
    <t>1-4</t>
  </si>
  <si>
    <t>13th International Symposium on Advanced Topics in Electrical Engineering (ATEE)</t>
  </si>
  <si>
    <t>Bucuresti, Romania</t>
  </si>
  <si>
    <t>979-835033193-6</t>
  </si>
  <si>
    <t>Vintan Maria</t>
  </si>
  <si>
    <t>The influence of insulation active power losses on the single line-to-ground fault in medium voltage electrical networks with resonant grounding</t>
  </si>
  <si>
    <t>Proceedings of 2023 10th International Conference on Modern Power Systems, MPS 2023</t>
  </si>
  <si>
    <t>https://www.scopus.com/record/display.uri?eid=2-s2.0-85167873397&amp;origin=resultslist&amp;sort=plf-f</t>
  </si>
  <si>
    <t>0.1109/MPS58874.2023.10187515</t>
  </si>
  <si>
    <t>1-6</t>
  </si>
  <si>
    <t>10th International Conference on Modern Power Systems (MPS</t>
  </si>
  <si>
    <t>Cluj Napoca</t>
  </si>
  <si>
    <t>979-835032682-6</t>
  </si>
  <si>
    <t>Mathematical Models of the Phase Voltages of High-, Medium- and Low-Voltage Busbars in a Substation during a Phase-to-Ground Fault on High-Voltage Busbars</t>
  </si>
  <si>
    <t>Toader Dumitru (UP Timișoara), Vințan, Maria,</t>
  </si>
  <si>
    <t>Mathematics</t>
  </si>
  <si>
    <t>ISSN: 2227-7390</t>
  </si>
  <si>
    <t>https://www.webofscience.com/wos/woscc/full-record/WOS:001028167000001</t>
  </si>
  <si>
    <t>https://www.mdpi.com/2227-7390/11/13/3032</t>
  </si>
  <si>
    <t>https://doi.org/10.3390/math11133032</t>
  </si>
  <si>
    <t>WOS:001028167000001</t>
  </si>
  <si>
    <t>3032</t>
  </si>
  <si>
    <t>Estimating Travel Time for Autonomous Mobile Robots through Long Short-Term Memory</t>
  </si>
  <si>
    <t>Alexandru Matei, Stefan-Alexandru Precup, Dragos Circa, Arpad Gellert, Constantin-Bala Zamfirescu</t>
  </si>
  <si>
    <t>2227-7390</t>
  </si>
  <si>
    <t>https://www.webofscience.com/wos/woscc/full-record/WOS:000968778800001</t>
  </si>
  <si>
    <t>https://www.mdpi.com/2227-7390/11/7/1723</t>
  </si>
  <si>
    <t>10.3390/math11071723</t>
  </si>
  <si>
    <t>WOS:000968778800001</t>
  </si>
  <si>
    <t>1723</t>
  </si>
  <si>
    <t>Zamfirescu Bala - Constantin</t>
  </si>
  <si>
    <t>Collaborative exploitation of various AI methods in adaptive assembly assistance systems</t>
  </si>
  <si>
    <t>Stefan-Alexandru Precup, Alexandru Matei, Snehal Walunj (DFKI), Arpad Gellert, Christiane Plociennik (DFKI), Constantin-Bala Zamfirescu</t>
  </si>
  <si>
    <t>Procedia Computer Science</t>
  </si>
  <si>
    <t>1877-0509</t>
  </si>
  <si>
    <t>https://www.scopus.com/record/display.uri?eid=2-s2.0-85171736406&amp;origin=resultslist&amp;sort=plf-f&amp;src=s&amp;sid=1fb39f83755037dda4a1f57177fdb2a1&amp;sot=b&amp;sdt=b&amp;s=TITLE%28Collaborative+exploitation+of+various+AI+methods+in+adaptive+assembly+assistance+systems%29&amp;sl=95&amp;sessionSearchId=1fb39f83755037dda4a1f57177fdb2a1&amp;relpos=0</t>
  </si>
  <si>
    <t>https://www.sciencedirect.com/science/article/pii/S187705092300861X</t>
  </si>
  <si>
    <t>10.1016/j.procs.2023.08.103</t>
  </si>
  <si>
    <t>1170-1177</t>
  </si>
  <si>
    <t>Recognising Worker Intentions by Assembly Step Prediction</t>
  </si>
  <si>
    <t>Stefan-Alexandru Precup, Snehal Walunj (DFKI), Arpad Gellert, Christiane Plociennik (DFKI), Jibinraj Antony (DFKI), Constantin-Bala Zamfirescu, Martin Ruskowski (DFKI)</t>
  </si>
  <si>
    <t>https://www.scopus.com/record/display.uri?eid=2-s2.0-85175452820&amp;origin=resultslist&amp;sort=plf-f&amp;src=s&amp;sid=5ed6ccce404fdc6931274f9b9bd568a2&amp;sot=b&amp;sdt=b&amp;s=TITLE%28Recognising+Worker+Intentions+by+Assembly+Step+Prediction%29&amp;sl=64&amp;sessionSearchId=5ed6ccce404fdc6931274f9b9bd568a2&amp;relpos=0</t>
  </si>
  <si>
    <t>https://ieeexplore.ieee.org/document/10275423</t>
  </si>
  <si>
    <t>10.1109/ETFA54631.2023.10275423</t>
  </si>
  <si>
    <t/>
  </si>
  <si>
    <t>28th Int. Conference on Emerging Technologies and Factory Automation (ETFA)</t>
  </si>
  <si>
    <t>Sinaia</t>
  </si>
  <si>
    <t>979-8-3503-3990-1</t>
  </si>
  <si>
    <t>Adrian Florea(ULBS), Daniel-Ioan Popa(ULBS), Daniel Morariu(ULBS), Ionela Maniu(ULBS), Lasse Berntzen(USN-Norway), Ugo Fiore(UNIBG-Italy)</t>
  </si>
  <si>
    <t>IET Cyber-Physical Systems: Theory &amp; Applications</t>
  </si>
  <si>
    <t>https://doi.org/10.1049/cps2.12054</t>
  </si>
  <si>
    <t>WOS:000977303000001</t>
  </si>
  <si>
    <t>01/01/2019</t>
  </si>
  <si>
    <t>Morariu Ionel Daniel</t>
  </si>
  <si>
    <t>Gellert Arpad</t>
  </si>
  <si>
    <t>Claudiu-Raul Buduleci, Arpad Gellert, Adrian Florea</t>
  </si>
  <si>
    <t>https://www.scopus.com/record/display.uri?eid=2-s2.0-85179511939&amp;origin=resultslist&amp;sort=plf-f&amp;src=s&amp;sid=b581bf227eb9a0a7383e83d9420d7818&amp;sot=b&amp;sdt=b&amp;s=TITLE%28Selective+High-Latency+Arithmetic+Instruction+Reuse+in+Multicore+Processors%29&amp;sl=82&amp;sessionSearchId=b581bf227eb9a0a7383e83d9420d7818&amp;relpos=0</t>
  </si>
  <si>
    <t>https://ieeexplore.ieee.org/document/10308483</t>
  </si>
  <si>
    <t>27th Int. Conference on System Theory, Control and Computing (ICSTCC)</t>
  </si>
  <si>
    <t>979-8-3503-3798-3</t>
  </si>
  <si>
    <t>VOICE METRICS FOR DISCOURSE QUALITY ANALYSIS</t>
  </si>
  <si>
    <t>Jinga Nicolae(UPB)
Florica Moldoveanu (UPB),
Alin Moldoveanu (UPB),
Anca Morar (UPB),
Irina Mocanu(UPB), Alexandru Butean(ULBS)</t>
  </si>
  <si>
    <t>UNIVERSITY POLITEHNICA OF BUCHAREST SCIENTIFIC BULLETIN SERIES C-ELECTRICAL ENGINEERING AND COMPUTER SCIENCE</t>
  </si>
  <si>
    <t xml:space="preserve"> 2286-3540</t>
  </si>
  <si>
    <t>https://www.webofscience.com/wos/woscc/full-record/WOS:001052259100001</t>
  </si>
  <si>
    <t>https://www.scientificbulletin.upb.ro/rev_docs_arhiva/rezce5_355532.pdf</t>
  </si>
  <si>
    <t>WOS:001052259100001</t>
  </si>
  <si>
    <t>12/03/2023</t>
  </si>
  <si>
    <t>Butean Vasile Alexandru</t>
  </si>
  <si>
    <t>Superposition of populations in multi-objective evolutionary optimization of car suspensions. Engineering applications of artificial intelligence, 126, 107026.</t>
  </si>
  <si>
    <t>Cofaru Ileana Ioana</t>
  </si>
  <si>
    <t>Using infrared thermography for addressing the spatial variability of electromagnetic field in the proximity of emitting antennas</t>
  </si>
  <si>
    <t>Annamaria Sârbu,
Alina Cotoi
David Vatamanu,
Cătălina Neghină,
Simona Miclăuş</t>
  </si>
  <si>
    <t>AFT
AFT
AFT 
FING2
AFT</t>
  </si>
  <si>
    <t>https://www.scopus.com/record/display.uri?eid=2-s2.0-85167865899&amp;origin=resultslist&amp;sort=plf-f&amp;src=s&amp;sid=9a7847a44421a478e169a42b9febff01&amp;sot=b&amp;sdt=b&amp;s=AUTH%28Catalina+Neghina%29&amp;sl=23&amp;sessionSearchId=9a7847a44421a478e169a42b9febff01&amp;relpos=0</t>
  </si>
  <si>
    <t>10.1109/MPS58874.2023.10187538</t>
  </si>
  <si>
    <t>International Conference on Modern Power Systems (MPS)</t>
  </si>
  <si>
    <t>Cluj-Napoca</t>
  </si>
  <si>
    <t>Neghina Elena Catalina</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</si>
  <si>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</si>
  <si>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</si>
  <si>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</si>
  <si>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</si>
  <si>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</si>
  <si>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</si>
  <si>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</si>
  <si>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</si>
  <si>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</si>
  <si>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</si>
  <si>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</si>
  <si>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</si>
  <si>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</si>
  <si>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Filip F.G. (AR), Zamfirescu B.C. (ULBS), Ciurea C. (ASE)</t>
  </si>
  <si>
    <t>Systems Collaboration and Integration: See Past and Future Research through the PRISM Center</t>
  </si>
  <si>
    <t>Springer</t>
  </si>
  <si>
    <t>978-3-031-44372-5</t>
  </si>
  <si>
    <t>90-106</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</si>
  <si>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</si>
  <si>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</si>
  <si>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</si>
  <si>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</si>
  <si>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</si>
  <si>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</si>
  <si>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</si>
  <si>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</si>
  <si>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</si>
  <si>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</si>
  <si>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</si>
  <si>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</si>
  <si>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</si>
  <si>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</si>
  <si>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</si>
  <si>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</si>
  <si>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</si>
  <si>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</si>
  <si>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Pîrvu Bogdan-Constantin</t>
  </si>
  <si>
    <t>Futures of Innovation Technologies European Digital Innovation Hub (FIT EDIH)
Contract de finanțare nr. 6_EDIH/ 7.12.2023 cu Autoritatea pentru Digitalizarea României, în calitate de Organism Intermediar pentru
Programul Creștere Inteligentă, Digitalizare și Instrumente Financiare</t>
  </si>
  <si>
    <t>Acțiunea 2.4 Digitalizarea IMM-urilor realizată prin Hub-uri de Inovare Digitală Europene din România (EDIH), Programul Creștere Inteligentă, Digitalizare și Instrumente Financiare 2021-2027</t>
  </si>
  <si>
    <t>Beneficiar</t>
  </si>
  <si>
    <t>https://mfe.gov.ro/wp-content/uploads/2023/08/3ff0f432f163054ec0eac505477f20a5-1.pdf</t>
  </si>
  <si>
    <t>372.765 Euro</t>
  </si>
  <si>
    <t>Bouleanu Iulian</t>
  </si>
  <si>
    <t>Partener</t>
  </si>
  <si>
    <t>Boulean Paraschiv Iulian</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</si>
  <si>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</si>
  <si>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</si>
  <si>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</si>
  <si>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</si>
  <si>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</si>
  <si>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</si>
  <si>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</si>
  <si>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</si>
  <si>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</si>
  <si>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</si>
  <si>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</si>
  <si>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</si>
  <si>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</si>
  <si>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</si>
  <si>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</si>
  <si>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</si>
  <si>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</si>
  <si>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</si>
  <si>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Rosca, N., Oleksik, V., Pascu, A., Oleksik, M., Avrigean, E</t>
  </si>
  <si>
    <t>Optical study for springback prediction, thickness reduction and forces variations on single point incremental forming.</t>
  </si>
  <si>
    <t>Szpunar, M., &amp; Trzepieciński, T. (2023). Prediction of the coefficient of friction in the single point incremental forming of truncated cones from a Grade 2 titanium sheet. Tribologia-Finnish Journal of Tribology, 40(1− 2), 4-17.</t>
  </si>
  <si>
    <t>https://www.scopus.com/record/display.uri?eid=2-s2.0-85168096654&amp;origin=resultslist&amp;sort=plf-f&amp;src=s&amp;citedAuthorId=56184609800&amp;imp=t&amp;sid=931c4ceeb75c5711e0ac8b8b7608f983&amp;sot=cite&amp;sdt=cite&amp;cluster=scopubyr%2c%222023%22%2ct&amp;sl=0&amp;relpos=0&amp;citeCnt=3&amp;searchTerm=</t>
  </si>
  <si>
    <t>Racz S. G., Breaz R. E., Tera M., Gîrjob C+E16+A16:D33+A16:D32+A16:D33</t>
  </si>
  <si>
    <t>Incremental Forming of Titanium Ti6Al4V Alloy for Cranioplasty Plates-Decision-Making Process and Technological Approaches</t>
  </si>
  <si>
    <t>V. Tuninetti, A. Onate, M. Valenzuela, H. Sepulveda, G. Pincheira, C. Medina,C. Garcia-Herrera, L. Duchene, A.M. Habraken, Characterization approaches affect asymmetric load predictions of hexagonal close-packed alloy, Journal of Materials Research and Technology, Vol: 26, Page: 5028-5036, 2023</t>
  </si>
  <si>
    <t>https://doi.org/10.1016/j.jmrt.2023.08.255, https://1510ak3fw-y-https-www-sciencedirect-com.z.e-nformation.ro/science/article/pii/S2238785423020665?via%3Dihub</t>
  </si>
  <si>
    <t>WoS, WOS:001074003700001</t>
  </si>
  <si>
    <t>Racz S. G., Breaz R. E., Tera M., Gîrjob C., Biriș C., Chicea, A. L., Bologa O.</t>
  </si>
  <si>
    <t>Yu, L., Zhu, J., Zhang, L., Liang, S., Cheng, J. and Chen, L. (2023), Passivation Behavior of Water-Quenched and Heat-Treated Ti–6Al–4V in Hank's Solution. Adv. Eng. Mater., 25: 2300754</t>
  </si>
  <si>
    <t>https://doi.org/10.1002/adem.202300754, https://1511hk3gk-y-https-onlinelibrary-wiley-com.z.e-nformation.ro/doi/10.1002/adem.202300754</t>
  </si>
  <si>
    <t>WoS, WOS:001050245400001</t>
  </si>
  <si>
    <t>Jindal P, Bharadwaja SSS, Rattra S, et al. Designing cranial fixture shapes and topologies for optimizing PEEK implant thickness in cranioplasty. Proceedings of the Institution of Mechanical Engineers, Part L: Journal of Materials: Design and Applications. 2023;237(8):1752-1770</t>
  </si>
  <si>
    <t>https://doi.org/10.1177/14644207231155761, https://1510pk5r5-y-https-doi-org.z.e-nformation.ro/10.1177/146442072311557</t>
  </si>
  <si>
    <t>Tera M., Breaz R. E., Racz S. G., Girjob C. E.</t>
  </si>
  <si>
    <t>Processing strategies for single point incremental forming—a CAM approach</t>
  </si>
  <si>
    <r>
      <rPr>
        <rFont val="Arial Narrow"/>
        <color theme="1"/>
        <sz val="10.0"/>
      </rPr>
      <t>Wen, L.; Li, Y.; Zheng, S.; Xu, H.; Liu, Y.; Yuan, Q.; Zhang, Y.; Wu, H.; Shen, Y.; Kong, J.; et al. Study on Deformation Force of Hard Aluminum Alloy Incremental Forming. </t>
    </r>
    <r>
      <rPr>
        <rFont val="Arial Narrow"/>
        <i/>
        <color theme="1"/>
        <sz val="10.0"/>
      </rPr>
      <t>Coatings</t>
    </r>
    <r>
      <rPr>
        <rFont val="Arial Narrow"/>
        <color theme="1"/>
        <sz val="10.0"/>
      </rPr>
      <t> 2023, </t>
    </r>
    <r>
      <rPr>
        <rFont val="Arial Narrow"/>
        <i/>
        <color theme="1"/>
        <sz val="10.0"/>
      </rPr>
      <t>13</t>
    </r>
    <r>
      <rPr>
        <rFont val="Arial Narrow"/>
        <color theme="1"/>
        <sz val="10.0"/>
      </rPr>
      <t>, 571</t>
    </r>
  </si>
  <si>
    <t>https://doi.org/10.3390/coatings13030571, https://www.mdpi.com/2079-6412/13/3/571</t>
  </si>
  <si>
    <t>WoS, WOS:000955202300001</t>
  </si>
  <si>
    <t>Crenganiș,M.,  Tera,BM.  Biriș, C.  Gîrjob, G.</t>
  </si>
  <si>
    <t>Dynamic Analysis of a 7 DOF Robot Using Fuzzy Logic for Inverse Kinematics Problem</t>
  </si>
  <si>
    <t>Raja Venkata Sai Kiran Jakkula &amp; Prabhu Sethuramalingam (2023) Analysis of Coatings based on Carbon-based Nanomaterials for Paint Industries-A Review, Australian Journal of Mechanical Engineering, 21:3, 1008-1036, DOI: 10.1080/14484846.2021.1938953</t>
  </si>
  <si>
    <t>https://1510ql0gx-y-https-www-webofscience-com.z.e-nformation.ro/wos/woscc/full-record/WOS:000664892900001</t>
  </si>
  <si>
    <t>Wos</t>
  </si>
  <si>
    <t>Parikh, P., Sharma, A., Trivedi, R. et al. Performance evaluation of an indigenously-designed high performance dynamic feeding robotic structure using advanced additive manufacturing technology, machine learning and robot kinematics. Int J Interact Des Manuf (2023). https://doi.org/10.1007/s12008-023-01513-3</t>
  </si>
  <si>
    <t>https://link.springer.com/article/10.1007/s12008-023-01513-3#citeas</t>
  </si>
  <si>
    <t>Nugroho, E.A., Setiawan, J.D., Munadi, M., Handling Four DOF Robot to Move Objects Based on Color and Weight using Fuzzy Logic Control, Journal of Robotics and Control (JRC)Open AccessVolume 4, Issue 6, Pages 769 - 7792023</t>
  </si>
  <si>
    <t>https://15109l0h7-y-https-www-scopus-com.z.e-nformation.ro/record/display.uri?eid=2-s2.0-85184755429&amp;origin=resultslist&amp;sort=plf-f&amp;src=s&amp;sid=66187cc16a43d775c0a679732151d3de&amp;sot=b&amp;sdt=b&amp;s=TITLE-ABS-KEY%28Handling+Four+DOF+Robot+to+Move+Objects+Based+on+Color+and+Weight+using+Fuzzy+Logic+Control%29&amp;sl=106&amp;sessionSearchId=66187cc16a43d775c0a679732151d3de&amp;relpos=0</t>
  </si>
  <si>
    <t xml:space="preserve">Crenganis M., Tera M., Biris C., Girjob C. </t>
  </si>
  <si>
    <t>Wang Y., Qiu JH., Wu J., Wang J., Inverse kinematic solution of a 7-DOF robot with a telescopic forearm based on joint limit and inertia matrix fluctuation, International Journal of Robotics and Automation, vol. 38(1), pp 50-59 
DOI: 10.2316/J.2023.206-0769, 2023, WOS:001022238600006</t>
  </si>
  <si>
    <t>https://www.webofscience.com/wos/woscc/full-record/WOS:001022238600006</t>
  </si>
  <si>
    <t>WoS</t>
  </si>
  <si>
    <t>Racz S. G., Breaz R. E., Bologa O., Tera M., Oleksik V. S.</t>
  </si>
  <si>
    <t>Using an Adaptive Network-based Fuzzy Inference System to Estimate the Vertical Force in Single Point Incremental Forming</t>
  </si>
  <si>
    <t>Kumar, P., Singh, H. Experimental analysis of tool geometry and tool rotation in SPIF process on AA7075-O alloy using ML and ANN approach. Int J Interact Des Manuf (2023)</t>
  </si>
  <si>
    <t>https://doi.org/10.1007/s12008-023-01535-x, https://1510gk3kj-y-https-link-springer-com.z.e-nformation.ro/article/10.1007/s12008-023-01535-x</t>
  </si>
  <si>
    <t>WoS, WOS:001079917200003</t>
  </si>
  <si>
    <t>Nagargoje, A., Kankar, P.K., Jain, P.K. et al. Application of artificial intelligence techniques in incremental forming: a state-of-the-art review. J Intell Manuf 34, 985–1002 (2023)</t>
  </si>
  <si>
    <t>https://www.webofscience.com/wos/woscc/summary/f9d9268d-f756-4481-89d8-2f4426f839af-ec5ed961/relevance/1</t>
  </si>
  <si>
    <t>Racz, S.-G.; Crenganiș, M.; Breaz, R.-E.; Bârsan, A.; Gîrjob, C.-E.; Biriș, C.-M.; Tera, M.</t>
  </si>
  <si>
    <t>Integrating Trajectory Planning with Kinematic Analysis and Joint Torques Estimation for an Industrial Robot Used in Incremental Forming Operations</t>
  </si>
  <si>
    <t>Krishna, R. S., Suresh, K., Priyadarshini, A., &amp; Singh, S. K. (2023). A retrospective review on recent developments in the micro-incremental sheet forming process. Advances in Materials and Processing Technologies, 1–29</t>
  </si>
  <si>
    <t>https://doi.org/10.1080/2374068X.2023.2201752, https://1511mk3lp-y-https-www-tandfonline-com.z.e-nformation.ro/doi/full/10.1080/2374068X.2023.2201752</t>
  </si>
  <si>
    <t>WoS, WOS:000973473000001</t>
  </si>
  <si>
    <t>A. Klimchik, Comparison of compliance error compensation approaches for robotic manipulators with double encoders, 2023 IEEE International Conference on Robotics and Biomimetics (ROBIO), Koh Samui, Thailand, 2023, pp. 1-6</t>
  </si>
  <si>
    <t>https://doi.org/10.1109/ROBIO58561.2023.10354557, https://15113k5p0-y-https-ieeexplore-ieee-org.z.e-nformation.ro/document/10354557</t>
  </si>
  <si>
    <t>Wang Jincheng,Liu Yi,Min Junying. Springback Control of Laser-Assisted Robot Double-point Roll Forming Based on Response Surface Method[J]. Chinese Journal of Plasticity Engineering,2023,30(6):222-230</t>
  </si>
  <si>
    <t>https://doi.org/10.3969/j.issn.1007-2012.2023.06.021, https://d.wanfangdata.com.cn/periodical/ChlQZXJpb2RpY2FsQ0hJTmV3UzIwMjMxMjI2Eg9zeGdjeGIyMDIzMDYwMjIaCG44NHRvdDZz</t>
  </si>
  <si>
    <t>Racz, S.-G.; Crenganiș, M.; Breaz, R.-E.; Maroșan, A.; Bârsan, A.; Gîrjob, C.-E.; Biriș, C.-M.; Tera, M.</t>
  </si>
  <si>
    <t>Mobile Robots—AHP-Based Actuation Solution Selection and Comparison between Mecanum Wheel Drive and Differential Drive with Regard to Dynamic Loads</t>
  </si>
  <si>
    <t>Morariu, Fineas; Morariu Timotei;Racz, Sever-Gabriel., Mobile robot vision navigation strategy based on Pixy2 camera, Materials Today: Proceedings, DOI
10.1016/j.matpr.2023.04.327</t>
  </si>
  <si>
    <t>https://www.scopus.com/record/display.uri?eid=2-s2.0-85156272445&amp;citeCnt=1_DELIM_1_DELIM_CTODS_1696722914_DELIM_1&amp;origin=resultslist&amp;sort=plf-f&amp;refeid=2-s2.0-85140900114&amp;src=s&amp;imp=t&amp;sid=10a56806dbe4d4f79cf6094c3eb5e9fa&amp;sot=ctocbw&amp;sdt=a&amp;sl=42&amp;s=PUBYEAR+IS+2023+AND+NOT+AU-ID%2835193491700%29&amp;relpos=0&amp;citeCnt=0&amp;searchTerm=</t>
  </si>
  <si>
    <t>Łopatka, M.J.; Cieślik, K.; Krogul, P.; Muszyński, T.; Przybysz, M.; Rubiec, A.; Spadło, K. Research on Terrain Mobility of UGV with Hydrostatic Wheel Drive and Slip Control Systems. Energies 2023, 16, 6938</t>
  </si>
  <si>
    <t>https://doi.org/10.3390/en16196938, https://www.mdpi.com/1996-1073/16/19/6938</t>
  </si>
  <si>
    <t>WoS, WOS:001145641500001</t>
  </si>
  <si>
    <t>Tera, M., Biris&lt; C.,</t>
  </si>
  <si>
    <t>Comparison between Deep-Drawing and Incremental Forming Processes from an Environmental Point of View</t>
  </si>
  <si>
    <t>RS Bhasker, Y Kumar - Process capabilities and future scope of Incremental Sheet Forming (ISF), Materials Today: Proceedings, 2023 - Elsevier</t>
  </si>
  <si>
    <t>https://www.sciencedirect.com/science/article/pii/S2214785322059259?casa_token=7fThbhc0aVkAAAAA:6CsDWMaTEzuxDKoH4Tz9zccWQ6ahwof1JM-NMo0nYrCR04MuzkGdb_sUOjvjgg96rBTeDq06fLk</t>
  </si>
  <si>
    <t>MK Agrawal, P Singh, P Mishra, RK Deb, A brief review on the perspective of a newer incremental sheet forming technique and its usefulness, Advances in Materials …, 2023 - Taylor &amp; Francis</t>
  </si>
  <si>
    <t>https://www.tandfonline.com/doi/full/10.1080/2374068X.2023.2168288?casa_token=W1CoU2i3UVwAAAAA%3AyDZME0m2HFZVe-ggCI_tsdsz8wxDRTUFQpXXikUyLPKywqRUTuqAxjbrNr7JnuiMB3vEnUubb-RUBA</t>
  </si>
  <si>
    <t xml:space="preserve">Breaz, R.E., Racz, S.G., Girjob, C.E., Tera, M., Biris, C. </t>
  </si>
  <si>
    <t>Using open source software CNC controllers and modular multi-axis mechanical structure as integrated teaching environment for CAD/CAM/CAE training</t>
  </si>
  <si>
    <t>Medina-Triviño, P., Triviño-Tarradas, P., Ortiz-Cordero, R., Gonzalez-Redondo, M. (2023). Design and Creation of an Economical Camera Slider for Photography. In: Gerbino, S., Lanzotti, A., Martorelli, M., Mirálbes Buil, R., Rizzi, C., Roucoules, L. (eds) Advances on Mechanics, Design Engineering and Manufacturing IV. JCM 2022. Lecture Notes in Mechanical Engineering. Springer, Cham.</t>
  </si>
  <si>
    <t>https://doi.org/10.1007/978-3-031-15928-2_97, https://1510gk5ou-y-https-link-springer-com.z.e-nformation.ro/chapter/10.1007/978-3-031-15928-2_97</t>
  </si>
  <si>
    <t>Breaz R.E., Bologa O., Racz S.G.</t>
  </si>
  <si>
    <t>Selecting industrial robots for milling applications using AHP</t>
  </si>
  <si>
    <t>Bui, HA., Nguyen, XT. A novel multicriteria decision-making process for selecting spot welding robot with removal effects of criteria techniques. Int J Interact Des Manuf 18, 1033–1052 </t>
  </si>
  <si>
    <t> https://doi.org/10.1007/s12008-023-01650-9, https://1510gk3fj-y-https-link-springer-com.z.e-nformation.ro/article/10.1007/s12008-023-01650-9</t>
  </si>
  <si>
    <t>WoS, 
WOS:001131918500002</t>
  </si>
  <si>
    <t>Shanmugasundaram S, Muthaiah R. Selection of Robot for Contour Crafting Using Analytical Hierarchy Process. Civil and Environmental Engineering Reports. 2023;33(4):123-150</t>
  </si>
  <si>
    <t>https://doi.org/10.59440/ceer/177605, https://www.ceer.com.pl/Selection-of-Robot-for-Contour-Crafting-Using-Analytical-Hierarchy-Process,177605,0,2.html</t>
  </si>
  <si>
    <t>WoS, WOS:001166416600005</t>
  </si>
  <si>
    <t>Hassan Soltan, Khaled Janada, Mohamed Omar,FAQT-2: A customer-oriented method for MCDM with statistical verification applied to industrial robot selection,Expert Systems with Applications, Volume 226,2023,120106</t>
  </si>
  <si>
    <t>https://doi.org/10.1016/j.eswa.2023.120106, https://www.sciencedirect.com/science/article/pii/S0957417423006085</t>
  </si>
  <si>
    <t>WoS, WOS:000998259700001</t>
  </si>
  <si>
    <t>Sampathkumar S, Augustin F, Kaabar MK, Yue X-G. An integrated intuitionistic dense fuzzy Entropy-COPRAS-WASPAS approach for manufacturing robot selection. Advances in Mechanical Engineering. 2023;15(3)</t>
  </si>
  <si>
    <t>https://doi.org/10.1177/16878132231160265, https://1510pk3fz-y-https-journals-sagepub-com.z.e-nformation.ro/doi/10.1177/16878132231160265</t>
  </si>
  <si>
    <t>WoS, WOS:000956645400001</t>
  </si>
  <si>
    <t>Hagag, A.M.; Yousef, L.S.; Abdelmaguid, T.F. Multi-Criteria Decision-Making for Machine Selection in Manufacturing and Construction: Recent Trends. Mathematics 2023, 11, 631</t>
  </si>
  <si>
    <t>https://doi.org/10.3390/math11030631, https://www.mdpi.com/2227-7390/11/3/631</t>
  </si>
  <si>
    <t>WoS, WOS:000931361900001</t>
  </si>
  <si>
    <r>
      <rPr>
        <rFont val="Arial Narrow"/>
        <color theme="1"/>
        <sz val="10.0"/>
      </rPr>
      <t>Wen, L.; Li, Y.; Zheng, S.; Xu, H.; Liu, Y.; Yuan, Q.; Zhang, Y.; Wu, H.; Shen, Y.; Kong, J.; et al. Study on Deformation Force of Hard Aluminum Alloy Incremental Forming. </t>
    </r>
    <r>
      <rPr>
        <rFont val="Arial Narrow"/>
        <i/>
        <color theme="1"/>
        <sz val="10.0"/>
      </rPr>
      <t>Coatings</t>
    </r>
    <r>
      <rPr>
        <rFont val="Arial Narrow"/>
        <color theme="1"/>
        <sz val="10.0"/>
      </rPr>
      <t> 2023, </t>
    </r>
    <r>
      <rPr>
        <rFont val="Arial Narrow"/>
        <i/>
        <color theme="1"/>
        <sz val="10.0"/>
      </rPr>
      <t>13</t>
    </r>
    <r>
      <rPr>
        <rFont val="Arial Narrow"/>
        <color theme="1"/>
        <sz val="10.0"/>
      </rPr>
      <t>, 571</t>
    </r>
  </si>
  <si>
    <t>Bologa O., Breaz R.E., Racz S.G.</t>
  </si>
  <si>
    <t>Using the Analytic Hierarchy Process (AHP) and fuzzy logic to evaluate the possibility of introducing single point incremental forming on industrial scale</t>
  </si>
  <si>
    <t>Mypati, O., Mukherjee, A., Mishra, D. et al. A critical review on applications of artificial intelligence in manufacturing. Artif Intell Rev 56 (Suppl 1), 661–768 (2023)</t>
  </si>
  <si>
    <t>https://doi.org/10.1007/s10462-023-10535-y, https://1510gk3kj-y-https-link-springer-com.z.e-nformation.ro/article/10.1007/s10462-023-10535-y</t>
  </si>
  <si>
    <t>WoS, WOS:001020129700002</t>
  </si>
  <si>
    <t>Breaz R. E., Bologa O., Racz S. G.</t>
  </si>
  <si>
    <t>Selecting between CNC milling, robot milling and DMLS processes using a combined AHP and fuzzy approach</t>
  </si>
  <si>
    <t>Pantscharowitsch, M., and Kromoser, B. (March 14, 2023). "Automated Subtractive Timber Manufacturing—Joinery Machines Versus Industrial Robots." ASME. J. Manuf. Sci. Eng. June 2023; 145(6): 061011</t>
  </si>
  <si>
    <t>https://doi.org/10.1115/1.4056924, https://asmedigitalcollection.asme.org/manufacturingscience/article-abstract/145/6/061011/1159630/Automated-Subtractive-Timber-Manufacturing-Joinery?redirectedFrom=fulltext</t>
  </si>
  <si>
    <t>WoS, WOS:000981666300001</t>
  </si>
  <si>
    <t>Bologa O., Breaz R. E., Racz S. G.</t>
  </si>
  <si>
    <t>A Fuzzy-based Decision Support Tool for Engineering Curriculum Design</t>
  </si>
  <si>
    <t>Usha M., Mahalingam T., Ahilan A., Sathiamoorthy J., EOEEORFP: Eagle Optimized Energy Efficient Optimal Route-Finding Protocol for Secure Data Transmission in FANETs, IETE Journal of Research, Taylor &amp; Francis, 0377-2063, 2023</t>
  </si>
  <si>
    <t>https://doi.org/10.1080/03772063.2023.2253777, https://1511mk3lp-y-https-www-tandfonline-com.z.e-nformation.ro/doi/full/10.1080/03772063.2023.2253777</t>
  </si>
  <si>
    <t>WoS, WOS:001075512500001</t>
  </si>
  <si>
    <t>Crenganis M., Breaz R., Racz G., Bologa O.</t>
  </si>
  <si>
    <t>Inverse kinematics of a 7 DOF manipulator using Adaptive Neuro-Fuzzy Inference Systems</t>
  </si>
  <si>
    <t>C. -K. Ho, L. -W. Chan, C. -T. King and T. -Y. Yen, A Deep Learning Approach to Navigating the Joint Solution Space of Redundant Inverse Kinematics and Its Applications to Numerical IK Computations, in IEEE Access, vol. 11, pp. 2274-2290, 2023</t>
  </si>
  <si>
    <t>https://doi.org/10.1109/ACCESS.2023.3234104, https://15113k3lu-y-https-ieeexplore-ieee-org.z.e-nformation.ro/document/10005285</t>
  </si>
  <si>
    <t>WoS, WOS:000912347400001</t>
  </si>
  <si>
    <t>Rusu, G.-P.; Breaz, R.-E.; Popp, M.-O.; Oleksik, V.; Racz, S.-G.</t>
  </si>
  <si>
    <t>Hoang, T.-K.; Luyen, T.-T.; Nguyen, D.-T. Enhancing/Improving Forming Limit Curve and Fracture Height Predictions in the Single-Point Incremental Forming of Al1050 Sheet Material. Materials 2023, 16, 7266</t>
  </si>
  <si>
    <t>https://doi.org/10.3390/ma16237266, https://www.mdpi.com/1996-1944/16/23/7266</t>
  </si>
  <si>
    <t>WoS, WOS:001115935100001</t>
  </si>
  <si>
    <t>Cioca, L.-I.; Breaz, R.-E.; Racz, S.-G.</t>
  </si>
  <si>
    <t>Selecting the Safest CNC Machining Workshop Using AHP and TOPSIS Approaches</t>
  </si>
  <si>
    <t>Wu, M., Liu, Q. &amp; Wang, Z. A comparative evaluation of child health care in China using multicriteria decision analysis methods. BMC Health Serv Res 23, 1217 (2023)</t>
  </si>
  <si>
    <t>https://doi.org/10.1186/s12913-023-10204-4, https://bmchealthservres.biomedcentral.com/articles/10.1186/s12913-023-10204-4</t>
  </si>
  <si>
    <t>WoS, WOS:001095348800001</t>
  </si>
  <si>
    <t>Racz, S.-G.; Breaz, R.-E.; Cioca, L.-I. </t>
  </si>
  <si>
    <t>Hazards That Can Affect CNC Machine Tools during Operation-An AHP Approach</t>
  </si>
  <si>
    <t>Kminiak, R.; Němec, M.; Igaz, R.; Gejdoš, M. Advisability-Selected Parameters of Woodworking with a CNC Machine as a Tool for Adaptive Control of the Cutting Process. Forests 2023, 14, 173</t>
  </si>
  <si>
    <t>https://doi.org/10.3390/f14020173, https://www.mdpi.com/1999-4907/14/2/173</t>
  </si>
  <si>
    <t>WoS, WOS:000945126700001</t>
  </si>
  <si>
    <t>Reducing the Risks during the Purchase of Five-Axis CNC Machining Centers Using AHP Method and Fuzzy Systems</t>
  </si>
  <si>
    <r>
      <rPr>
        <rFont val="Arial Narrow"/>
        <color theme="1"/>
        <sz val="10.0"/>
      </rPr>
      <t>Hagag, A.M.; Yousef, L.S.; Abdelmaguid, T.F. Multi-Criteria Decision-Making for Machine Selection in Manufacturing and Construction: Recent Trends. </t>
    </r>
    <r>
      <rPr>
        <rFont val="Arial Narrow"/>
        <i/>
        <color theme="1"/>
        <sz val="10.0"/>
      </rPr>
      <t>Mathematics</t>
    </r>
    <r>
      <rPr>
        <rFont val="Arial Narrow"/>
        <color theme="1"/>
        <sz val="10.0"/>
      </rPr>
      <t> 2023, </t>
    </r>
    <r>
      <rPr>
        <rFont val="Arial Narrow"/>
        <i/>
        <color theme="1"/>
        <sz val="10.0"/>
      </rPr>
      <t>11</t>
    </r>
    <r>
      <rPr>
        <rFont val="Arial Narrow"/>
        <color theme="1"/>
        <sz val="10.0"/>
      </rPr>
      <t>, 631</t>
    </r>
  </si>
  <si>
    <t xml:space="preserve"> Racz S. G., Oleksik V. S., Breaz R. E.</t>
  </si>
  <si>
    <t>Incremental forming - CAE/CAM approaches and results</t>
  </si>
  <si>
    <t>Wen, L.; Li, Y.; Zheng, S.; Xu, H.; Liu, Y.; Yuan, Q.; Zhang, Y.; Wu, H.; Shen, Y.; Kong, J.; et al. Study on Deformation Force of Hard Aluminum Alloy Incremental Forming. Coatings 2023, 13, 571</t>
  </si>
  <si>
    <t>Briş, C., Breaz, R.E., Gîrjob, C., Chicea, A.</t>
  </si>
  <si>
    <t>Researches regarding optimising the contouring precision of CNC laser cutting machines</t>
  </si>
  <si>
    <t>Chang, Ping-Yueh; Chou, Fu-I; Yang, Po-Yuan; Chen, Shao-Hsien, Hybrid Multi-Object Optimization Method for Tapping Center Machines, Intelligent Automation &amp; Soft Computing, Vol.36, No.1, pp. 23-38, 2023</t>
  </si>
  <si>
    <t>https://doi.org/10.32604/iasc.2023.031609, https://www.techscience.com/iasc/v36n1/49997</t>
  </si>
  <si>
    <t>WoS, Scopus WOS:000875708100002</t>
  </si>
  <si>
    <t>Barsan A., Racz S.-G., Breaz, R.-E.</t>
  </si>
  <si>
    <t>Incremental forming using KUKA KR210-2 industrial robot - research regarding design rules and process modelling</t>
  </si>
  <si>
    <t>Attar, H., Abu-Jassar, A.T., Lyashenko, V. et al. Proposed synchronous electric motor simulation with built-in permanent magnets for robotic systems. SN Appl. Sci. 5, 160 (2023)</t>
  </si>
  <si>
    <t>https://doi.org/10.1007/s42452-023-05375-y, https://1510gk5zd-y-https-link-springer-com.z.e-nformation.ro/article/10.1007/s42452-023-05375-y</t>
  </si>
  <si>
    <t>WoS,  WOS:000990305700001</t>
  </si>
  <si>
    <t>Bârsan A., Racz S. G., Breaz R. E., Crenganiș M.</t>
  </si>
  <si>
    <t>Evaluation of the Dimensional Accuracy Through 3d Optical Scanning in Incremental Sheet Forming</t>
  </si>
  <si>
    <t>Dutta, B.J. and Chandna, P., 2023. Process variables optimization for multiple responses in SPIF of titanium using Taguchi-GRA. Engineering Research Express, 6(1), p.015004.</t>
  </si>
  <si>
    <t>https://doi.org/10.1088/2631-8695/ad0c8b, https://iopscience.iop.org/article/10.1088/2631-8695/ad0c8b/pdf</t>
  </si>
  <si>
    <t>WoS, WOS:001128072800001</t>
  </si>
  <si>
    <t>Bharti, S., Karvaje, K.S., Krishnaswamy, H. et al. Investigation of feature-based and space-filling tool path strategies for formability in incremental sheet metal forming. Int J Mater Form 16, 60 (2023)</t>
  </si>
  <si>
    <t>https://doi.org/10.1007/s12289-023-01781-0, https://1510gk5ou-y-https-link-springer-com.z.e-nformation.ro/article/10.1007/s12289-023-01781-0</t>
  </si>
  <si>
    <t xml:space="preserve">Bârsan A., Racz S. G., Breaz R. E., Crenganiș M. </t>
  </si>
  <si>
    <t>Dynamic analysis of a robot-based incremental sheet forming using Matlab-Simulink Simscape (TM) environment</t>
  </si>
  <si>
    <t>Cohodar Husic, M., Ficko, M., Begic-Hajdarevic, D., Persak, T., Cekic, A., Klancnik, S. (2023). An Approach to Dynamic Modelling of Industrial Robots Based on 3D Cad Technique. In: Karabegovic, I., Kovačević, A., Mandzuka, S. (eds) New Technologies, Development and Application VI. NT 2023. Lecture Notes in Networks and Systems, vol 687. Springer, Cham. </t>
  </si>
  <si>
    <t>https://doi.org/10.1007/978-3-031-31066-9_50, https://1510gk5ou-y-https-link-springer-com.z.e-nformation.ro/chapter/10.1007/978-3-031-31066-9_50</t>
  </si>
  <si>
    <t xml:space="preserve"> Racz S. G., Breaz R. E., Oleksik V. S., Bologa O., Brândașu P.D. </t>
  </si>
  <si>
    <t>Simulated 3-axis versus 5-axis Processing Toolpaths for Single Point Incremental Forming</t>
  </si>
  <si>
    <t>Makwana, Rudreshkumar; Modi, Bharat; Patel, Kaushik. Single-stage single point incremental square hole flanging of AA5052 material, Materials and Manufacturing Processes, 38(6), Taylor &amp; Francis, 2023</t>
  </si>
  <si>
    <t>https://doi.org/10.1080/10426914.2022.2136377, https://1511mk5pg-y-https-www-tandfonline-com.z.e-nformation.ro/doi/full/10.1080/10426914.2022.2136377</t>
  </si>
  <si>
    <t>Breaz R.E., Bologa O., Racz, S.G., Crenganis M.</t>
  </si>
  <si>
    <t>Selecting between CNC turning centers using a combined AHP and fuzzy approach</t>
  </si>
  <si>
    <t>Ahmed, H.M.M., Kamel, A.A.Eb.A.A. A university leader selection novel intelligent system based on Fuzzy-AHP and PROMETTEE II. Int. j. inf. tecnol. 15, 3857–3871 (2023)</t>
  </si>
  <si>
    <t>https://doi.org/10.1007/s41870-023-01344-1, https://1510gk5ou-y-https-link-springer-com.z.e-nformation.ro/article/10.1007/s41870-023-01344-1</t>
  </si>
  <si>
    <t>https://doi.org/10.1007/s10845-021-01868-y, https://1510gk5ou-y-https-link-springer-com.z.e-nformation.ro/article/10.1007/s10845-021-01868-y</t>
  </si>
  <si>
    <t>Kumar, D.S., Ethiraj, N., Vigil, M.S.A., PROCESS PARAMETERS OPTIMIZATION IN SINGLE STAGE INCREMENTAL FORMING OF AISI 304 SHEET METAL USING ANALYTIC HIERARCHY PROCESS AND VIKOR METHOD, Academic Journal of Manufacturing Engineering, Volume 21, Issue 3, Pages 100 - 109, 2023</t>
  </si>
  <si>
    <t>https://ajme.ro/PDF_AJME_2023_3/L14.pdf</t>
  </si>
  <si>
    <t>Watanasungsuit, A., Sangkhiew, N., Inthawongse, C., Jomtong, P., A Modified AHP for Large-scale MCDM: a Case of Power Station Construction Project Selection, Science and Technology Asia, 28(3), pp. 220-230, 2023</t>
  </si>
  <si>
    <t>https://15109k5oq-y-https-www-scopus-com.z.e-nformation.ro/record/display.uri?eid=2-s2.0-85172875319&amp;citeCnt=7_DELIM_7_DELIM_CTODS_1781860293_DELIM_1&amp;origin=resultslist&amp;sort=plf-f&amp;refeid=2-s2.0-85040307546&amp;src=s&amp;imp=t&amp;sid=a3194c416936205f39d5645d8e4fb44c&amp;sot=ctocbw&amp;sdt=a&amp;sl=15&amp;s=PUBYEAR+IS+2023&amp;relpos=1&amp;citeCnt=1&amp;searchTerm=</t>
  </si>
  <si>
    <t>Kumar, V., Gupta, P., Mohata, A., Das, P.P., Selection of industrial arc welding robot using integrated PIPRECIA-TOPSIS model, AIP Conference Proceedings 2786, 020001, 2023</t>
  </si>
  <si>
    <t>https://doi.org/10.1063/5.0145509, https://pubs.aip.org/aip/acp/article-abstract/2786/1/020001/2893796/Selection-of-industrial-arc-welding-robot-using?redirectedFrom=fulltext</t>
  </si>
  <si>
    <t>G. B. Mahanta, B. Mohanty, A. Rout, B. B. Biswal and A. Jha, "Selection of cobot for human-robot collaboration for robotic assembly task with Best Worst MCDM techniques," 2023 IEEE 7th Conference on Information and Communication Technology (CICT), Jabalpur, India, 2023, pp. 1-6</t>
  </si>
  <si>
    <t>https://doi.org/10.1109/CICT59886.2023, https://15113k5sj-y-https-ieeexplore-ieee-org.z.e-nformation.ro/document/10455478</t>
  </si>
  <si>
    <t>Tajani, Z., Tajani, C., Khattabi, I., Sabbane, M.,A metaheuristic approach to improve consistency of the pairwise matrix in AHP, Mathematical Modeling and Computing, Vol. 10, No. 4, pp. 1164–1173 (2023)</t>
  </si>
  <si>
    <t>https://doi.org/10.23939/mmc2023.04.1164, https://science.lpnu.ua/mmc/all-volumes-and-issues/volume-10-number-4-2023/metaheuristic-approach-improve-consistency</t>
  </si>
  <si>
    <t>Bologa O., Breaz R.-E., Racz S.-G., Crenganis M.</t>
  </si>
  <si>
    <t>Using the Analytic Hierarchy Process (AHP) in Evaluating the Decision of Moving to a Manufacturing Process Based Upon Continuous 5 Axes CNC Machine-tools</t>
  </si>
  <si>
    <t>Tamiru, H., Dinka, M.O., The use of the multi-criteria analysis for the exploration of surface irrigation potential zones: A case of the Didesa sub-basin, Abay basin, Ethiopia, Journal of Water and Land Development, (58), pp. 198-211, 2023</t>
  </si>
  <si>
    <t>https://doi.org/10.24425/jwld.2023.146612, https://journals.pan.pl/dlibra/publication/146612/edition/128742/content</t>
  </si>
  <si>
    <t>Ginestra, P., Piccininni, A., Demir, A.G. (2024). Conventional and Innovative Aspects of Bespoke Metal Implants Production. In: Carrino, L., Galantucci, L.M., Settineri, L. (eds) Selected Topics in Manufacturing. Lecture Notes in Mechanical Engineering. Springer, Cham. </t>
  </si>
  <si>
    <t>https://doi.org/10.1007/978-3-031-41163-2_11, https://link.springer.com/chapter/10.1007/978-3-031-41163-2_11</t>
  </si>
  <si>
    <t>Crenganis M., Breaz R.-E., Racz S.-G., Bologa O. </t>
  </si>
  <si>
    <t>The inverse kinematics solutions of a 7 DOF robotic arm using Fuzzy Logic</t>
  </si>
  <si>
    <t>Filaretov, V.; Gubankov, A.; Gornostaev, I. Development and Experimental Studies of a Method Based on a Reference Control Signal Generating System for Redundant Serial Manipulators. Robotics 2023, 12, 75</t>
  </si>
  <si>
    <t>https://doi.org/10.3390/robotics12030075, https://www.mdpi.com/2218-6581/12/3/75</t>
  </si>
  <si>
    <t>Kramar, V.; Kramar, O.; Kabanov, A.; Alchakov, V. Neural Network Method of Controlling Self-Collisions of Multilink Manipulators Based on the Solution of the Classification Problem. Appl. Sci. 2023, 13, 13240</t>
  </si>
  <si>
    <t>https://doi.org/10.3390/app132413240, https://www.mdpi.com/2076-3417/13/24/13240</t>
  </si>
  <si>
    <t xml:space="preserve">Breaz R.E., Racz S.G., Bologa O., Oleksik V.S. </t>
  </si>
  <si>
    <t>Motion control of medium size cnc machine-tools-a hands-on approach</t>
  </si>
  <si>
    <t>A. Palcu and D. D. Lucache, Realisation of a Low-Cost Three-Axis CNC for Processing Soft Materials, 2023 International Conference on Electromechanical and Energy Systems (SIELMEN), Craiova, Romania, 2023, pp. 1-4</t>
  </si>
  <si>
    <t>https://doi.org/10.1109/SIELMEN59038.2023.10290838, https://15113k5xf-y-https-ieeexplore-ieee-org.z.e-nformation.ro/document/10290838</t>
  </si>
  <si>
    <t>Chera I., Bologa O., Racz S.G., Breaz R.E.</t>
  </si>
  <si>
    <t>Robot-forming-an incremental forming process using an industrial robot by means of DELMIA software package</t>
  </si>
  <si>
    <t>R. Henriques Secolo, J. Antonio Giles Ferrer and T. Tadeu Amici, Simulation of Automation Being Supported by Lean Manufacturing, 2023 15th IEEE International Conference on Industry Applications (INDUSCON), São Bernardo do Campo, Brazil, 2023, pp. 1388-1395</t>
  </si>
  <si>
    <t>https://doi.org/10.1109/INDUSCON58041.2023.10374868, https://15113k5xf-y-https-ieeexplore-ieee-org.z.e-nformation.ro/document/10374868</t>
  </si>
  <si>
    <t>Parikh, P; Sharma, A; (...); Joshi, K.,  Performance evaluation of an indigenously-designed high performance dynamic feeding robotic structure using advanced additive manufacturing technology, machine learning and robot kinematics.” International Journal on Interactive Design and Manufacturing (IJIDeM), 2023, DOI:10.1007/s12008-023-01513-3, WOS:001077399400002</t>
  </si>
  <si>
    <t>https://www.webofscience.com/wos/woscc/full-record/WOS:001077399400002</t>
  </si>
  <si>
    <t>WoS, Scopus</t>
  </si>
  <si>
    <t>Nugroho, E.A., Setiawan, J.D., Munadi, M.Handling Four DOF Robot to Move Objects Based on Color and Weight using Fuzzy Logic Control</t>
  </si>
  <si>
    <t>https://15109k46y-y-https-www-scopus-com.z.e-nformation.ro/record/display.uri?eid=2-s2.0-85184755429&amp;origin=resultslist&amp;sort=plf-f&amp;cite=2-s2.0-85081055133&amp;src=s&amp;imp=t&amp;sid=1ded6d4c9b81e88618b1a093a2cba891&amp;sot=cite&amp;sdt=a&amp;sl=0&amp;relpos=0&amp;citeCnt=1&amp;searchTerm=</t>
  </si>
  <si>
    <t>Jakkula, Raja Venkata Sai Kiran, Sethuramalingam, Prabhu, Analysis of Coatings based on Carbon-based Nanomaterials for Paint Industries-A Review, Australian Journal of Mechanical EngineeringVolume 21, Issue 3, Pages 1008 - 1036, DOI
10.1080/14484846.2021.1938953</t>
  </si>
  <si>
    <t>https://www.scopus.com/results/citedbyresults.uri?sort=plf-f&amp;refeid=2-s2.0-85081055133&amp;src=s&amp;imp=t&amp;sid=dd9a0fd111bc62fd7a4d57eea69a3ee8&amp;sot=ctocbw&amp;sdt=a&amp;sl=42&amp;s=PUBYEAR+IS+2023+AND+NOT+AU-ID%2835193491700%29&amp;origin=cto&amp;citeCnt=1_DELIM_1_DELIM_CTODS_1696722914_DELIM_1&amp;txGid=e8bef9bdc1829bc7def366ad2325b94c</t>
  </si>
  <si>
    <t>Integrating Trajectory Planning with Kinematic Analysis and Joint Torques Estimation for an Industrial Robot Used in Incremental Forming Operations. Machines 2022, 10, 531. https://doi.org/10.3390/machines10070531</t>
  </si>
  <si>
    <t>Wang J.-C.; Liu, Yi, Min, Jun-Ying, Springback control of laser-assisted double-sided robotic roller forming based on response surface method, Suxing Gongcheng Xuebao/Journal of Plasticity EngineeringVolume 30, Issue 6, Pages 222 - 230, DOI
10.3969/j.issn.1007-2012.2023.06.021</t>
  </si>
  <si>
    <t>https://www.scopus.com/record/display.uri?eid=2-s2.0-85169918978&amp;citeCnt=2_DELIM_2_DELIM_CTODS_1696722914_DELIM_1&amp;origin=resultslist&amp;sort=plf-f&amp;refeid=2-s2.0-85133593066&amp;src=s&amp;imp=t&amp;sid=2b94b314f9f76f0f75e4f060235cc959&amp;sot=ctocbw&amp;sdt=a&amp;sl=42&amp;s=PUBYEAR+IS+2023+AND+NOT+AU-ID%2835193491700%29&amp;relpos=0&amp;citeCnt=0&amp;searchTerm=</t>
  </si>
  <si>
    <t>Klimchik, A., Comparison of compliance error compensation approaches for robotic manipulators with double encoders, 2023 IEEE International Conference on Robotics and Biomimetics, ROBIO 2023, DOI
10.1109/ROBIO58561.2023.10354557</t>
  </si>
  <si>
    <t>https://www.scopus.com/record/display.uri?eid=2-s2.0-85182585449&amp;citeCnt=1_DELIM_4_DELIM_CTODS_1747088553_DELIM_1&amp;origin=resultslist&amp;sort=plf-f&amp;refeid=2-s2.0-85133593066&amp;src=s&amp;imp=t&amp;sid=634da4441cc4fe53a03274929b4d9144&amp;sot=ctocbw&amp;sdt=a&amp;sl=43&amp;s=PUBYEAR+BEF+2026+AND+NOT+AU-ID%2835193491700%29&amp;relpos=2&amp;citeCnt=0&amp;searchTerm=</t>
  </si>
  <si>
    <t>Krishna RS.,  Suresh K., Priyadarshini A.,  Singh SK., A retrospective review on recent developments in the micro-incremental sheet forming process, Advances in materials and processing technilogies,
DOI10.1080/2374068X.2023.2201752, 2023, WOS:000973473000001</t>
  </si>
  <si>
    <t>https://www.webofscience.com/wos/woscc/full-record/WOS:000973473000001</t>
  </si>
  <si>
    <t>Constantin, G.; Maroșan, I.-A.; Crenganiș, M.; Botez, C.; Gîrjob, C.-E.; Biriș, C.-M.; Chicea, A.-L.; Bârsan, A.</t>
  </si>
  <si>
    <t>Monitoring the Current Provided by a Hall Sensor Integrated in a Drive Wheel Module of a Mobile Robot. Machines 2023, 11, 385.</t>
  </si>
  <si>
    <t>Pookkuttath, S; Abdulkader, RE; Elara, MR; Veerajagadheswar, P., AI-Enabled Vibrotactile Feedback-Based Condition Monitoring Framework for Outdoor Mobile Robots, Mathematics, vol 11, 18, DOI10.3390/math11183804</t>
  </si>
  <si>
    <t>https://www.webofscience.com/wos/woscc/full-record/WOS:001071742900001?AlertId=53b20fa4-6482-42ad-aff0-aaa011c9f55f&amp;SID=EUW1ED0A2F5CY4pYaWTAuZoMx4bWH</t>
  </si>
  <si>
    <t>Pookkuttath, S; Veerajagadheswar, P; Elara, MR, AI-Enabled Condition Monitoring Framework for Indoor Mobile Cleaning Robots, Mathematics, vol.11, issue 17, DOI10.3390/math11173682</t>
  </si>
  <si>
    <t>https://www.webofscience.com/wos/woscc/full-record/WOS:001062145900001</t>
  </si>
  <si>
    <t>Gou, X.; Tang, Z.; Gao, Y.; Chen, K.; Wang, H. Current-Sensing Topology with Multi Resistors in Parallel and Its Protection Circuit. Appl. Sci. 2023, 13, 8382. https://doi.org/10.3390/app13148382</t>
  </si>
  <si>
    <t>https://www.scopus.com/record/display.uri?eid=2-s2.0-85166183657&amp;citeCnt=1_DELIM_1_DELIM_CTODS_1696722914_DELIM_1&amp;origin=resultslist&amp;sort=plf-f&amp;refeid=2-s2.0-85151479075&amp;src=s&amp;imp=t&amp;sid=7b1a41ab1c5f7b5dd68a3e08e2ac66ec&amp;sot=ctocbw&amp;sdt=a&amp;sl=42&amp;s=PUBYEAR+IS+2023+AND+NOT+AU-ID%2835193491700%29&amp;relpos=0&amp;citeCnt=0&amp;searchTerm=</t>
  </si>
  <si>
    <t>Wos, Scopus</t>
  </si>
  <si>
    <t>Crenganiş, M., Breaz, R., Racz, G., Bologa, O.</t>
  </si>
  <si>
    <t>Ho, C.-K. , Chan, L.-W. , King, C.-T., A Deep Learning Approach to Navigating the Joint Solution Space of Redundant Inverse Kinematics and Its Applications to Numerical IK Computations</t>
  </si>
  <si>
    <t>https://15109k46y-y-https-www-scopus-com.z.e-nformation.ro/record/display.uri?origin=citedby&amp;eid=2-s2.0-85147220241&amp;noHighlight=false&amp;sort=plf-f&amp;src=s&amp;sid=e0c97fc255b24cce01ab98aaf70b85ff&amp;sot=b&amp;sdt=b&amp;sl=101&amp;s=TITLE-ABS-KEY%28Inverse+kinematics+of+a+7+DOF+manipulator+using+adaptive+neuro-fuzzy+inference+systems%29&amp;relpos=0</t>
  </si>
  <si>
    <t>Wos, SCOPUS</t>
  </si>
  <si>
    <t>Racz, S.-G.; Crenganiș, M.; Breaz R.-E, Maroșan A..; Bârsan, A.; Gîrjob, C.-E.; Biriș, C.-M.; Tera, M.</t>
  </si>
  <si>
    <t>Marariu Timotei, Morariu, Fineas, Gabriel, Racz, Mobile robot vision navigation strategy based on Pixy2 camera</t>
  </si>
  <si>
    <t>https://15109k489-y-https-www-scopus-com.z.e-nformation.ro/record/display.uri?eid=2-s2.0-85156272445&amp;origin=resultslist&amp;sort=plf-f&amp;src=s&amp;sid=960c5babb8e70ef240a0f3183180e7f3&amp;sot=b&amp;sdt=b&amp;s=TITLE-ABS-KEY%28Mobile+robot+vision+navigation+strategy+based+on+Pixy2+camera%29&amp;sl=119&amp;sessionSearchId=960c5babb8e70ef240a0f3183180e7f3&amp;relpos=0</t>
  </si>
  <si>
    <t>Łopatka, M.J.; Cieślik, K.; Krogul, P.; Muszyński, T.; Przybysz, M.; Rubiec, A.; Spadło, K. Research on Terrain Mobility of UGV with Hydrostatic Wheel Drive and Slip Control Systems. Energies 2023, 16, 6938. https://doi.org/10.3390/en16196938</t>
  </si>
  <si>
    <t>https://www.webofscience.com/wos/woscc/full-record/WOS:001145641500001</t>
  </si>
  <si>
    <t>Mihai Crenganiș, Alexandru Bârsan, Sever-Gabriel Racz, Monica Daniela Iordache,</t>
  </si>
  <si>
    <t xml:space="preserve"> Single point incremental forming using KUKA KR6-2 industrial robot-a dynamic approach</t>
  </si>
  <si>
    <t>G Hussain, M Hassan, H Wei, J Buhl, M Xiao, Advances on Incremental forming of composite materials</t>
  </si>
  <si>
    <t>https://www.sciencedirect.com/science/article/pii/S1110016823006282</t>
  </si>
  <si>
    <t>WoS, SCOPUS</t>
  </si>
  <si>
    <t>H Attar, AT Abu-Jassar, V Lyashenko, A Al-qerem, Proposed synchronous electric motor simulation with built-in permanent magnets for robotic systems</t>
  </si>
  <si>
    <t>https://www.webofscience.com/wos/woscc/full-record/WOS:000990305700001</t>
  </si>
  <si>
    <t>Octavian Bologa, Radu-Eugen Breaz, Sever-Gabriel Racz, Mihai Crenganiş</t>
  </si>
  <si>
    <t>Using the Analytic Hierarchy Process (AHP) in evaluating the decision of moving to a manufacturing process based upon continuous 5 axes CNC machine-tools</t>
  </si>
  <si>
    <t>H Tamiru, MO Dinka, The use of the multi-criteria analysis for the exploration of surface irrigation potential zones: A case of the Didesa sub-basin, Abay basin, Ethiopia, 	
Journal of Water and Land Development
, (58), pp. 198–211</t>
  </si>
  <si>
    <t>https://15109k46y-y-https-www-scopus-com.z.e-nformation.ro/record/display.uri?eid=2-s2.0-85173976329&amp;origin=resultslist&amp;sort=plf-f&amp;src=s&amp;sid=132d92476e9b9962980050063e313c78&amp;sot=b&amp;sdt=b&amp;s=TITLE-ABS-KEY%28The+use+of+the+multi-criteria+analysis+for+the+exploration+of+surface+irrigation+potential+zones%3A+A+case+of+the+Didesa+sub-basin%2C+Abay+basin%2C+Ethiopia%29&amp;sl=165&amp;sessionSearchId=132d92476e9b9962980050063e313c78&amp;relpos=0</t>
  </si>
  <si>
    <t>Ionut Chera, Octavian Bologa, Gabriel Racz, Radu Breaz, Mihai Crenganis</t>
  </si>
  <si>
    <t>FEM researches regarding incremental forming process</t>
  </si>
  <si>
    <t>Kräusel, V.Klinger, T.,Kořenek, J., Rosoux, F. ,Madej, Ł, Investigation of the suitability of a tool element manufactured by fused filament fabrication for incremental sheet metal forming, Materials Research Proceedings
, 25, pp. 77–84</t>
  </si>
  <si>
    <t>10.7494/cmms.2023.1.0804
https://www.scopus.com/record/display.uri?eid=2-s2.0-85152678192&amp;origin=resultslist&amp;sort=plf-f&amp;src=s&amp;sid=cbd536863aa6733e462c161afd609fd9&amp;sot=b&amp;sdt=b&amp;s=TITLE-ABS-KEY%28Investigation+of+the+suitability+of+a+fused+filament+fabricated+tool+for+incremental+sheet+metal+forming%29&amp;sl=144&amp;sessionSearchId=cbd536863aa6733e462c161afd609fd9&amp;relpos=0</t>
  </si>
  <si>
    <t>Mihai Crenganiş, Radu Breaz, Gabriel Racz, Octavian Bologa</t>
  </si>
  <si>
    <t>Liu, T.,Liu, Z., Gan, T., 
Xu, J., Exact Inverse Solution for a 7R Manipulator Based on a Novel Screw-Based Sub-problem, Lecture Notes in Mechanical Engineering
, pp. 1783–1795</t>
  </si>
  <si>
    <t>https://www.scopus.com/record/display.uri?eid=2-s2.0-85163937082&amp;origin=resultslist&amp;sort=plf-f&amp;src=s&amp;sot=mulcite&amp;sdt=mulcite&amp;cluster=scopubyr%2C%222023%22%2Ct&amp;s=REFEID%282-s2.0-84871708731%29&amp;citeCnt=1&amp;sessionSearchId=b836047591cfdef1c3138a4dbc5970a9&amp;relpos=2</t>
  </si>
  <si>
    <t>V Filaretov, A Gubankov, I Gornostaev -Development and Experimental Studies of a Method Based on a Reference Control Signal Generating System for Redundant Serial Manipulators, Robotics
, 12(3), 75</t>
  </si>
  <si>
    <t>https://www.webofscience.com/wos/woscc/full-record/WOS:001015806100001</t>
  </si>
  <si>
    <t>WOS, Scopus</t>
  </si>
  <si>
    <t>V Kramar, O Kramar, A Kabanov, V Alchakov, Neural Network Method of Controlling Self-Collisions of Multilink Manipulators Based on the Solution of the Classification Problem,  
Kabanov, A.
, 
Alchakov, V.
Applied Sciences (Switzerland)
, 13(24), 13240</t>
  </si>
  <si>
    <t>https://www.webofscience.com/wos/woscc/full-record/WOS:001130694300001</t>
  </si>
  <si>
    <t xml:space="preserve">WOS, Scopus </t>
  </si>
  <si>
    <t>Mihai Crenganis, Cristina Biris, Claudia Girjob</t>
  </si>
  <si>
    <t>Mechatronic Design of a Four-Wheel drive mobile robot and differential steering</t>
  </si>
  <si>
    <t>Allouzi Mohamed, A Elbashir, MH Al-Kuhali, Design Changes, Saving Materials and Energy in Food Serving Robot Via Topology Optimization, 2023 IEEE 19th International Conference on Automation Science and Engineering (CASE), Auckland, New Zealand, 2023, pp. 1-6, doi: 10.1109/CASE56687.2023.10260438.</t>
  </si>
  <si>
    <t>https://15109k489-y-https-www-scopus-com.z.e-nformation.ro/record/display.uri?eid=2-s2.0-85174393239&amp;origin=resultslist&amp;sort=plf-f&amp;src=s&amp;sid=960c5babb8e70ef240a0f3183180e7f3&amp;sot=b&amp;sdt=b&amp;s=TITLE-ABS-KEY%28Design+Changes%2C+Saving+Materials+and+Energy+in+Food+Serving+Robot+Via+Topology+Optimization%29&amp;sl=119&amp;sessionSearchId=960c5babb8e70ef240a0f3183180e7f3&amp;relpos=0</t>
  </si>
  <si>
    <t>Hang, D.T., Tien, N.M., Quang, H.D., Duyen, H.T.K., Minh, P.X., Dynamic Surface Control Tracking Algorithm for Four-wheel Differential Drive Mobile Robot, Proceedings - 12th IEEE International Conference on Control, Automation and Information Sciences, ICCAIS 2023, pp. 5-10, DOI
10.1109/ICCAIS59597.2023.10382341</t>
  </si>
  <si>
    <t>https://ieeexplore.ieee.org/abstract/document/10382341?casa_token=844pKWti-3oAAAAA:tEBa5QOJTe5xC1gmlwC5Xdkw-MU8Uenup5SqSYawzTRnvYxGwwFVBl47DS3v-IfULouI12vcVeo</t>
  </si>
  <si>
    <t>Crenganiș, M., Biris C., Gîrjob C.</t>
  </si>
  <si>
    <t>Gray, J., Richards, M., Muir, P., (...), Rosalie, C., Rajic, N., The effect of positional instability on the detection of barely visible impact damage in composites using a mobile thermographic inspection robot, Materials Research Proceedings
27, pp. 50-58</t>
  </si>
  <si>
    <t>https://www.scopus.com/record/display.uri?eid=2-s2.0-85159595568&amp;origin=resultslist&amp;sort=plf-f&amp;cite=2-s2.0-85174393239&amp;refeid=2-s2.0-85145357772&amp;src=s&amp;imp=t&amp;sid=daea1e91b4ae0af8cec846dbb1205fe9&amp;sot=cite&amp;sdt=a&amp;sl=0&amp;relpos=2&amp;citeCnt=0&amp;searchTerm=</t>
  </si>
  <si>
    <t>Radu Eugen Breaz, Octavian Bologa, Sever Gabriel Racz, Mihai Crenganiş</t>
  </si>
  <si>
    <t>HMM Ahmed, AAEAA Kamel, A university leader selection novel intelligent system based on Fuzzy-AHP and PROMETTEE II, International Journal of Information Technology (Singapore)
, 15(7), pp. 3857–3871</t>
  </si>
  <si>
    <t>https://www.scopus.com/record/display.uri?eid=2-s2.0-85163791524&amp;origin=resultslist&amp;sort=plf-f&amp;src=s&amp;sot=mulcite&amp;sdt=mulcite&amp;cluster=scopubyr%2C%222023%22%2Ct&amp;s=REFEID%282-s2.0-85081067712%29&amp;citeCnt=1&amp;sessionSearchId=789e288724e36875996026f5bc923ad4&amp;relpos=0</t>
  </si>
  <si>
    <t>AI Marosan, G Constantin, A Barsan, M Crenganis, C Girjob</t>
  </si>
  <si>
    <t>Creating an ethernet communication between a Simatic S7-1200 PLC and Arduino Mega for an omnidirectional mobile platform and industrial equipment</t>
  </si>
  <si>
    <t>MR Khalil, LA Mohammed, A novel Ethernet based processing system for remote source harmonic detection, Telkomnika (Telecommunication Computing Electronics and Control)
, 21(2), pp. 400–408</t>
  </si>
  <si>
    <t>A Bârsan, SG Racz, R Breaz, M Crenganiş</t>
  </si>
  <si>
    <t xml:space="preserve"> Evaluation of the dimensional accuracy through 3d optical scanning in incremental sheet forming</t>
  </si>
  <si>
    <t>S Bharti, KS Karvaje, H Krishnaswamy, Investigation of feature-based and space-filling tool path strategies for formability in incremental sheet metal forming</t>
  </si>
  <si>
    <t>https://www.scopus.com/record/display.uri?eid=2-s2.0-85171381033&amp;origin=resultslist&amp;sort=plf-f&amp;src=s&amp;sot=mulcite&amp;sdt=mulcite&amp;cluster=scopubyr%2C%222023%22%2Ct&amp;s=REFEID%282-s2.0-85151430561%29&amp;citeCnt=1&amp;sessionSearchId=0cc756924b37eeb80d28dba4f2677f32&amp;relpos=0</t>
  </si>
  <si>
    <t>Alexandru Bârsan, Sever-Gabriel Racz, Radu Breaz, Mihai Crenganiș</t>
  </si>
  <si>
    <t>Dynamic analysis of a robot-based incremental sheet forming using Matlab-Simulink Simscape™ environment</t>
  </si>
  <si>
    <t>M Cohodar Husic, M Ficko, D Begic-Hajdarevic, An Approach to Dynamic Modelling of Industrial Robots Based on 3D Cad Technique</t>
  </si>
  <si>
    <t>https://www.scopus.com/record/display.uri?eid=2-s2.0-85161231765&amp;origin=resultslist&amp;sort=plf-f&amp;src=s&amp;sot=mulcite&amp;sdt=mulcite&amp;cluster=scopubyr%2C%222023%22%2Ct&amp;s=REFEID%282-s2.0-85127569219%29&amp;citeCnt=1&amp;sessionSearchId=875bbd3d7e4e9a7ef46c981c85eb5be9&amp;relpos=0</t>
  </si>
  <si>
    <t>Mihai Crenganis, Radu Breaz, Gabriel Racz, Octavian Bologa</t>
  </si>
  <si>
    <t>Adaptive neuro-fuzzy inference system for kinematics solutions of redundant robots</t>
  </si>
  <si>
    <t>, CM Biriș, SG Racz, CE Gîrjob, RD Grovu, DM RusuA Wearable Device for Upper Limb Rehabilitation and Assistance Based on Fluid Actuators and Myoelectric Control</t>
  </si>
  <si>
    <t>BEHERA, A.K. (Univ. Leeds), DE SOUSA, R.A. (Univ. Aveiro), INGARAO, G. (Univ. Palermo), OLEKSIK, V. (ULBS)</t>
  </si>
  <si>
    <t>Single point incremental forming: An assessment of the progress and technology trends from 2005 to 2015, Journal of Manufacturing Processes, Volume: 27  Pages: 37-62, June 2017, DOI: 10.1016/j.jmapro.2017.03.014, Accession Number: WOS:000404313900005, ISSN: 1526-6125.</t>
  </si>
  <si>
    <r>
      <rPr>
        <rFont val="Arial Narrow"/>
        <color theme="1"/>
        <sz val="10.0"/>
      </rPr>
      <t xml:space="preserve">BASAK, S., &amp; PANDA, S. K. (2023). Use of uncoupled ductile damage models for fracture forming limit prediction during two-stage forming of aluminum sheet material. </t>
    </r>
    <r>
      <rPr>
        <rFont val="Arial Narrow"/>
        <i/>
        <color theme="1"/>
        <sz val="10.0"/>
      </rPr>
      <t>Journal of Manufacturing Processes</t>
    </r>
    <r>
      <rPr>
        <rFont val="Arial Narrow"/>
        <color theme="1"/>
        <sz val="10.0"/>
      </rPr>
      <t>,</t>
    </r>
    <r>
      <rPr>
        <rFont val="Arial Narrow"/>
        <i/>
        <color theme="1"/>
        <sz val="10.0"/>
      </rPr>
      <t xml:space="preserve"> 97</t>
    </r>
    <r>
      <rPr>
        <rFont val="Arial Narrow"/>
        <color theme="1"/>
        <sz val="10.0"/>
      </rPr>
      <t>, 185-199. https://doi.org/10.1016/j.jmapro.2023.04.042 WOS:001009546300001.</t>
    </r>
  </si>
  <si>
    <t>https://www.sciencedirect.com/science/article/abs/pii/S1526612523003973?via%3Dihub</t>
  </si>
  <si>
    <r>
      <rPr>
        <rFont val="Arial Narrow"/>
        <color theme="1"/>
        <sz val="10.0"/>
      </rPr>
      <t xml:space="preserve">COMAN, C. C., MAZURCHEVICI, S. N., CARAUSU, C., &amp; NEDELCU, D. (2023). Analysis of Incremental Sheet Forming of Aluminum Alloy [Article].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6371. https://doi.org/10.3390/ma16196371, WOS:001145667800001</t>
    </r>
  </si>
  <si>
    <t>https://www.mdpi.com/1996-1944/16/19/6371</t>
  </si>
  <si>
    <r>
      <rPr>
        <rFont val="Arial Narrow"/>
        <color theme="1"/>
        <sz val="10.0"/>
      </rPr>
      <t xml:space="preserve">ESSA, A., ABEYRATHNA, B., ROLFE, B., &amp; WEISS, M. (2023). Incremental shape rolling of a variable depth profile. </t>
    </r>
    <r>
      <rPr>
        <rFont val="Arial Narrow"/>
        <i/>
        <color theme="1"/>
        <sz val="10.0"/>
      </rPr>
      <t>Journal of Materials Processing Technology</t>
    </r>
    <r>
      <rPr>
        <rFont val="Arial Narrow"/>
        <color theme="1"/>
        <sz val="10.0"/>
      </rPr>
      <t>,</t>
    </r>
    <r>
      <rPr>
        <rFont val="Arial Narrow"/>
        <i/>
        <color theme="1"/>
        <sz val="10.0"/>
      </rPr>
      <t xml:space="preserve"> 316</t>
    </r>
    <r>
      <rPr>
        <rFont val="Arial Narrow"/>
        <color theme="1"/>
        <sz val="10.0"/>
      </rPr>
      <t>, Article 117964. https://doi.org/10.1016/j.jmatprotec.2023.117964 WOS:001054022000001.</t>
    </r>
  </si>
  <si>
    <t>https://www.sciencedirect.com/science/article/abs/pii/S0924013623001097?via%3Dihub</t>
  </si>
  <si>
    <r>
      <rPr>
        <rFont val="Arial Narrow"/>
        <color theme="1"/>
        <sz val="10.0"/>
      </rPr>
      <t xml:space="preserve">HUSSAIN, G., HASSAN, M., WEI, H. Y., BUHL, J., XIAO, M. H., IQBAL, A., QAYYUM, H., RIAZ, A. A., MUHAMMAD, R., &amp; OSTRIKOV, K. (2023). Advances on Incremental forming of composite materials. </t>
    </r>
    <r>
      <rPr>
        <rFont val="Arial Narrow"/>
        <i/>
        <color theme="1"/>
        <sz val="10.0"/>
      </rPr>
      <t>Alexandria Engineering Journal</t>
    </r>
    <r>
      <rPr>
        <rFont val="Arial Narrow"/>
        <color theme="1"/>
        <sz val="10.0"/>
      </rPr>
      <t>,</t>
    </r>
    <r>
      <rPr>
        <rFont val="Arial Narrow"/>
        <i/>
        <color theme="1"/>
        <sz val="10.0"/>
      </rPr>
      <t xml:space="preserve"> 79</t>
    </r>
    <r>
      <rPr>
        <rFont val="Arial Narrow"/>
        <color theme="1"/>
        <sz val="10.0"/>
      </rPr>
      <t>, 308-336. https://doi.org/10.1016/j.aej.2023.07.045 WOS:001062175900001.</t>
    </r>
  </si>
  <si>
    <t>https://www.sciencedirect.com/science/article/pii/S1110016823006282?via%3Dihub</t>
  </si>
  <si>
    <r>
      <rPr>
        <rFont val="Arial Narrow"/>
        <color theme="1"/>
        <sz val="10.0"/>
      </rPr>
      <t>KIM, M., &amp; PARK, N. (2023, Jun 19-22). Deformation Prediction of Titanium Alloy in Incremental Sheet Forming with Anisotropic and Asymmetric Yield Function.</t>
    </r>
    <r>
      <rPr>
        <rFont val="Arial Narrow"/>
        <i/>
        <color theme="1"/>
        <sz val="10.0"/>
      </rPr>
      <t>IOP Conference Series-Materials Science and Engineering</t>
    </r>
    <r>
      <rPr>
        <rFont val="Arial Narrow"/>
        <color theme="1"/>
        <sz val="10.0"/>
      </rPr>
      <t xml:space="preserve"> [42nd conference of the international deep drawing research group]. 42nd Conference of the International-Deep-Drawing-Research-Group (IDDRG), Lulea, SWEDEN, WOS:001017824300068. DOI 10.1088/1757-899X/1284/1/012068</t>
    </r>
  </si>
  <si>
    <t>https://iopscience.iop.org/article/10.1088/1757-899X/1284/1/012068/meta</t>
  </si>
  <si>
    <r>
      <rPr>
        <rFont val="Arial Narrow"/>
        <color theme="1"/>
        <sz val="10.0"/>
      </rPr>
      <t xml:space="preserve">KUMAR, N., BHARTI, S., KRISHNASWAMY, H., &amp; AGRAWAL, A. (2023). Exploring deformation mechanics of temperature assisted incremental forming with hybrid heating. </t>
    </r>
    <r>
      <rPr>
        <rFont val="Arial Narrow"/>
        <i/>
        <color theme="1"/>
        <sz val="10.0"/>
      </rPr>
      <t>Journal of Manufacturing Processes</t>
    </r>
    <r>
      <rPr>
        <rFont val="Arial Narrow"/>
        <color theme="1"/>
        <sz val="10.0"/>
      </rPr>
      <t>,</t>
    </r>
    <r>
      <rPr>
        <rFont val="Arial Narrow"/>
        <i/>
        <color theme="1"/>
        <sz val="10.0"/>
      </rPr>
      <t xml:space="preserve"> 104</t>
    </r>
    <r>
      <rPr>
        <rFont val="Arial Narrow"/>
        <color theme="1"/>
        <sz val="10.0"/>
      </rPr>
      <t>, 472-484. https://doi.org/10.1016/j.jmapro.2023.09.017 WOS:001140399300001.</t>
    </r>
  </si>
  <si>
    <t>https://www.sciencedirect.com/science/article/abs/pii/S1526612523008605?via%3Dihub</t>
  </si>
  <si>
    <r>
      <rPr>
        <rFont val="Arial Narrow"/>
        <color theme="1"/>
        <sz val="10.0"/>
      </rPr>
      <t xml:space="preserve">LI, R. X., WANG, T., &amp; LI, F. (2023). The Formability of Perforated TA1 Sheet in Single Point Incremental Forming. </t>
    </r>
    <r>
      <rPr>
        <rFont val="Arial Narrow"/>
        <i/>
        <color theme="1"/>
        <sz val="10.0"/>
      </rPr>
      <t>Materials</t>
    </r>
    <r>
      <rPr>
        <rFont val="Arial Narrow"/>
        <color theme="1"/>
        <sz val="10.0"/>
      </rPr>
      <t>,</t>
    </r>
    <r>
      <rPr>
        <rFont val="Arial Narrow"/>
        <i/>
        <color theme="1"/>
        <sz val="10.0"/>
      </rPr>
      <t xml:space="preserve"> 16</t>
    </r>
    <r>
      <rPr>
        <rFont val="Arial Narrow"/>
        <color theme="1"/>
        <sz val="10.0"/>
      </rPr>
      <t>(8), Article 3176. https://doi.org/10.3390/ma16083176 WOS:000979084900001.</t>
    </r>
  </si>
  <si>
    <t>https://www.mdpi.com/1996-1944/16/8/3176</t>
  </si>
  <si>
    <r>
      <rPr>
        <rFont val="Arial Narrow"/>
        <color theme="1"/>
        <sz val="10.0"/>
      </rPr>
      <t xml:space="preserve">LIU, Z. G., KUMAR, D., JIRATHEARANAT, S., &amp; WONG, W. H. (2023). A multiple-tool method for fast FEM simulation of incremental sheet forming process. </t>
    </r>
    <r>
      <rPr>
        <rFont val="Arial Narrow"/>
        <i/>
        <color theme="1"/>
        <sz val="10.0"/>
      </rPr>
      <t>International Journal of Advanced Manufacturing Technology</t>
    </r>
    <r>
      <rPr>
        <rFont val="Arial Narrow"/>
        <color theme="1"/>
        <sz val="10.0"/>
      </rPr>
      <t>,</t>
    </r>
    <r>
      <rPr>
        <rFont val="Arial Narrow"/>
        <i/>
        <color theme="1"/>
        <sz val="10.0"/>
      </rPr>
      <t xml:space="preserve"> 128</t>
    </r>
    <r>
      <rPr>
        <rFont val="Arial Narrow"/>
        <color theme="1"/>
        <sz val="10.0"/>
      </rPr>
      <t>(9-10), 4311-4329. https://doi.org/10.1007/s00170-023-12153-y WOS:001060684100001.</t>
    </r>
  </si>
  <si>
    <t>https://link.springer.com/article/10.1007/s00170-023-12153-y</t>
  </si>
  <si>
    <r>
      <rPr>
        <rFont val="Arial Narrow"/>
        <color theme="1"/>
        <sz val="10.0"/>
      </rPr>
      <t xml:space="preserve">SEVSEK, L., SEGOTA, S. B., CAR, Z., &amp; PEPELNJAK, T. (2023). Determining the influence and correlation for parameters of flexible forming using the random forest method. </t>
    </r>
    <r>
      <rPr>
        <rFont val="Arial Narrow"/>
        <i/>
        <color theme="1"/>
        <sz val="10.0"/>
      </rPr>
      <t>Applied Soft Computing</t>
    </r>
    <r>
      <rPr>
        <rFont val="Arial Narrow"/>
        <color theme="1"/>
        <sz val="10.0"/>
      </rPr>
      <t>,</t>
    </r>
    <r>
      <rPr>
        <rFont val="Arial Narrow"/>
        <i/>
        <color theme="1"/>
        <sz val="10.0"/>
      </rPr>
      <t xml:space="preserve"> 144</t>
    </r>
    <r>
      <rPr>
        <rFont val="Arial Narrow"/>
        <color theme="1"/>
        <sz val="10.0"/>
      </rPr>
      <t>, Article 110497. https://doi.org/10.1016/j.asoc.2023.110497 WOS:001054920300001.</t>
    </r>
  </si>
  <si>
    <t>https://www.sciencedirect.com/science/article/pii/S156849462300515X?via%3Dihub</t>
  </si>
  <si>
    <r>
      <rPr>
        <rFont val="Arial Narrow"/>
        <color theme="1"/>
        <sz val="10.0"/>
      </rPr>
      <t xml:space="preserve">SHANG, M., LI, Y., YANG, M. S., CHEN, Y. S., BAI, L., &amp; LI, P. Y. (2023). Wall Thickness Uniformity in ISF of Hydraulic Support: System Design, Finite Element Analysis and Experimental Verification. </t>
    </r>
    <r>
      <rPr>
        <rFont val="Arial Narrow"/>
        <i/>
        <color theme="1"/>
        <sz val="10.0"/>
      </rPr>
      <t>Machines</t>
    </r>
    <r>
      <rPr>
        <rFont val="Arial Narrow"/>
        <color theme="1"/>
        <sz val="10.0"/>
      </rPr>
      <t>,</t>
    </r>
    <r>
      <rPr>
        <rFont val="Arial Narrow"/>
        <i/>
        <color theme="1"/>
        <sz val="10.0"/>
      </rPr>
      <t xml:space="preserve"> 11</t>
    </r>
    <r>
      <rPr>
        <rFont val="Arial Narrow"/>
        <color theme="1"/>
        <sz val="10.0"/>
      </rPr>
      <t>(3), Article 353. https://doi.org/10.3390/machines11030353 WOS:000967802300001.</t>
    </r>
  </si>
  <si>
    <t>https://www.mdpi.com/2075-1702/11/3/353</t>
  </si>
  <si>
    <r>
      <rPr>
        <rFont val="Arial Narrow"/>
        <color theme="1"/>
        <sz val="10.0"/>
      </rPr>
      <t xml:space="preserve">TIAN, C., ZHANG, D. W., YANG, G. C., ZHU, C. C., &amp; ZHAO, S. D. (2023). A new forming limit test method for incremental stretch flanging. </t>
    </r>
    <r>
      <rPr>
        <rFont val="Arial Narrow"/>
        <i/>
        <color theme="1"/>
        <sz val="10.0"/>
      </rPr>
      <t>Journal of Materials Processing Technology</t>
    </r>
    <r>
      <rPr>
        <rFont val="Arial Narrow"/>
        <color theme="1"/>
        <sz val="10.0"/>
      </rPr>
      <t>,</t>
    </r>
    <r>
      <rPr>
        <rFont val="Arial Narrow"/>
        <i/>
        <color theme="1"/>
        <sz val="10.0"/>
      </rPr>
      <t xml:space="preserve"> 319</t>
    </r>
    <r>
      <rPr>
        <rFont val="Arial Narrow"/>
        <color theme="1"/>
        <sz val="10.0"/>
      </rPr>
      <t>, Article 118082. https://doi.org/10.1016/j.jmatprotec.2023.118082 WOS:001132117500001.</t>
    </r>
  </si>
  <si>
    <t>https://www.sciencedirect.com/science/article/abs/pii/S0924013623002273?via%3Dihub</t>
  </si>
  <si>
    <r>
      <rPr>
        <rFont val="Arial Narrow"/>
        <color theme="1"/>
        <sz val="10.0"/>
      </rPr>
      <t xml:space="preserve">WANG, C. H., HE, A., LIU, S., &amp; MEEHAN, P. A. (2023). Learning-based model predictive control for two-point incremental sheet forming. </t>
    </r>
    <r>
      <rPr>
        <rFont val="Arial Narrow"/>
        <i/>
        <color theme="1"/>
        <sz val="10.0"/>
      </rPr>
      <t>Journal of Manufacturing Processes</t>
    </r>
    <r>
      <rPr>
        <rFont val="Arial Narrow"/>
        <color theme="1"/>
        <sz val="10.0"/>
      </rPr>
      <t>,</t>
    </r>
    <r>
      <rPr>
        <rFont val="Arial Narrow"/>
        <i/>
        <color theme="1"/>
        <sz val="10.0"/>
      </rPr>
      <t xml:space="preserve"> 105</t>
    </r>
    <r>
      <rPr>
        <rFont val="Arial Narrow"/>
        <color theme="1"/>
        <sz val="10.0"/>
      </rPr>
      <t>, 187-198. https://doi.org/10.1016/j.jmapro.2023.09.040 WOS:001082045900001.</t>
    </r>
  </si>
  <si>
    <t>https://www.sciencedirect.com/science/article/pii/S1526612523008939?via%3Dihub</t>
  </si>
  <si>
    <r>
      <rPr>
        <rFont val="Arial Narrow"/>
        <color theme="1"/>
        <sz val="10.0"/>
      </rPr>
      <t xml:space="preserve">ZHANG, Y., ZHANG, Z. C., LI, Y., HU, L., PANG, Q., &amp; HU, Z. L. (2023). Investigation of Pre-Aged Hardening Single-Point Incremental Forming Process and Mechanical Properties of AA6061 Aluminum Alloy. </t>
    </r>
    <r>
      <rPr>
        <rFont val="Arial Narrow"/>
        <i/>
        <color theme="1"/>
        <sz val="10.0"/>
      </rPr>
      <t>Materials</t>
    </r>
    <r>
      <rPr>
        <rFont val="Arial Narrow"/>
        <color theme="1"/>
        <sz val="10.0"/>
      </rPr>
      <t>,</t>
    </r>
    <r>
      <rPr>
        <rFont val="Arial Narrow"/>
        <i/>
        <color theme="1"/>
        <sz val="10.0"/>
      </rPr>
      <t xml:space="preserve"> 16</t>
    </r>
    <r>
      <rPr>
        <rFont val="Arial Narrow"/>
        <color theme="1"/>
        <sz val="10.0"/>
      </rPr>
      <t>(11), Article 4154. https://doi.org/10.3390/ma16114154 WOS:001003779300001.</t>
    </r>
  </si>
  <si>
    <t>https://www.mdpi.com/1996-1944/16/11/4154</t>
  </si>
  <si>
    <r>
      <rPr>
        <rFont val="Arial Narrow"/>
        <color theme="1"/>
        <sz val="10.0"/>
      </rPr>
      <t xml:space="preserve">BÂRSAN, A., RACZ, S. G., BREAZ, R., &amp; CRENGANIS, M. (2023). Evaluation of the dimensional accuracy through 3D optical scanning in incremental sheet forming. </t>
    </r>
    <r>
      <rPr>
        <rFont val="Arial Narrow"/>
        <i/>
        <color theme="1"/>
        <sz val="10.0"/>
      </rPr>
      <t>Materials Today: Proceedings</t>
    </r>
    <r>
      <rPr>
        <rFont val="Arial Narrow"/>
        <color theme="1"/>
        <sz val="10.0"/>
      </rPr>
      <t>. https://doi.org/10.1016/j.matpr.2023.03.175</t>
    </r>
  </si>
  <si>
    <t>https://www.sciencedirect.com/science/article/pii/S2214785323012178</t>
  </si>
  <si>
    <r>
      <rPr>
        <rFont val="Arial Narrow"/>
        <color theme="1"/>
        <sz val="10.0"/>
      </rPr>
      <t xml:space="preserve">BHASKER, R. S., &amp; KUMAR, Y. (2023). Process capabilities and future scope of Incremental Sheet Forming (ISF) [Article]. </t>
    </r>
    <r>
      <rPr>
        <rFont val="Arial Narrow"/>
        <i/>
        <color theme="1"/>
        <sz val="10.0"/>
      </rPr>
      <t>Materials Today: Proceedings</t>
    </r>
    <r>
      <rPr>
        <rFont val="Arial Narrow"/>
        <color theme="1"/>
        <sz val="10.0"/>
      </rPr>
      <t>,</t>
    </r>
    <r>
      <rPr>
        <rFont val="Arial Narrow"/>
        <i/>
        <color theme="1"/>
        <sz val="10.0"/>
      </rPr>
      <t xml:space="preserve"> 72</t>
    </r>
    <r>
      <rPr>
        <rFont val="Arial Narrow"/>
        <color theme="1"/>
        <sz val="10.0"/>
      </rPr>
      <t xml:space="preserve">, 1014-1019. https://doi.org/10.1016/j.matpr.2022.09.120 </t>
    </r>
  </si>
  <si>
    <t>https://www.sciencedirect.com/science/article/abs/pii/S2214785322059259?via%3Dihub</t>
  </si>
  <si>
    <t>CHEN, R., &amp; XU, C. (2023). Design of a CNC Incremental Forming Machine with a tiltable structure. Journal of Physics: Conference Series, Open Access Volume 2459, Issue 12023, Article number 012073</t>
  </si>
  <si>
    <t>https://iopscience.iop.org/article/10.1088/1742-6596/2459/1/012073/meta</t>
  </si>
  <si>
    <r>
      <rPr>
        <rFont val="Arial Narrow"/>
        <color theme="1"/>
        <sz val="10.0"/>
      </rPr>
      <t xml:space="preserve">COMAN, C. C., MAZURCHEVICI, S. N., CARAUSU, C., &amp; NEDELCU, D. (2023). INFLUENCE OF TECHNOLOGICAL PARAMETERS ON MACHINING ACCURACY IN INCREMENTAL FORMING [Article]. </t>
    </r>
    <r>
      <rPr>
        <rFont val="Arial Narrow"/>
        <i/>
        <color theme="1"/>
        <sz val="10.0"/>
      </rPr>
      <t>International Journal of Modern Manufacturing Technologies</t>
    </r>
    <r>
      <rPr>
        <rFont val="Arial Narrow"/>
        <color theme="1"/>
        <sz val="10.0"/>
      </rPr>
      <t>,</t>
    </r>
    <r>
      <rPr>
        <rFont val="Arial Narrow"/>
        <i/>
        <color theme="1"/>
        <sz val="10.0"/>
      </rPr>
      <t xml:space="preserve"> 15</t>
    </r>
    <r>
      <rPr>
        <rFont val="Arial Narrow"/>
        <color theme="1"/>
        <sz val="10.0"/>
      </rPr>
      <t xml:space="preserve">(2), 29-38. https://doi.org/10.54684/ijmmt.2023.15.2.29 </t>
    </r>
  </si>
  <si>
    <t>https://doi.org/10.54684/ijmmt.2023.15.2.29</t>
  </si>
  <si>
    <r>
      <rPr>
        <rFont val="Arial Narrow"/>
        <color theme="1"/>
        <sz val="10.0"/>
      </rPr>
      <t xml:space="preserve">EMAMI, R., MIRNIA, M. J., ELYASI, M., &amp; ZOLFAGHARI, A. (2023). An experimental investigation into single point incremental forming of glass fiber-reinforced polyamide sheet with different fiber orientations and volume fractions at elevated temperatures [Article]. </t>
    </r>
    <r>
      <rPr>
        <rFont val="Arial Narrow"/>
        <i/>
        <color theme="1"/>
        <sz val="10.0"/>
      </rPr>
      <t>Journal of Thermoplastic Composite Materials</t>
    </r>
    <r>
      <rPr>
        <rFont val="Arial Narrow"/>
        <color theme="1"/>
        <sz val="10.0"/>
      </rPr>
      <t>,</t>
    </r>
    <r>
      <rPr>
        <rFont val="Arial Narrow"/>
        <i/>
        <color theme="1"/>
        <sz val="10.0"/>
      </rPr>
      <t xml:space="preserve"> 36</t>
    </r>
    <r>
      <rPr>
        <rFont val="Arial Narrow"/>
        <color theme="1"/>
        <sz val="10.0"/>
      </rPr>
      <t xml:space="preserve">(5), 1893-1917. https://doi.org/10.1177/08927057221074266 </t>
    </r>
  </si>
  <si>
    <t>https://journals.sagepub.com/doi/10.1177/08927057221074266</t>
  </si>
  <si>
    <t>ERISOV, Y., SURUDIN, S., PETROV, I., &amp; KUZIN, A. (2023). An advanced method to test the formability in single point incremental forming. AIP Conference ProceedingsOpen AccessVolume 27009 March 2023 Article number 020057, https://doi.org/10.1063/5.0124949</t>
  </si>
  <si>
    <t>https://pubs.aip.org/aip/acp/article-abstract/2700/1/020057/2880604/An-advanced-method-to-test-the-formability-in</t>
  </si>
  <si>
    <t>ESSA, A., ABEYRATHNA, B., ROLFE, B., &amp; WEISS, M. (2023). Flange wrinkling in incremental shape rolling. Materials Research Proceedings, Open Access Volume 28, Pages 1047 - 1056, 2023, 26th International ESAFORM Conference on Material Forming, ESAFORM 2023, Kraków</t>
  </si>
  <si>
    <t>https://www.mrforum.com/product/9781644902479-115/</t>
  </si>
  <si>
    <r>
      <rPr>
        <rFont val="Arial Narrow"/>
        <color theme="1"/>
        <sz val="10.0"/>
      </rPr>
      <t xml:space="preserve">KAJAL, G., TYAGI, M. R., &amp; KUMAR, G. (2023). A review on the effect of residual stresses in incremental sheet metal forming used in automotive and medical sectors [Article]. </t>
    </r>
    <r>
      <rPr>
        <rFont val="Arial Narrow"/>
        <i/>
        <color theme="1"/>
        <sz val="10.0"/>
      </rPr>
      <t>Materials Today: Proceedings</t>
    </r>
    <r>
      <rPr>
        <rFont val="Arial Narrow"/>
        <color theme="1"/>
        <sz val="10.0"/>
      </rPr>
      <t>,</t>
    </r>
    <r>
      <rPr>
        <rFont val="Arial Narrow"/>
        <i/>
        <color theme="1"/>
        <sz val="10.0"/>
      </rPr>
      <t xml:space="preserve"> 78</t>
    </r>
    <r>
      <rPr>
        <rFont val="Arial Narrow"/>
        <color theme="1"/>
        <sz val="10.0"/>
      </rPr>
      <t xml:space="preserve">, 524-534. https://doi.org/10.1016/j.matpr.2022.11.235 </t>
    </r>
  </si>
  <si>
    <t>https://www.sciencedirect.com/science/article/abs/pii/S221478532207078X?via%3Dihub</t>
  </si>
  <si>
    <t>MORALES-PALMA, D., MAS, F., ARISTA, R., OLIVA, M., &amp; VALLELLANO, C. (2023). Implementation of a test plan ontology for incremental sheet metal forming made with models for manufacturing (Mfm) methodology. Advances in Science and Technology, Volume 132 AST, Pages 167 - 175, 2023 10th Manufacturing Engineering Society International Conference, MESIC 202, Sevilla, https://doi.org/10.4028/p-C8v30p</t>
  </si>
  <si>
    <t>https://www.scientific.net/AST.132.167</t>
  </si>
  <si>
    <t>NAGAPPA, S., NIRANJAN, T., KOTHA, M. N. V. S. A. S., CHINAMILLI, N. V. S. S., SRINIVAS, P., &amp; YOGANJANEYULU, G. (2023). Comparison on single point incremental forming and micro incremental forming - A review. AIP Conference ProceedingsVolume 281022 June 2023 Article number 130002, https://doi.org/10.1063/5.0146877</t>
  </si>
  <si>
    <t>https://pubs.aip.org/aip/acp/article-abstract/2810/1/130002/2899730/Comparison-on-single-point-incremental-forming-and?redirectedFrom=fulltext</t>
  </si>
  <si>
    <r>
      <rPr>
        <rFont val="Arial Narrow"/>
        <color theme="1"/>
        <sz val="10.0"/>
      </rPr>
      <t xml:space="preserve">ORTIZ, M., PUERTO, M., RUBIO, A., DE ZARATE, M. O., IRIONDO, E., &amp; PENALVA, M. (2023). Equipment and Operative for Industrializing the SPIF of Ti-6Al-4V. In </t>
    </r>
    <r>
      <rPr>
        <rFont val="Arial Narrow"/>
        <i/>
        <color theme="1"/>
        <sz val="10.0"/>
      </rPr>
      <t>Handbook of Flexible and Smart Sheet Forming Techniques: Industry 4.0 Approaches</t>
    </r>
    <r>
      <rPr>
        <rFont val="Arial Narrow"/>
        <color theme="1"/>
        <sz val="10.0"/>
      </rPr>
      <t xml:space="preserve"> (pp. 59-91). https://doi.org/10.1002/9781119986454.ch4 </t>
    </r>
  </si>
  <si>
    <t>https://onlinelibrary.wiley.com/doi/10.1002/9781119986454.ch4</t>
  </si>
  <si>
    <t>PRASAD, M. A., &amp; NARAYANAN, C. S. (2023). Experimental analysis on formability of Cupro-Nickel (90/10 Cu-Ni) during single point incremental forming process. Materials Today: Proceedings, 87, 356-366. https://doi.org/10.1016/j.matpr.2023.06.444</t>
  </si>
  <si>
    <t>https://www.sciencedirect.com/science/article/abs/pii/S2214785323038385</t>
  </si>
  <si>
    <r>
      <rPr>
        <rFont val="Arial Narrow"/>
        <color theme="1"/>
        <sz val="10.0"/>
      </rPr>
      <t xml:space="preserve">SHANG, M., LI, Y., CHEN, K., YANG, M., ZHAO, X., &amp; NIE, K. (2023). Incremental forming of hydraulic supports: a numerical and experimental study of thickness distribution [Article]. </t>
    </r>
    <r>
      <rPr>
        <rFont val="Arial Narrow"/>
        <i/>
        <color theme="1"/>
        <sz val="10.0"/>
      </rPr>
      <t>Journal of Mechanical Science and Technology</t>
    </r>
    <r>
      <rPr>
        <rFont val="Arial Narrow"/>
        <color theme="1"/>
        <sz val="10.0"/>
      </rPr>
      <t>,</t>
    </r>
    <r>
      <rPr>
        <rFont val="Arial Narrow"/>
        <i/>
        <color theme="1"/>
        <sz val="10.0"/>
      </rPr>
      <t xml:space="preserve"> 37</t>
    </r>
    <r>
      <rPr>
        <rFont val="Arial Narrow"/>
        <color theme="1"/>
        <sz val="10.0"/>
      </rPr>
      <t xml:space="preserve">(12), 6477-6491. https://doi.org/10.1007/s12206-023-1120-3 </t>
    </r>
  </si>
  <si>
    <t>https://link.springer.com/article/10.1007/s12206-023-1120-3</t>
  </si>
  <si>
    <t>SCMALTZ, K. (2023). Applying heat shrinking to minimize pillow effect during incremental sheet forming. ASME International Mechanical Engineering Congress and Exposition, Proceedings (IMECE), Volume 132023, Article number V013T14A005, ASME 2023 International Mechanical Engineering Congress and Exposition, IMECE 2023, New Orleans, Paper No: IMECE2023-113988, V013T14A005; 7 pages, https://doi.org/10.1115/IMECE2023-113988</t>
  </si>
  <si>
    <t>https://asmedigitalcollection.asme.org/IMECE/proceedings-abstract/IMECE2023/87707/V013T14A005/1196315</t>
  </si>
  <si>
    <r>
      <rPr>
        <rFont val="Arial Narrow"/>
        <color theme="1"/>
        <sz val="10.0"/>
      </rPr>
      <t xml:space="preserve">ULLAH, S., LI, Y., LI, X., XU, P., &amp; LI, D. (2023). A review on the deformation mechanism and formability enhancement strategies in incremental sheet forming [Review]. </t>
    </r>
    <r>
      <rPr>
        <rFont val="Arial Narrow"/>
        <i/>
        <color theme="1"/>
        <sz val="10.0"/>
      </rPr>
      <t>Archives of Civil and Mechanical Engineering</t>
    </r>
    <r>
      <rPr>
        <rFont val="Arial Narrow"/>
        <color theme="1"/>
        <sz val="10.0"/>
      </rPr>
      <t>,</t>
    </r>
    <r>
      <rPr>
        <rFont val="Arial Narrow"/>
        <i/>
        <color theme="1"/>
        <sz val="10.0"/>
      </rPr>
      <t xml:space="preserve"> 23</t>
    </r>
    <r>
      <rPr>
        <rFont val="Arial Narrow"/>
        <color theme="1"/>
        <sz val="10.0"/>
      </rPr>
      <t xml:space="preserve">(1), Article 55. https://doi.org/10.1007/s43452-022-00585-4 </t>
    </r>
  </si>
  <si>
    <t>https://link.springer.com/article/10.1007/s43452-022-00585-4</t>
  </si>
  <si>
    <t>OLEKSIK, V., PASCU, A., DEAC, C., FLEACĂ, R., BOLOGA, O., RACZ, G.  (toti ULBS)</t>
  </si>
  <si>
    <t>Experimental study about the surface quality of the medical implants obtained by incremental forming. International Journal of Material Forming, Springer-Verlag France, Vol. 3, Suppl. 1, 2010, ISSN 1960-6206, DOI 10.1007/s12289-010-0922-x, p. 935-938, WOS:000208613700231</t>
  </si>
  <si>
    <r>
      <rPr>
        <rFont val="Arial Narrow"/>
        <color theme="1"/>
        <sz val="10.0"/>
      </rPr>
      <t xml:space="preserve">KUMAR, N., UPADHYAY, R. K., SHARMA, C. S., &amp; AGRAWAL, A. (2023). Surface quality enhancement of warm incremental forming process using solid lubricant with varying etching period. </t>
    </r>
    <r>
      <rPr>
        <rFont val="Arial Narrow"/>
        <i/>
        <color theme="1"/>
        <sz val="10.0"/>
      </rPr>
      <t>Proceedings of the Institution of Mechanical Engineers Part B-Journal of Engineering Manufacture</t>
    </r>
    <r>
      <rPr>
        <rFont val="Arial Narrow"/>
        <color theme="1"/>
        <sz val="10.0"/>
      </rPr>
      <t>. https://doi.org/10.1177/09544054231194106 WOS:001061503000001.</t>
    </r>
  </si>
  <si>
    <t>https://journals.sagepub.com/doi/10.1177/09544054231194106</t>
  </si>
  <si>
    <r>
      <rPr>
        <rFont val="Arial Narrow"/>
        <color theme="1"/>
        <sz val="10.0"/>
      </rPr>
      <t xml:space="preserve">MAKWANA, R., MODI, B., &amp; PATEL, K. (2023). Experimental study on single point incremental hole flanging of aluminium 5052 material. </t>
    </r>
    <r>
      <rPr>
        <rFont val="Arial Narrow"/>
        <i/>
        <color theme="1"/>
        <sz val="10.0"/>
      </rPr>
      <t>Advances in Materials and Processing Technologies</t>
    </r>
    <r>
      <rPr>
        <rFont val="Arial Narrow"/>
        <color theme="1"/>
        <sz val="10.0"/>
      </rPr>
      <t>. https://doi.org/10.1080/2374068x.2023.2280295 WOS:001102588800001.</t>
    </r>
  </si>
  <si>
    <t>https://www.tandfonline.com/doi/full/10.1080/2374068X.2023.2280295</t>
  </si>
  <si>
    <r>
      <rPr>
        <rFont val="Arial Narrow"/>
        <color theme="1"/>
        <sz val="10.0"/>
      </rPr>
      <t xml:space="preserve">NAGARGOJE, A., KANKAR, P. K., JAIN, P. K., &amp; TANDON, P. (2023). Application of artificial intelligence techniques in incremental forming: a state-of-the-art review [Review]. </t>
    </r>
    <r>
      <rPr>
        <rFont val="Arial Narrow"/>
        <i/>
        <color theme="1"/>
        <sz val="10.0"/>
      </rPr>
      <t>Journal of Intelligent Manufacturing</t>
    </r>
    <r>
      <rPr>
        <rFont val="Arial Narrow"/>
        <color theme="1"/>
        <sz val="10.0"/>
      </rPr>
      <t>,</t>
    </r>
    <r>
      <rPr>
        <rFont val="Arial Narrow"/>
        <i/>
        <color theme="1"/>
        <sz val="10.0"/>
      </rPr>
      <t xml:space="preserve"> 34</t>
    </r>
    <r>
      <rPr>
        <rFont val="Arial Narrow"/>
        <color theme="1"/>
        <sz val="10.0"/>
      </rPr>
      <t xml:space="preserve">(3), 985-1002. https://doi.org/10.1007/s10845-021-01868-y </t>
    </r>
  </si>
  <si>
    <t>https://link.springer.com/article/10.1007/s10845-021-01868-y</t>
  </si>
  <si>
    <r>
      <rPr>
        <rFont val="Arial Narrow"/>
        <color theme="1"/>
        <sz val="10.0"/>
      </rPr>
      <t xml:space="preserve">ORAON, M., PRASAD, R., &amp; SHARMA, V. (2023). Investigating the surface roughness of calamine brass in incremental sheet metal forming. </t>
    </r>
    <r>
      <rPr>
        <rFont val="Arial Narrow"/>
        <i/>
        <color theme="1"/>
        <sz val="10.0"/>
      </rPr>
      <t>Materials Today: Proceedings</t>
    </r>
    <r>
      <rPr>
        <rFont val="Arial Narrow"/>
        <color theme="1"/>
        <sz val="10.0"/>
      </rPr>
      <t>. https://doi.org/10.1016/j.matpr.2023.10.032</t>
    </r>
  </si>
  <si>
    <t>https://www.sciencedirect.com/science/article/abs/pii/S2214785323049374?via%3Dihub</t>
  </si>
  <si>
    <t>OLEKSIK, V., PASCU, A., DEAC, C., FLEACĂ, R., ROMAN, M. BOLOGA, O. (toti ULBS)</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</si>
  <si>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 No. 1252, Vol. 1, 2010, ISBN: 978-0-7354-0799-2, p. 1208-1215, WOS:000281912300158</t>
  </si>
  <si>
    <r>
      <rPr>
        <rFont val="Arial Narrow"/>
        <color theme="1"/>
        <sz val="10.0"/>
      </rPr>
      <t xml:space="preserve">HUSSAIN, G., HASSAN, M., WEI, H. Y., BUHL, J., XIAO, M. H., IQBAL, A., QAYYUM, H., RIAZ, A. A., MUHAMMAD, R., &amp; OSTRIKOV, K. (2023). Advances on Incremental forming of composite materials. </t>
    </r>
    <r>
      <rPr>
        <rFont val="Arial Narrow"/>
        <i/>
        <color theme="1"/>
        <sz val="10.0"/>
      </rPr>
      <t>Alexandria Engineering Journal</t>
    </r>
    <r>
      <rPr>
        <rFont val="Arial Narrow"/>
        <color theme="1"/>
        <sz val="10.0"/>
      </rPr>
      <t>,</t>
    </r>
    <r>
      <rPr>
        <rFont val="Arial Narrow"/>
        <i/>
        <color theme="1"/>
        <sz val="10.0"/>
      </rPr>
      <t xml:space="preserve"> 79</t>
    </r>
    <r>
      <rPr>
        <rFont val="Arial Narrow"/>
        <color theme="1"/>
        <sz val="10.0"/>
      </rPr>
      <t>, 308-336. https://doi.org/10.1016/j.aej.2023.07.045 WOS:001062175900001.</t>
    </r>
  </si>
  <si>
    <r>
      <rPr>
        <rFont val="Arial Narrow"/>
        <color theme="1"/>
        <sz val="10.0"/>
      </rPr>
      <t xml:space="preserve">RUXIONG, L., TAO, W., &amp; FENG, L. (2023). Research on TA1 mesh low-melting-point alloy filling incremental forming process for cranial prosthesis. </t>
    </r>
    <r>
      <rPr>
        <rFont val="Arial Narrow"/>
        <i/>
        <color theme="1"/>
        <sz val="10.0"/>
      </rPr>
      <t>Materials Research Express</t>
    </r>
    <r>
      <rPr>
        <rFont val="Arial Narrow"/>
        <color theme="1"/>
        <sz val="10.0"/>
      </rPr>
      <t>,</t>
    </r>
    <r>
      <rPr>
        <rFont val="Arial Narrow"/>
        <i/>
        <color theme="1"/>
        <sz val="10.0"/>
      </rPr>
      <t xml:space="preserve"> 10</t>
    </r>
    <r>
      <rPr>
        <rFont val="Arial Narrow"/>
        <color theme="1"/>
        <sz val="10.0"/>
      </rPr>
      <t>(4), Article 046513. https://doi.org/10.1088/2053-1591/acca67 WOS:000971237500001.</t>
    </r>
  </si>
  <si>
    <t>https://iopscience.iop.org/article/10.1088/2053-1591/acca67</t>
  </si>
  <si>
    <r>
      <rPr>
        <rFont val="Arial Narrow"/>
        <color theme="1"/>
        <sz val="10.0"/>
      </rPr>
      <t xml:space="preserve">Veera Ajay, C., Elangovan, S., Kamaraja, A.S., K., Kartikh Kumar, K., Prateesh Kumar, S. (2023). Optimization and prediction of incremental sheet forming parameters of Titanium grade 5 sheet using a response surface methodology and artificial neural network [Article]. </t>
    </r>
    <r>
      <rPr>
        <rFont val="Arial Narrow"/>
        <i/>
        <color theme="1"/>
        <sz val="10.0"/>
      </rPr>
      <t>Proceedings of the Institution of Mechanical Engineers, Part C: Journal of Mechanical Engineering Science</t>
    </r>
    <r>
      <rPr>
        <rFont val="Arial Narrow"/>
        <color theme="1"/>
        <sz val="10.0"/>
      </rPr>
      <t>,</t>
    </r>
    <r>
      <rPr>
        <rFont val="Arial Narrow"/>
        <i/>
        <color theme="1"/>
        <sz val="10.0"/>
      </rPr>
      <t xml:space="preserve"> 237</t>
    </r>
    <r>
      <rPr>
        <rFont val="Arial Narrow"/>
        <color theme="1"/>
        <sz val="10.0"/>
      </rPr>
      <t xml:space="preserve">(8), 1818-1833. https://doi.org/10.1177/09544062221133674 </t>
    </r>
  </si>
  <si>
    <t>https://journals.sagepub.com/doi/10.1177/09544062221133674</t>
  </si>
  <si>
    <r>
      <rPr>
        <rFont val="Arial Narrow"/>
        <color theme="1"/>
        <sz val="10.0"/>
      </rPr>
      <t xml:space="preserve">KUMAR, R., KUMAR, V., &amp; KUMAR, A. (2023). A Review on Effect of Computer-Aided Machining Parameters in Incremental Sheet Forming. In </t>
    </r>
    <r>
      <rPr>
        <rFont val="Arial Narrow"/>
        <i/>
        <color theme="1"/>
        <sz val="10.0"/>
      </rPr>
      <t>Handbook of Flexible and Smart Sheet Forming Techniques: Industry 4.0 Approaches</t>
    </r>
    <r>
      <rPr>
        <rFont val="Arial Narrow"/>
        <color theme="1"/>
        <sz val="10.0"/>
      </rPr>
      <t xml:space="preserve"> (pp. 29-58). https://doi.org/10.1002/9781119986454.ch3 </t>
    </r>
  </si>
  <si>
    <t>https://onlinelibrary.wiley.com/doi/10.1002/9781119986454.ch3</t>
  </si>
  <si>
    <r>
      <rPr>
        <rFont val="Arial Narrow"/>
        <color theme="1"/>
        <sz val="10.0"/>
      </rPr>
      <t xml:space="preserve">PANWAR, G., KHANDUJA, D., &amp; UPADHYAY, V. (2023). Impact of Processing Variables on Formability of AA7079 Sheet by SPIF Technique [Article]. </t>
    </r>
    <r>
      <rPr>
        <rFont val="Arial Narrow"/>
        <i/>
        <color theme="1"/>
        <sz val="10.0"/>
      </rPr>
      <t>Journal of The Institution of Engineers (India): Series D</t>
    </r>
    <r>
      <rPr>
        <rFont val="Arial Narrow"/>
        <color theme="1"/>
        <sz val="10.0"/>
      </rPr>
      <t xml:space="preserve">. https://doi.org/10.1007/s40033-023-00450-5 </t>
    </r>
  </si>
  <si>
    <t>https://link.springer.com/article/10.1007/s40033-023-00450-5</t>
  </si>
  <si>
    <t>BLAGA, A. , OLEKSIK, V. (ULBS)</t>
  </si>
  <si>
    <t>A Study on the Influence of the Forming Strategy on the Main Strains, Thickness Reduction, and Forces in a Single Point Incremental Forming Process, Advances in materials science and engineering, Volume 2013, ISSN 1687-8434, Article ID 382635, p. 10, DOI: 10.1155/2013/382635, WOS:000325287100001</t>
  </si>
  <si>
    <r>
      <rPr>
        <rFont val="Arial Narrow"/>
        <color theme="1"/>
        <sz val="10.0"/>
      </rPr>
      <t xml:space="preserve">KAJAL, G., TYAGI, M. R., &amp; KUMAR, G. (2023). A review on the effect of residual stresses in incremental sheet metal forming used in automotive and medical sectors [Article]. </t>
    </r>
    <r>
      <rPr>
        <rFont val="Arial Narrow"/>
        <i/>
        <color theme="1"/>
        <sz val="10.0"/>
      </rPr>
      <t>Materials Today: Proceedings</t>
    </r>
    <r>
      <rPr>
        <rFont val="Arial Narrow"/>
        <color theme="1"/>
        <sz val="10.0"/>
      </rPr>
      <t>,</t>
    </r>
    <r>
      <rPr>
        <rFont val="Arial Narrow"/>
        <i/>
        <color theme="1"/>
        <sz val="10.0"/>
      </rPr>
      <t xml:space="preserve"> 78</t>
    </r>
    <r>
      <rPr>
        <rFont val="Arial Narrow"/>
        <color theme="1"/>
        <sz val="10.0"/>
      </rPr>
      <t xml:space="preserve">, 524-534. https://doi.org/10.1016/j.matpr.2022.11.235 </t>
    </r>
  </si>
  <si>
    <t>SHAKER, W. K., &amp; KLIMCHIK, A. (2023). Comparative Analysis of Springback Compensation for Various Profiles in Incremental Forming. 023 International Russian Automation Conference (RusAutoCon), DOI: 10.1109/RusAutoCon58002.2023.10272754</t>
  </si>
  <si>
    <t>https://ieeexplore.ieee.org/abstract/document/10272754</t>
  </si>
  <si>
    <r>
      <rPr>
        <rFont val="Arial Narrow"/>
        <color theme="1"/>
        <sz val="10.0"/>
      </rPr>
      <t xml:space="preserve">DEOKAR, S., &amp; JAIN, P. K. (2023). Analyses of Stress and Forces in Single‐Point Incremental Sheet Metal Forming. </t>
    </r>
    <r>
      <rPr>
        <rFont val="Arial Narrow"/>
        <i/>
        <color theme="1"/>
        <sz val="10.0"/>
      </rPr>
      <t>Handbook of Flexible and Smart Sheet Forming Techniques: Industry 4.0 Approaches</t>
    </r>
    <r>
      <rPr>
        <rFont val="Arial Narrow"/>
        <color theme="1"/>
        <sz val="10.0"/>
      </rPr>
      <t>, Chapter 6, 117-127. https://doi.org/10.1002/9781119986454.ch6</t>
    </r>
  </si>
  <si>
    <t>https://onlinelibrary.wiley.com/doi/abs/10.1002/9781119986454.ch6</t>
  </si>
  <si>
    <t>Capitol de carte publicat în Editura Wiley</t>
  </si>
  <si>
    <t>TRZEPIECIŃSKI, T. (Rzeszow University of Technology), OLEKSIK, V. (ULBS), PEPELNJAK, T. (University of Ljubljana), NAJM, SHERWAN MOHAMMED (Budapest University of Technology and Economics), PANITI, I. (Budapest University of Technology and Economics), MAJI, K. (National Institute of Technology Patna)</t>
  </si>
  <si>
    <t>Emerging Trends in Single Point Incremental Sheet Forming of Lightweight,  Metals, 11(8), Article Number 1188, 2021, doi:10.3390/met11081188, WOS:000689581800001</t>
  </si>
  <si>
    <r>
      <rPr>
        <rFont val="Arial Narrow"/>
        <color theme="1"/>
        <sz val="10.0"/>
      </rPr>
      <t xml:space="preserve">COMAN, C. C., MAZURCHEVICI, S. N., CARAUSU, C., &amp; NEDELCU, D. (2023). Analysis of Incremental Sheet Forming of Aluminum Alloy [Article].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6371. https://doi.org/10.3390/ma16196371, WOS:001145667800001</t>
    </r>
  </si>
  <si>
    <r>
      <rPr>
        <rFont val="Arial Narrow"/>
        <color theme="1"/>
        <sz val="10.0"/>
      </rPr>
      <t xml:space="preserve">HOANG, T. K., LUYEN, T. T., &amp; NGUYEN, D. T. (2023). Enhancing/Improving Forming Limit Curve and Fracture Height Predictions in the Single-Point Incremental Forming of Al1050 Sheet Material. </t>
    </r>
    <r>
      <rPr>
        <rFont val="Arial Narrow"/>
        <i/>
        <color theme="1"/>
        <sz val="10.0"/>
      </rPr>
      <t>Materials</t>
    </r>
    <r>
      <rPr>
        <rFont val="Arial Narrow"/>
        <color theme="1"/>
        <sz val="10.0"/>
      </rPr>
      <t>,</t>
    </r>
    <r>
      <rPr>
        <rFont val="Arial Narrow"/>
        <i/>
        <color theme="1"/>
        <sz val="10.0"/>
      </rPr>
      <t xml:space="preserve"> 16</t>
    </r>
    <r>
      <rPr>
        <rFont val="Arial Narrow"/>
        <color theme="1"/>
        <sz val="10.0"/>
      </rPr>
      <t>(23), Article 7266. https://doi.org/10.3390/ma16237266 WOS:001115935100001.</t>
    </r>
  </si>
  <si>
    <t>https://www.mdpi.com/1996-1944/16/23/7266</t>
  </si>
  <si>
    <r>
      <rPr>
        <rFont val="Arial Narrow"/>
        <color theme="1"/>
        <sz val="10.0"/>
      </rPr>
      <t xml:space="preserve">MIN, J. Y., WANG, J. C., LIAN, J. H., LIU, Y., &amp; HOU, Z. R. (2023). Laser-Assisted Robotic Roller Forming of Ultrahigh-Strength Steel QP1180 with High Precision. </t>
    </r>
    <r>
      <rPr>
        <rFont val="Arial Narrow"/>
        <i/>
        <color theme="1"/>
        <sz val="10.0"/>
      </rPr>
      <t>Materials</t>
    </r>
    <r>
      <rPr>
        <rFont val="Arial Narrow"/>
        <color theme="1"/>
        <sz val="10.0"/>
      </rPr>
      <t>,</t>
    </r>
    <r>
      <rPr>
        <rFont val="Arial Narrow"/>
        <i/>
        <color theme="1"/>
        <sz val="10.0"/>
      </rPr>
      <t xml:space="preserve"> 16</t>
    </r>
    <r>
      <rPr>
        <rFont val="Arial Narrow"/>
        <color theme="1"/>
        <sz val="10.0"/>
      </rPr>
      <t>(3), Article 1026. https://doi.org/10.3390/ma16031026 WOS:000930291400001.</t>
    </r>
  </si>
  <si>
    <t>https://www.mdpi.com/1996-1944/16/3/1026</t>
  </si>
  <si>
    <r>
      <rPr>
        <rFont val="Arial Narrow"/>
        <color theme="1"/>
        <sz val="10.0"/>
      </rPr>
      <t xml:space="preserve">MURUGESAN, M., YOUN, H. W., YU, J. H., CHUNG, W., &amp; LEE, C. W. (2023). Investigation of forming parameters influence on pillow defect in a new vacuum-assisted incremental sheet forming process. </t>
    </r>
    <r>
      <rPr>
        <rFont val="Arial Narrow"/>
        <i/>
        <color theme="1"/>
        <sz val="10.0"/>
      </rPr>
      <t>International Journal of Advanced Manufacturing Technology</t>
    </r>
    <r>
      <rPr>
        <rFont val="Arial Narrow"/>
        <color theme="1"/>
        <sz val="10.0"/>
      </rPr>
      <t>,</t>
    </r>
    <r>
      <rPr>
        <rFont val="Arial Narrow"/>
        <i/>
        <color theme="1"/>
        <sz val="10.0"/>
      </rPr>
      <t xml:space="preserve"> 127</t>
    </r>
    <r>
      <rPr>
        <rFont val="Arial Narrow"/>
        <color theme="1"/>
        <sz val="10.0"/>
      </rPr>
      <t>(11-12), 5531-5551. https://doi.org/10.1007/s00170-023-11854-8 WOS:001030774100003.</t>
    </r>
  </si>
  <si>
    <t>https://link.springer.com/article/10.1007/s00170-023-11854-8</t>
  </si>
  <si>
    <r>
      <rPr>
        <rFont val="Arial Narrow"/>
        <color theme="1"/>
        <sz val="10.0"/>
      </rPr>
      <t xml:space="preserve">SEVSEK, L., SEGOTA, S. B., CAR, Z., &amp; PEPELNJAK, T. (2023). Determining the influence and correlation for parameters of flexible forming using the random forest method. </t>
    </r>
    <r>
      <rPr>
        <rFont val="Arial Narrow"/>
        <i/>
        <color theme="1"/>
        <sz val="10.0"/>
      </rPr>
      <t>Applied Soft Computing</t>
    </r>
    <r>
      <rPr>
        <rFont val="Arial Narrow"/>
        <color theme="1"/>
        <sz val="10.0"/>
      </rPr>
      <t>,</t>
    </r>
    <r>
      <rPr>
        <rFont val="Arial Narrow"/>
        <i/>
        <color theme="1"/>
        <sz val="10.0"/>
      </rPr>
      <t xml:space="preserve"> 144</t>
    </r>
    <r>
      <rPr>
        <rFont val="Arial Narrow"/>
        <color theme="1"/>
        <sz val="10.0"/>
      </rPr>
      <t>, Article 110497. https://doi.org/10.1016/j.asoc.2023.110497 WOS:001054920300001.</t>
    </r>
  </si>
  <si>
    <r>
      <rPr>
        <rFont val="Arial Narrow"/>
        <color theme="1"/>
        <sz val="10.0"/>
      </rPr>
      <t xml:space="preserve">SINGAL, A. H., FARHOOD, N. H., &amp; AL-QASSAR, A. A. (2023). EXPERIMENTAL INSPECTION OF RESIDUAL STRESSES INDUCED IN PARTS PRODUCED BY TWO- POINT INCREMENTAL FORMING (TPIF) PROCESS. </t>
    </r>
    <r>
      <rPr>
        <rFont val="Arial Narrow"/>
        <i/>
        <color theme="1"/>
        <sz val="10.0"/>
      </rPr>
      <t>Journal of Engineering Science and Technology</t>
    </r>
    <r>
      <rPr>
        <rFont val="Arial Narrow"/>
        <color theme="1"/>
        <sz val="10.0"/>
      </rPr>
      <t>,</t>
    </r>
    <r>
      <rPr>
        <rFont val="Arial Narrow"/>
        <i/>
        <color theme="1"/>
        <sz val="10.0"/>
      </rPr>
      <t xml:space="preserve"> 18</t>
    </r>
    <r>
      <rPr>
        <rFont val="Arial Narrow"/>
        <color theme="1"/>
        <sz val="10.0"/>
      </rPr>
      <t>(1), 347-356. WOS:000938853400023.</t>
    </r>
  </si>
  <si>
    <t>https://jestec.taylors.edu.my/Vol%2018%20Issue%201%20February%20%202023/18_1_23.pdf</t>
  </si>
  <si>
    <r>
      <rPr>
        <rFont val="Arial Narrow"/>
        <color theme="1"/>
        <sz val="10.0"/>
      </rPr>
      <t xml:space="preserve">TRZEPIECINSKI, T. (2023). Experimental Analysis of Frictional Performance of EN AW-2024-T3 Alclad Aluminium Alloy Sheet Metals in Sheet Metal Forming. </t>
    </r>
    <r>
      <rPr>
        <rFont val="Arial Narrow"/>
        <i/>
        <color theme="1"/>
        <sz val="10.0"/>
      </rPr>
      <t>Lubricants</t>
    </r>
    <r>
      <rPr>
        <rFont val="Arial Narrow"/>
        <color theme="1"/>
        <sz val="10.0"/>
      </rPr>
      <t>,</t>
    </r>
    <r>
      <rPr>
        <rFont val="Arial Narrow"/>
        <i/>
        <color theme="1"/>
        <sz val="10.0"/>
      </rPr>
      <t xml:space="preserve"> 11</t>
    </r>
    <r>
      <rPr>
        <rFont val="Arial Narrow"/>
        <color theme="1"/>
        <sz val="10.0"/>
      </rPr>
      <t>(1), Article 28. https://doi.org/10.3390/lubricants11010028 WOS:000915098000001.</t>
    </r>
  </si>
  <si>
    <t>https://www.mdpi.com/2075-4442/11/1/28</t>
  </si>
  <si>
    <r>
      <rPr>
        <rFont val="Arial Narrow"/>
        <color theme="1"/>
        <sz val="10.0"/>
      </rPr>
      <t xml:space="preserve">TRZEPIECINSKI, T., NAJM, S. M., IBRAHIM, O. M., &amp; KOWALIK, M. (2023). Analysis of the Frictional Performance of AW-5251 Aluminium Alloy Sheets Using the Random Forest Machine Learning Algorithm and Multilayer Perceptron. </t>
    </r>
    <r>
      <rPr>
        <rFont val="Arial Narrow"/>
        <i/>
        <color theme="1"/>
        <sz val="10.0"/>
      </rPr>
      <t>Materials</t>
    </r>
    <r>
      <rPr>
        <rFont val="Arial Narrow"/>
        <color theme="1"/>
        <sz val="10.0"/>
      </rPr>
      <t>,</t>
    </r>
    <r>
      <rPr>
        <rFont val="Arial Narrow"/>
        <i/>
        <color theme="1"/>
        <sz val="10.0"/>
      </rPr>
      <t xml:space="preserve"> 16</t>
    </r>
    <r>
      <rPr>
        <rFont val="Arial Narrow"/>
        <color theme="1"/>
        <sz val="10.0"/>
      </rPr>
      <t>(15), Article 5207. https://doi.org/10.3390/ma16155207 WOS:001045569000001.</t>
    </r>
  </si>
  <si>
    <t>https://www.mdpi.com/1996-1944/16/15/5207</t>
  </si>
  <si>
    <r>
      <rPr>
        <rFont val="Arial Narrow"/>
        <color theme="1"/>
        <sz val="10.0"/>
      </rPr>
      <t xml:space="preserve">WEN, L., LI, Y. J., ZHENG, S. L., XU, H., LIU, Y. S., YUAN, Q. L., ZHANG, Y. P., WU, H., SHEN, Y. Z., KONG, J. Z., &amp; WEI, H. Y. (2023). Study on Deformation Force of Hard Aluminum Alloy Incremental Forming. </t>
    </r>
    <r>
      <rPr>
        <rFont val="Arial Narrow"/>
        <i/>
        <color theme="1"/>
        <sz val="10.0"/>
      </rPr>
      <t>Coatings</t>
    </r>
    <r>
      <rPr>
        <rFont val="Arial Narrow"/>
        <color theme="1"/>
        <sz val="10.0"/>
      </rPr>
      <t>,</t>
    </r>
    <r>
      <rPr>
        <rFont val="Arial Narrow"/>
        <i/>
        <color theme="1"/>
        <sz val="10.0"/>
      </rPr>
      <t xml:space="preserve"> 13</t>
    </r>
    <r>
      <rPr>
        <rFont val="Arial Narrow"/>
        <color theme="1"/>
        <sz val="10.0"/>
      </rPr>
      <t>(3), Article 571. https://doi.org/10.3390/coatings13030571 WOS:000955202300001.</t>
    </r>
  </si>
  <si>
    <t>https://www.mdpi.com/2079-6412/13/3/571</t>
  </si>
  <si>
    <r>
      <rPr>
        <rFont val="Arial Narrow"/>
        <color theme="1"/>
        <sz val="10.0"/>
      </rPr>
      <t xml:space="preserve">COMAN, C. C., MAZURCHEVICI, S. N., CARAUSU, C., &amp; NEDELCU, D. (2023). INFLUENCE OF TECHNOLOGICAL PARAMETERS ON MACHINING ACCURACY IN INCREMENTAL FORMING [Article]. </t>
    </r>
    <r>
      <rPr>
        <rFont val="Arial Narrow"/>
        <i/>
        <color theme="1"/>
        <sz val="10.0"/>
      </rPr>
      <t>International Journal of Modern Manufacturing Technologies</t>
    </r>
    <r>
      <rPr>
        <rFont val="Arial Narrow"/>
        <color theme="1"/>
        <sz val="10.0"/>
      </rPr>
      <t>,</t>
    </r>
    <r>
      <rPr>
        <rFont val="Arial Narrow"/>
        <i/>
        <color theme="1"/>
        <sz val="10.0"/>
      </rPr>
      <t xml:space="preserve"> 15</t>
    </r>
    <r>
      <rPr>
        <rFont val="Arial Narrow"/>
        <color theme="1"/>
        <sz val="10.0"/>
      </rPr>
      <t xml:space="preserve">(2), 29-38. https://doi.org/10.54684/ijmmt.2023.15.2.29 </t>
    </r>
  </si>
  <si>
    <t>https://doi.org/ 10.54684/ijmmt.2023.15.2.29</t>
  </si>
  <si>
    <r>
      <rPr>
        <rFont val="Arial Narrow"/>
        <color theme="1"/>
        <sz val="10.0"/>
      </rPr>
      <t xml:space="preserve">DANDEKAR, T. R., &amp; KHATIRKAR, R. K. (2023). Texture Development During Incremental Sheet Forming (ISF): A State-of-the-Art Review. In </t>
    </r>
    <r>
      <rPr>
        <rFont val="Arial Narrow"/>
        <i/>
        <color theme="1"/>
        <sz val="10.0"/>
      </rPr>
      <t>Handbook of Flexible and Smart Sheet Forming Techniques: Industry 4.0 Approaches</t>
    </r>
    <r>
      <rPr>
        <rFont val="Arial Narrow"/>
        <color theme="1"/>
        <sz val="10.0"/>
      </rPr>
      <t xml:space="preserve"> (pp. 93-115). https://doi.org/10.1002/9781119986454.ch5 </t>
    </r>
  </si>
  <si>
    <t>https://onlinelibrary.wiley.com/doi/10.1002/9781119986454.ch5</t>
  </si>
  <si>
    <r>
      <rPr>
        <rFont val="Arial Narrow"/>
        <color theme="1"/>
        <sz val="10.0"/>
      </rPr>
      <t xml:space="preserve">FILHO, P. S. O., OLIVIO, É. F. T., NIKHARE, C. P., VALLE, P. D., &amp; MARCONDES, P. V. P. (2023). Method for prediction of forming limit height in multistep incremental forming with real-time decision making [Article]. </t>
    </r>
    <r>
      <rPr>
        <rFont val="Arial Narrow"/>
        <i/>
        <color theme="1"/>
        <sz val="10.0"/>
      </rPr>
      <t>Journal of Manufacturing Processes</t>
    </r>
    <r>
      <rPr>
        <rFont val="Arial Narrow"/>
        <color theme="1"/>
        <sz val="10.0"/>
      </rPr>
      <t>,</t>
    </r>
    <r>
      <rPr>
        <rFont val="Arial Narrow"/>
        <i/>
        <color theme="1"/>
        <sz val="10.0"/>
      </rPr>
      <t xml:space="preserve"> 85</t>
    </r>
    <r>
      <rPr>
        <rFont val="Arial Narrow"/>
        <color theme="1"/>
        <sz val="10.0"/>
      </rPr>
      <t xml:space="preserve">, 246-261. https://doi.org/10.1016/j.jmapro.2022.11.052 </t>
    </r>
  </si>
  <si>
    <t>https://www.sciencedirect.com/science/article/abs/pii/S1526612522008313?via%3Dihub</t>
  </si>
  <si>
    <r>
      <rPr>
        <rFont val="Arial Narrow"/>
        <color theme="1"/>
        <sz val="10.0"/>
      </rPr>
      <t xml:space="preserve">JIN, Z. H., GAO, J. Z., ZHENG, L. K., &amp; LU, W. T. (2023). Parameterization of progressive forming path of deep tube parts (H / D = 1. 0) [Article]. </t>
    </r>
    <r>
      <rPr>
        <rFont val="Arial Narrow"/>
        <i/>
        <color theme="1"/>
        <sz val="10.0"/>
      </rPr>
      <t>Suxing Gongcheng Xuebao/Journal of Plasticity Engineering</t>
    </r>
    <r>
      <rPr>
        <rFont val="Arial Narrow"/>
        <color theme="1"/>
        <sz val="10.0"/>
      </rPr>
      <t>,</t>
    </r>
    <r>
      <rPr>
        <rFont val="Arial Narrow"/>
        <i/>
        <color theme="1"/>
        <sz val="10.0"/>
      </rPr>
      <t xml:space="preserve"> 30</t>
    </r>
    <r>
      <rPr>
        <rFont val="Arial Narrow"/>
        <color theme="1"/>
        <sz val="10.0"/>
      </rPr>
      <t xml:space="preserve">(3), 31-38. https://doi.org/10.3969/j.issn.1007-2012.2023.03.005 </t>
    </r>
  </si>
  <si>
    <t>https://d.wanfangdata.com.cn/periodical/ChlQZXJpb2RpY2FsQ0hJTmV3UzIwMjMxMjI2Eg9zeGdjeGIyMDIzMDMwMDUaCGpyZTMzbnlx</t>
  </si>
  <si>
    <r>
      <rPr>
        <rFont val="Arial Narrow"/>
        <color theme="1"/>
        <sz val="10.0"/>
      </rPr>
      <t xml:space="preserve">NAJM, S. M., &amp; PANITI, I. (2023). Investigation and machine learning-based prediction of parametric effects of single point incremental forming on pillow effect and wall profile of AlMn1Mg1 aluminum alloy sheets [Article]. </t>
    </r>
    <r>
      <rPr>
        <rFont val="Arial Narrow"/>
        <i/>
        <color theme="1"/>
        <sz val="10.0"/>
      </rPr>
      <t>Journal of Intelligent Manufacturing</t>
    </r>
    <r>
      <rPr>
        <rFont val="Arial Narrow"/>
        <color theme="1"/>
        <sz val="10.0"/>
      </rPr>
      <t>,</t>
    </r>
    <r>
      <rPr>
        <rFont val="Arial Narrow"/>
        <i/>
        <color theme="1"/>
        <sz val="10.0"/>
      </rPr>
      <t xml:space="preserve"> 34</t>
    </r>
    <r>
      <rPr>
        <rFont val="Arial Narrow"/>
        <color theme="1"/>
        <sz val="10.0"/>
      </rPr>
      <t xml:space="preserve">(1), 331-367. https://doi.org/10.1007/s10845-022-02026-8 </t>
    </r>
  </si>
  <si>
    <t>https://link.springer.com/article/10.1007/s10845-022-02026-8</t>
  </si>
  <si>
    <t>SHAKER, W. K., &amp; KLIMCHIK, A. (2023). Towards Single Point Incremental Forming Accuracy: An Approach for the Springback Effect Compensation. DOI: 10.1109/CASE56687.2023.10260568</t>
  </si>
  <si>
    <t>https://ieeexplore.ieee.org/abstract/document/10260568</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</si>
  <si>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t>
    </r>
    <r>
      <rPr>
        <rFont val="Arial Narrow"/>
        <color theme="1"/>
        <sz val="10.0"/>
      </rPr>
      <t>,</t>
    </r>
    <r>
      <rPr>
        <rFont val="Arial Narrow"/>
        <i/>
        <color theme="1"/>
        <sz val="10.0"/>
      </rPr>
      <t xml:space="preserve"> 40</t>
    </r>
    <r>
      <rPr>
        <rFont val="Arial Narrow"/>
        <color theme="1"/>
        <sz val="10.0"/>
      </rPr>
      <t xml:space="preserve">(1), 4-17. https://doi.org/10.30678/fjt.127844 </t>
    </r>
  </si>
  <si>
    <t>https://journal.fi/tribologia/article/view/127844</t>
  </si>
  <si>
    <t>OLEKSIK, V. (ULBS)</t>
  </si>
  <si>
    <t>Influence of geometrical parameters, wall angle and part shape on thickness reduction of single point incremental forming, The 11th International Conference on Technology of Plasticity – 2014, Nagoya, Japan, October 19-24, Published by Procedia Engineering, Elsevier, Vol. 81 (2014), p. 2280-2285, 2014, doi: 10.1016/j.proeng.2014.10.321, WOS:000358994000370</t>
  </si>
  <si>
    <r>
      <rPr>
        <rFont val="Arial Narrow"/>
        <color theme="1"/>
        <sz val="10.0"/>
      </rPr>
      <t xml:space="preserve">BARI, N., &amp; KUMAR, S. (2023). Multi-stage single-point incremental forming: an experimental investigation of thinning and peak forming force. </t>
    </r>
    <r>
      <rPr>
        <rFont val="Arial Narrow"/>
        <i/>
        <color theme="1"/>
        <sz val="10.0"/>
      </rPr>
      <t>Journal of the Brazilian Society of Mechanical Sciences and Engineering</t>
    </r>
    <r>
      <rPr>
        <rFont val="Arial Narrow"/>
        <color theme="1"/>
        <sz val="10.0"/>
      </rPr>
      <t>,</t>
    </r>
    <r>
      <rPr>
        <rFont val="Arial Narrow"/>
        <i/>
        <color theme="1"/>
        <sz val="10.0"/>
      </rPr>
      <t xml:space="preserve"> 45</t>
    </r>
    <r>
      <rPr>
        <rFont val="Arial Narrow"/>
        <color theme="1"/>
        <sz val="10.0"/>
      </rPr>
      <t>(3), Article 137. https://doi.org/10.1007/s40430-023-04055-7 WOS:000929394600001.</t>
    </r>
  </si>
  <si>
    <t>https://link.springer.com/article/10.1007/s40430-023-04055-7</t>
  </si>
  <si>
    <r>
      <rPr>
        <rFont val="Arial Narrow"/>
        <color theme="1"/>
        <sz val="10.0"/>
      </rPr>
      <t xml:space="preserve">HUANG, H. F., YUE, M. Z., TANG, Q. F., PENG, B. Y., TANG, X. X., FANG, Q., &amp; CHEN, G. (2023). Change in geometry size and thinning rate in single-point incremental forming process of TA1 sheet: evaluation method and finite element analysis. </t>
    </r>
    <r>
      <rPr>
        <rFont val="Arial Narrow"/>
        <i/>
        <color theme="1"/>
        <sz val="10.0"/>
      </rPr>
      <t>International Journal of Advanced Manufacturing Technology</t>
    </r>
    <r>
      <rPr>
        <rFont val="Arial Narrow"/>
        <color theme="1"/>
        <sz val="10.0"/>
      </rPr>
      <t>,</t>
    </r>
    <r>
      <rPr>
        <rFont val="Arial Narrow"/>
        <i/>
        <color theme="1"/>
        <sz val="10.0"/>
      </rPr>
      <t xml:space="preserve"> 125</t>
    </r>
    <r>
      <rPr>
        <rFont val="Arial Narrow"/>
        <color theme="1"/>
        <sz val="10.0"/>
      </rPr>
      <t>(5-6), 2743-2758. https://doi.org/10.1007/s00170-023-10935-y WOS:000920820800005.</t>
    </r>
  </si>
  <si>
    <t>https://link.springer.com/article/10.1007/s00170-023-10935-y</t>
  </si>
  <si>
    <t>BARI, N., &amp; KUMAR, S. (2023). Experimental investigation on thinning and forming force acting on multi-stage single point incremental forming. Materials Research Proceedings 25 (2023) 53-60. https://doi.org/10.21741/9781644902417-7</t>
  </si>
  <si>
    <t>https://www.mrforum.com/product/9781644902417-7/</t>
  </si>
  <si>
    <t>OLEKSIK, V. (ULBS) TRZEPIECIŃSKI, T., SZPUNAR, M, CHODOLA, L, FICEK, D, SZCZESNY, I. (toți Rzeszow University of Technology)</t>
  </si>
  <si>
    <t>Single-Point Incremental Forming of Titanium and Titanium Alloy Sheets, Materials, 14(21), 2021, article 6372, https://doi.org/10.3390/ma14216372, WOS:000723157900001</t>
  </si>
  <si>
    <r>
      <rPr>
        <rFont val="Arial Narrow"/>
        <color theme="1"/>
        <sz val="10.0"/>
      </rPr>
      <t xml:space="preserve">COMAN, C. C., MAZURCHEVICI, S. N., CARAUSU, C., &amp; NEDELCU, D. (2023). Analysis of Incremental Sheet Forming of Aluminum Alloy [Article].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6371. https://doi.org/10.3390/ma16196371, WOS:001145667800001</t>
    </r>
  </si>
  <si>
    <r>
      <rPr>
        <rFont val="Arial Narrow"/>
        <color theme="1"/>
        <sz val="10.0"/>
      </rPr>
      <t xml:space="preserve">DAMMAK, M., BOUHAMED, A., JRAD, H., &amp; DAMMAK, F. (2024). In situ experimental characterization and numerical investigation of Fe-TiB2 Steel Matrix Composite behavior considering fully coupled damage model: Simulation during incremental forming process. </t>
    </r>
    <r>
      <rPr>
        <rFont val="Arial Narrow"/>
        <i/>
        <color theme="1"/>
        <sz val="10.0"/>
      </rPr>
      <t>Materials Today Communications</t>
    </r>
    <r>
      <rPr>
        <rFont val="Arial Narrow"/>
        <color theme="1"/>
        <sz val="10.0"/>
      </rPr>
      <t>,</t>
    </r>
    <r>
      <rPr>
        <rFont val="Arial Narrow"/>
        <i/>
        <color theme="1"/>
        <sz val="10.0"/>
      </rPr>
      <t xml:space="preserve"> 38</t>
    </r>
    <r>
      <rPr>
        <rFont val="Arial Narrow"/>
        <color theme="1"/>
        <sz val="10.0"/>
      </rPr>
      <t>, Article 107741. https://doi.org/10.1016/j.mtcomm.2023.107741 WOS:001137248300001.</t>
    </r>
  </si>
  <si>
    <t>https://www.sciencedirect.com/science/article/abs/pii/S2352492823024327?via%3Dihub</t>
  </si>
  <si>
    <r>
      <rPr>
        <rFont val="Arial Narrow"/>
        <color theme="1"/>
        <sz val="10.0"/>
      </rPr>
      <t xml:space="preserve">HUANG, H. F., YUE, M. Z., TANG, Q. F., PENG, B. Y., TANG, X. X., FANG, Q., &amp; CHEN, G. (2023). Change in geometry size and thinning rate in single-point incremental forming process of TA1 sheet: evaluation method and finite element analysis. </t>
    </r>
    <r>
      <rPr>
        <rFont val="Arial Narrow"/>
        <i/>
        <color theme="1"/>
        <sz val="10.0"/>
      </rPr>
      <t>International Journal of Advanced Manufacturing Technology</t>
    </r>
    <r>
      <rPr>
        <rFont val="Arial Narrow"/>
        <color theme="1"/>
        <sz val="10.0"/>
      </rPr>
      <t>,</t>
    </r>
    <r>
      <rPr>
        <rFont val="Arial Narrow"/>
        <i/>
        <color theme="1"/>
        <sz val="10.0"/>
      </rPr>
      <t xml:space="preserve"> 125</t>
    </r>
    <r>
      <rPr>
        <rFont val="Arial Narrow"/>
        <color theme="1"/>
        <sz val="10.0"/>
      </rPr>
      <t>(5-6), 2743-2758. https://doi.org/10.1007/s00170-023-10935-y WOS:000920820800005.</t>
    </r>
  </si>
  <si>
    <r>
      <rPr>
        <rFont val="Arial Narrow"/>
        <color theme="1"/>
        <sz val="10.0"/>
      </rPr>
      <t>KIM, M., &amp; PARK, N. (2023, Jun 19-22). Deformation Prediction of Titanium Alloy in Incremental Sheet Forming with Anisotropic and Asymmetric Yield Function.</t>
    </r>
    <r>
      <rPr>
        <rFont val="Arial Narrow"/>
        <i/>
        <color theme="1"/>
        <sz val="10.0"/>
      </rPr>
      <t>IOP Conference Series-Materials Science and Engineering</t>
    </r>
    <r>
      <rPr>
        <rFont val="Arial Narrow"/>
        <color theme="1"/>
        <sz val="10.0"/>
      </rPr>
      <t xml:space="preserve"> [42nd conference of the international deep drawing research group]. 42nd Conference of the International-Deep-Drawing-Research-Group (IDDRG), Lulea, SWEDEN, WOS:001017824300068, DOI 10.1088/1757-899X/1284/1/012068</t>
    </r>
  </si>
  <si>
    <r>
      <rPr>
        <rFont val="Arial Narrow"/>
        <color theme="1"/>
        <sz val="10.0"/>
      </rPr>
      <t xml:space="preserve">MIKO, T., PETHO, D., GERGELY, G., MARKATOS, D., &amp; GACSI, Z. (2023). A Novel Process to Produce Ti Parts from Powder Metallurgy with Advanced Properties for Aeronautical Applications. </t>
    </r>
    <r>
      <rPr>
        <rFont val="Arial Narrow"/>
        <i/>
        <color theme="1"/>
        <sz val="10.0"/>
      </rPr>
      <t>Aerospace</t>
    </r>
    <r>
      <rPr>
        <rFont val="Arial Narrow"/>
        <color theme="1"/>
        <sz val="10.0"/>
      </rPr>
      <t>,</t>
    </r>
    <r>
      <rPr>
        <rFont val="Arial Narrow"/>
        <i/>
        <color theme="1"/>
        <sz val="10.0"/>
      </rPr>
      <t xml:space="preserve"> 10</t>
    </r>
    <r>
      <rPr>
        <rFont val="Arial Narrow"/>
        <color theme="1"/>
        <sz val="10.0"/>
      </rPr>
      <t>(4), Article 332. https://doi.org/10.3390/aerospace10040332 WOS:000979116900001.</t>
    </r>
  </si>
  <si>
    <t>https://www.mdpi.com/2226-4310/10/4/332</t>
  </si>
  <si>
    <r>
      <rPr>
        <rFont val="Arial Narrow"/>
        <color theme="1"/>
        <sz val="10.0"/>
      </rPr>
      <t xml:space="preserve">YUAN, H., LI, Y. L., LIU, Y. Y., ZHAO, G. L., &amp; LI, F. Y. (2023). Improving the forming performance of incrementally formed sheet parts with customized heat treatment strategies. </t>
    </r>
    <r>
      <rPr>
        <rFont val="Arial Narrow"/>
        <i/>
        <color theme="1"/>
        <sz val="10.0"/>
      </rPr>
      <t>Advances in Manufacturing</t>
    </r>
    <r>
      <rPr>
        <rFont val="Arial Narrow"/>
        <color theme="1"/>
        <sz val="10.0"/>
      </rPr>
      <t>,</t>
    </r>
    <r>
      <rPr>
        <rFont val="Arial Narrow"/>
        <i/>
        <color theme="1"/>
        <sz val="10.0"/>
      </rPr>
      <t xml:space="preserve"> 11</t>
    </r>
    <r>
      <rPr>
        <rFont val="Arial Narrow"/>
        <color theme="1"/>
        <sz val="10.0"/>
      </rPr>
      <t>(2), 264-279. https://doi.org/10.1007/s40436-022-00431-z WOS:000924059500001.</t>
    </r>
  </si>
  <si>
    <t>https://link.springer.com/article/10.1007/s40436-022-00431-z</t>
  </si>
  <si>
    <r>
      <rPr>
        <rFont val="Arial Narrow"/>
        <color theme="1"/>
        <sz val="10.0"/>
      </rPr>
      <t xml:space="preserve">MAKWANA, R., MODI, B., &amp; PATEL, K. (2023). Single-stage single point incremental square hole flanging of AA5052 material [Article]. </t>
    </r>
    <r>
      <rPr>
        <rFont val="Arial Narrow"/>
        <i/>
        <color theme="1"/>
        <sz val="10.0"/>
      </rPr>
      <t>Materials and Manufacturing Processes</t>
    </r>
    <r>
      <rPr>
        <rFont val="Arial Narrow"/>
        <color theme="1"/>
        <sz val="10.0"/>
      </rPr>
      <t>,</t>
    </r>
    <r>
      <rPr>
        <rFont val="Arial Narrow"/>
        <i/>
        <color theme="1"/>
        <sz val="10.0"/>
      </rPr>
      <t xml:space="preserve"> 38</t>
    </r>
    <r>
      <rPr>
        <rFont val="Arial Narrow"/>
        <color theme="1"/>
        <sz val="10.0"/>
      </rPr>
      <t xml:space="preserve">(6), 680-691. https://doi.org/10.1080/10426914.2022.2136377 </t>
    </r>
  </si>
  <si>
    <t>https://www.tandfonline.com/doi/full/10.1080/10426914.2022.2136377</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</si>
  <si>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t>
    </r>
    <r>
      <rPr>
        <rFont val="Arial Narrow"/>
        <color theme="1"/>
        <sz val="10.0"/>
      </rPr>
      <t>,</t>
    </r>
    <r>
      <rPr>
        <rFont val="Arial Narrow"/>
        <i/>
        <color theme="1"/>
        <sz val="10.0"/>
      </rPr>
      <t xml:space="preserve"> 40</t>
    </r>
    <r>
      <rPr>
        <rFont val="Arial Narrow"/>
        <color theme="1"/>
        <sz val="10.0"/>
      </rPr>
      <t xml:space="preserve">(1), 4-17. https://doi.org/10.30678/fjt.127844 </t>
    </r>
  </si>
  <si>
    <t>OLEKSIK, V., (ULBS) PASCU, A.,(ULBS) GAVRUS, A., (INSA RENNES) OLEKSIK, M. (ULBS)</t>
  </si>
  <si>
    <t>Experimental studies regarding the single point incremental forming process. Academic Journal of Manufacturing Engineering, Vol. 8, No. 2, 2010, ISSN 1583-7904, p. 51-56.</t>
  </si>
  <si>
    <r>
      <rPr>
        <rFont val="Arial Narrow"/>
        <color theme="1"/>
        <sz val="10.0"/>
      </rPr>
      <t xml:space="preserve">KUMAR, A., KUMAR, P., DOGRA, N., &amp; JAGLAN, A. (2023). Application of Incremental Sheet Forming (ISF) Toward Biomedical and Medical Implants. In </t>
    </r>
    <r>
      <rPr>
        <rFont val="Arial Narrow"/>
        <i/>
        <color theme="1"/>
        <sz val="10.0"/>
      </rPr>
      <t>Handbook of Flexible and Smart Sheet Forming Techniques: Industry 4.0 Approaches</t>
    </r>
    <r>
      <rPr>
        <rFont val="Arial Narrow"/>
        <color theme="1"/>
        <sz val="10.0"/>
      </rPr>
      <t xml:space="preserve"> (pp. 247-263). https://doi.org/10.1002/9781119986454.ch13 </t>
    </r>
  </si>
  <si>
    <t>https://onlinelibrary.wiley.com/doi/10.1002/9781119986454.ch13</t>
  </si>
  <si>
    <r>
      <rPr>
        <rFont val="Arial Narrow"/>
        <color theme="1"/>
        <sz val="10.0"/>
      </rPr>
      <t xml:space="preserve">KUMAR, A., KUMAR, P., SRIVASTAVA, A. K., &amp; GOYAT, V. (2023). </t>
    </r>
    <r>
      <rPr>
        <rFont val="Arial Narrow"/>
        <i/>
        <color theme="1"/>
        <sz val="10.0"/>
      </rPr>
      <t>Modeling, characterization, and processing of smart materials</t>
    </r>
    <r>
      <rPr>
        <rFont val="Arial Narrow"/>
        <color theme="1"/>
        <sz val="10.0"/>
      </rPr>
      <t xml:space="preserve">  [Book]. https://doi.org/10.4018/978-1-6684-9224-6 </t>
    </r>
  </si>
  <si>
    <t>https://www.igi-global.com/gateway/book/318402</t>
  </si>
  <si>
    <r>
      <rPr>
        <rFont val="Arial Narrow"/>
        <color theme="1"/>
        <sz val="10.0"/>
      </rPr>
      <t xml:space="preserve">KUMAR, P., &amp; SINGH, H. (2023). Experimental analysis of tool geometry and tool rotation in SPIF process on AA7075-O alloy using ML and ANN approach [Article]. </t>
    </r>
    <r>
      <rPr>
        <rFont val="Arial Narrow"/>
        <i/>
        <color theme="1"/>
        <sz val="10.0"/>
      </rPr>
      <t>International Journal on Interactive Design and Manufacturing</t>
    </r>
    <r>
      <rPr>
        <rFont val="Arial Narrow"/>
        <color theme="1"/>
        <sz val="10.0"/>
      </rPr>
      <t xml:space="preserve">. https://doi.org/10.1007/s12008-023-01535-x </t>
    </r>
  </si>
  <si>
    <t>https://link.springer.com/article/10.1007/s12008-023-01535-x</t>
  </si>
  <si>
    <r>
      <rPr>
        <rFont val="Arial Narrow"/>
        <color theme="1"/>
        <sz val="10.0"/>
      </rPr>
      <t xml:space="preserve">KUMAR, R., KUMAR, V., &amp; KUMAR, A. (2023). A Review on Effect of Computer-Aided Machining Parameters in Incremental Sheet Forming. In </t>
    </r>
    <r>
      <rPr>
        <rFont val="Arial Narrow"/>
        <i/>
        <color theme="1"/>
        <sz val="10.0"/>
      </rPr>
      <t>Handbook of Flexible and Smart Sheet Forming Techniques: Industry 4.0 Approaches</t>
    </r>
    <r>
      <rPr>
        <rFont val="Arial Narrow"/>
        <color theme="1"/>
        <sz val="10.0"/>
      </rPr>
      <t xml:space="preserve"> (pp. 29-58). https://doi.org/10.1002/9781119986454.ch3 </t>
    </r>
  </si>
  <si>
    <r>
      <rPr>
        <rFont val="Arial Narrow"/>
        <color theme="1"/>
        <sz val="10.0"/>
      </rPr>
      <t xml:space="preserve">RATHEE, L., RATHEE, R., &amp; KUMAR, A. (2023). Experimental study of impact parameters on the deforming loads in incremental forming. In </t>
    </r>
    <r>
      <rPr>
        <rFont val="Arial Narrow"/>
        <i/>
        <color theme="1"/>
        <sz val="10.0"/>
      </rPr>
      <t>Modeling, Characterization, and Processing of Smart Materials</t>
    </r>
    <r>
      <rPr>
        <rFont val="Arial Narrow"/>
        <color theme="1"/>
        <sz val="10.0"/>
      </rPr>
      <t xml:space="preserve"> (pp. 140-150). https://doi.org/10.4018/978-1-6684-9224-6.ch006 </t>
    </r>
  </si>
  <si>
    <t>https://www.igi-global.com/gateway/chapter/328470</t>
  </si>
  <si>
    <t xml:space="preserve">TRZEPIECINSKI, T. (Rzeszow University of Technology), NAJM, S. M. (Budapest University of Technology and Economics), OLEKSIK, V. (ULBS), VASILCA, D. (ULBS), PANITI, I. (Budapest University of Technology and Economics), &amp; SZPUNAR, M. (Rzeszow University of Technology) </t>
  </si>
  <si>
    <t>Recent Developments and Future Challenges in Incremental Sheet Forming of Aluminium and Aluminium Alloy Sheets, Metals, Volume 12 (1), 2022, article number 124, doi.org/10.3390/met12010126, WOS:000747631000001</t>
  </si>
  <si>
    <r>
      <rPr>
        <rFont val="Arial Narrow"/>
        <color theme="1"/>
        <sz val="10.0"/>
      </rPr>
      <t xml:space="preserve">LUCARZ, M., &amp; JEDRYCHOWSKI, M. (2023). Method of Stamping the Progression of a Beverage End Rivet of a Thinner Sheet of AW-5182 Alloy. </t>
    </r>
    <r>
      <rPr>
        <rFont val="Arial Narrow"/>
        <i/>
        <color theme="1"/>
        <sz val="10.0"/>
      </rPr>
      <t>Materials</t>
    </r>
    <r>
      <rPr>
        <rFont val="Arial Narrow"/>
        <color theme="1"/>
        <sz val="10.0"/>
      </rPr>
      <t>,</t>
    </r>
    <r>
      <rPr>
        <rFont val="Arial Narrow"/>
        <i/>
        <color theme="1"/>
        <sz val="10.0"/>
      </rPr>
      <t xml:space="preserve"> 16</t>
    </r>
    <r>
      <rPr>
        <rFont val="Arial Narrow"/>
        <color theme="1"/>
        <sz val="10.0"/>
      </rPr>
      <t>(18), Article 6244. https://doi.org/10.3390/ma16186244 WOS:001078823100001.</t>
    </r>
  </si>
  <si>
    <t>https://www.mdpi.com/1996-1944/16/18/6244</t>
  </si>
  <si>
    <r>
      <rPr>
        <rFont val="Arial Narrow"/>
        <color theme="1"/>
        <sz val="10.0"/>
      </rPr>
      <t xml:space="preserve">SCISLO, L. (2023). Verification of Mechanical Properties Identification Based on Impulse Excitation Technique and Mobile Device Measurements. </t>
    </r>
    <r>
      <rPr>
        <rFont val="Arial Narrow"/>
        <i/>
        <color theme="1"/>
        <sz val="10.0"/>
      </rPr>
      <t>Sensors</t>
    </r>
    <r>
      <rPr>
        <rFont val="Arial Narrow"/>
        <color theme="1"/>
        <sz val="10.0"/>
      </rPr>
      <t>,</t>
    </r>
    <r>
      <rPr>
        <rFont val="Arial Narrow"/>
        <i/>
        <color theme="1"/>
        <sz val="10.0"/>
      </rPr>
      <t xml:space="preserve"> 23</t>
    </r>
    <r>
      <rPr>
        <rFont val="Arial Narrow"/>
        <color theme="1"/>
        <sz val="10.0"/>
      </rPr>
      <t>(12), Article 5639. https://doi.org/10.3390/s23125639 WOS:001015583800001.</t>
    </r>
  </si>
  <si>
    <t>https://www.mdpi.com/1424-8220/23/12/5639</t>
  </si>
  <si>
    <r>
      <rPr>
        <rFont val="Arial Narrow"/>
        <color theme="1"/>
        <sz val="10.0"/>
      </rPr>
      <t xml:space="preserve">TRZEPIECINSKI, T. (2023). Approaches for Preventing Tool Wear in Sheet Metal Forming Processes. </t>
    </r>
    <r>
      <rPr>
        <rFont val="Arial Narrow"/>
        <i/>
        <color theme="1"/>
        <sz val="10.0"/>
      </rPr>
      <t>Machines</t>
    </r>
    <r>
      <rPr>
        <rFont val="Arial Narrow"/>
        <color theme="1"/>
        <sz val="10.0"/>
      </rPr>
      <t>,</t>
    </r>
    <r>
      <rPr>
        <rFont val="Arial Narrow"/>
        <i/>
        <color theme="1"/>
        <sz val="10.0"/>
      </rPr>
      <t xml:space="preserve"> 11</t>
    </r>
    <r>
      <rPr>
        <rFont val="Arial Narrow"/>
        <color theme="1"/>
        <sz val="10.0"/>
      </rPr>
      <t>(6), Article 616. https://doi.org/10.3390/machines11060616 WOS:001015416000001.</t>
    </r>
  </si>
  <si>
    <t>https://www.mdpi.com/2075-1702/11/6/616</t>
  </si>
  <si>
    <r>
      <rPr>
        <rFont val="Arial Narrow"/>
        <color theme="1"/>
        <sz val="10.0"/>
      </rPr>
      <t xml:space="preserve">TRZEPIECINSKI, T. (2023). Experimental Analysis of Frictional Performance of EN AW-2024-T3 Alclad Aluminium Alloy Sheet Metals in Sheet Metal Forming. </t>
    </r>
    <r>
      <rPr>
        <rFont val="Arial Narrow"/>
        <i/>
        <color theme="1"/>
        <sz val="10.0"/>
      </rPr>
      <t>Lubricants</t>
    </r>
    <r>
      <rPr>
        <rFont val="Arial Narrow"/>
        <color theme="1"/>
        <sz val="10.0"/>
      </rPr>
      <t>,</t>
    </r>
    <r>
      <rPr>
        <rFont val="Arial Narrow"/>
        <i/>
        <color theme="1"/>
        <sz val="10.0"/>
      </rPr>
      <t xml:space="preserve"> 11</t>
    </r>
    <r>
      <rPr>
        <rFont val="Arial Narrow"/>
        <color theme="1"/>
        <sz val="10.0"/>
      </rPr>
      <t>(1), Article 28. https://doi.org/10.3390/lubricants11010028 WOS:000915098000001.</t>
    </r>
  </si>
  <si>
    <t>ARSLAN, E. &amp; HASKUL, M. (2023). Fracture Behavior Prediction of a High-Strength Aluminum Alloy under Multiaxial Loading, Proceedings of the World Congress on Mechanical, Chemical, and Material Engineering, Open Access, 2023, 9th World Congress on Mechanical, Chemical, and Material Engineering, MCM 2023, DOI: 10.11159/icmie23.143</t>
  </si>
  <si>
    <t>https://avestia.com/MCM2023_Proceedings/files/paper/ICMIE/ICMIE_143.pdf</t>
  </si>
  <si>
    <r>
      <rPr>
        <rFont val="Arial Narrow"/>
        <color theme="1"/>
        <sz val="10.0"/>
      </rPr>
      <t xml:space="preserve">DANDEKAR, T. R., &amp; KHATIRKAR, R. K. (2023). Texture Development During Incremental Sheet Forming (ISF): A State-of-the-Art Review. In </t>
    </r>
    <r>
      <rPr>
        <rFont val="Arial Narrow"/>
        <i/>
        <color theme="1"/>
        <sz val="10.0"/>
      </rPr>
      <t>Handbook of Flexible and Smart Sheet Forming Techniques: Industry 4.0 Approaches</t>
    </r>
    <r>
      <rPr>
        <rFont val="Arial Narrow"/>
        <color theme="1"/>
        <sz val="10.0"/>
      </rPr>
      <t xml:space="preserve"> (pp. 93-115). https://doi.org/10.1002/9781119986454.ch5 </t>
    </r>
  </si>
  <si>
    <r>
      <rPr>
        <rFont val="Arial Narrow"/>
        <color theme="1"/>
        <sz val="10.0"/>
      </rPr>
      <t xml:space="preserve">GUPTA, A. K., SHAHARE, H., KUMAR, P., DUBEY, A. K., PUSTOVOYTOV, D., YU, H., PESIN, A., &amp; TANDON, P. (2023). Effect of tool path strategy and tooltip profile on geometrical feature and surface quality of Al-6061 alloy during deformation machining in bending mode [Article]. </t>
    </r>
    <r>
      <rPr>
        <rFont val="Arial Narrow"/>
        <i/>
        <color theme="1"/>
        <sz val="10.0"/>
      </rPr>
      <t>Advances in Materials and Processing Technologies</t>
    </r>
    <r>
      <rPr>
        <rFont val="Arial Narrow"/>
        <color theme="1"/>
        <sz val="10.0"/>
      </rPr>
      <t>,</t>
    </r>
    <r>
      <rPr>
        <rFont val="Arial Narrow"/>
        <i/>
        <color theme="1"/>
        <sz val="10.0"/>
      </rPr>
      <t xml:space="preserve"> 9</t>
    </r>
    <r>
      <rPr>
        <rFont val="Arial Narrow"/>
        <color theme="1"/>
        <sz val="10.0"/>
      </rPr>
      <t xml:space="preserve">(1), 297-314. https://doi.org/10.1080/2374068X.2022.2091835 </t>
    </r>
  </si>
  <si>
    <t>https://www.tandfonline.com/doi/full/10.1080/2374068X.2022.2091835</t>
  </si>
  <si>
    <t>HAQUE, M. S., NASIM ROKON, S. M., &amp; KAISER, M. S. (2023). Strengthening and softening behavior of non-heat-treatable aluminum alloys subject to deformation and annealing treatment. Materials Today: Proceedings, 82, 151-157. https://doi.org/10.1016/j.matpr.2022.12.113</t>
  </si>
  <si>
    <t>https://www.sciencedirect.com/science/article/abs/pii/S2214785322074867?via%3Dihub</t>
  </si>
  <si>
    <r>
      <rPr>
        <rFont val="Arial Narrow"/>
        <color theme="1"/>
        <sz val="10.0"/>
      </rPr>
      <t xml:space="preserve">NAJM, S. M., &amp; PANITI, I. (2023). Investigation and machine learning-based prediction of parametric effects of single point incremental forming on pillow effect and wall profile of AlMn1Mg1 aluminum alloy sheets [Article]. </t>
    </r>
    <r>
      <rPr>
        <rFont val="Arial Narrow"/>
        <i/>
        <color theme="1"/>
        <sz val="10.0"/>
      </rPr>
      <t>Journal of Intelligent Manufacturing</t>
    </r>
    <r>
      <rPr>
        <rFont val="Arial Narrow"/>
        <color theme="1"/>
        <sz val="10.0"/>
      </rPr>
      <t>,</t>
    </r>
    <r>
      <rPr>
        <rFont val="Arial Narrow"/>
        <i/>
        <color theme="1"/>
        <sz val="10.0"/>
      </rPr>
      <t xml:space="preserve"> 34</t>
    </r>
    <r>
      <rPr>
        <rFont val="Arial Narrow"/>
        <color theme="1"/>
        <sz val="10.0"/>
      </rPr>
      <t xml:space="preserve">(1), 331-367. https://doi.org/10.1007/s10845-022-02026-8 </t>
    </r>
  </si>
  <si>
    <r>
      <rPr>
        <rFont val="Arial Narrow"/>
        <color theme="1"/>
        <sz val="10.0"/>
      </rPr>
      <t xml:space="preserve">RUDRAMAMBA, K. S., REDDY, M. R., &amp; NAKKA, M. (2023). Incremental Sheet Forming - A State-of-Art Review. In </t>
    </r>
    <r>
      <rPr>
        <rFont val="Arial Narrow"/>
        <i/>
        <color theme="1"/>
        <sz val="10.0"/>
      </rPr>
      <t>Handbook of Flexible and Smart Sheet Forming Techniques: Industry 4.0 Approaches</t>
    </r>
    <r>
      <rPr>
        <rFont val="Arial Narrow"/>
        <color theme="1"/>
        <sz val="10.0"/>
      </rPr>
      <t xml:space="preserve"> (pp. 1-14). https://doi.org/10.1002/9781119986454.ch1 </t>
    </r>
  </si>
  <si>
    <t>https://onlinelibrary.wiley.com/doi/10.1002/9781119986454.ch1</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</si>
  <si>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t>
    </r>
    <r>
      <rPr>
        <rFont val="Arial Narrow"/>
        <color theme="1"/>
        <sz val="10.0"/>
      </rPr>
      <t>,</t>
    </r>
    <r>
      <rPr>
        <rFont val="Arial Narrow"/>
        <i/>
        <color theme="1"/>
        <sz val="10.0"/>
      </rPr>
      <t xml:space="preserve"> 40</t>
    </r>
    <r>
      <rPr>
        <rFont val="Arial Narrow"/>
        <color theme="1"/>
        <sz val="10.0"/>
      </rPr>
      <t xml:space="preserve">(1), 4-17. https://doi.org/10.30678/fjt.127844 </t>
    </r>
  </si>
  <si>
    <r>
      <rPr>
        <rFont val="Arial Narrow"/>
        <color theme="1"/>
        <sz val="10.0"/>
      </rPr>
      <t xml:space="preserve">VODENITCHAROVA, T., DANIEL, W. J., LIU, S., &amp; MEEHAN, P. A. (2023). A rapid kinematic method for the prediction of sheet performance in two-point incremental sheet forming [Article]. </t>
    </r>
    <r>
      <rPr>
        <rFont val="Arial Narrow"/>
        <i/>
        <color theme="1"/>
        <sz val="10.0"/>
      </rPr>
      <t>Journal of Materials Processing Technology</t>
    </r>
    <r>
      <rPr>
        <rFont val="Arial Narrow"/>
        <color theme="1"/>
        <sz val="10.0"/>
      </rPr>
      <t>,</t>
    </r>
    <r>
      <rPr>
        <rFont val="Arial Narrow"/>
        <i/>
        <color theme="1"/>
        <sz val="10.0"/>
      </rPr>
      <t xml:space="preserve"> 312</t>
    </r>
    <r>
      <rPr>
        <rFont val="Arial Narrow"/>
        <color theme="1"/>
        <sz val="10.0"/>
      </rPr>
      <t xml:space="preserve">, Article 117850. https://doi.org/10.1016/j.jmatprotec.2022.117850 </t>
    </r>
  </si>
  <si>
    <t>https://www.sciencedirect.com/science/article/abs/pii/S0924013622003612?via%3Dihub</t>
  </si>
  <si>
    <t>BREAZ, R.E., RACZ G., BOLOGA, O., OLEKSIK, V.,  (toti ULBS)</t>
  </si>
  <si>
    <t>Motion control of medium size CNC machine tools a hands-on approach. In: 7th IEEE Conference oo Industrial Electronics and Applications (ICIEA), pp. 125–131. IEEE, Singapore (2012), INSPEC Accession Number: 13149792, DOI: 10.1109/ICIEA.2012.6361079</t>
  </si>
  <si>
    <r>
      <rPr>
        <rFont val="Arial Narrow"/>
        <color theme="1"/>
        <sz val="10.0"/>
      </rPr>
      <t xml:space="preserve">LELEŃ, M., &amp; SAŁAMACHA, D. (2023). Machine Tool Table Dynamics Tests when Starting and Braking during an Operation Test [Article]. </t>
    </r>
    <r>
      <rPr>
        <rFont val="Arial Narrow"/>
        <i/>
        <color theme="1"/>
        <sz val="10.0"/>
      </rPr>
      <t>Advances in Science and Technology Research Journal</t>
    </r>
    <r>
      <rPr>
        <rFont val="Arial Narrow"/>
        <color theme="1"/>
        <sz val="10.0"/>
      </rPr>
      <t>,</t>
    </r>
    <r>
      <rPr>
        <rFont val="Arial Narrow"/>
        <i/>
        <color theme="1"/>
        <sz val="10.0"/>
      </rPr>
      <t xml:space="preserve"> 17</t>
    </r>
    <r>
      <rPr>
        <rFont val="Arial Narrow"/>
        <color theme="1"/>
        <sz val="10.0"/>
      </rPr>
      <t xml:space="preserve">(1), 64-74. https://doi.org/10.12913/22998624/157113 </t>
    </r>
  </si>
  <si>
    <t>http://www.astrj.com/Machine-Tool-Table-Dynamics-Tests-when-Starting-and-Braking-during-an-Operation-Test,157113,0,2.html</t>
  </si>
  <si>
    <t>PALCU, A., &amp; LUCACHE, D. D. (2023). Realisation of a Low-Cost Three-Axis CNC for Processing Soft Materials. International Conference on Electromechanical and Power Systems (SIELMEN), IEEE Xplore, DOI: 10.1109/SIELMEN59038.2023.10290838</t>
  </si>
  <si>
    <t>https://ieeexplore.ieee.org/abstract/document/10290838</t>
  </si>
  <si>
    <t>COFARU, N. F., ROMAN, M. D., COFARU, II, OLEKSIK, V. S., FLEACA, S. R. (toți ULBS)</t>
  </si>
  <si>
    <t>Medial Opening Wedge High Tibial Osteotomy in Knee Osteoarthritis-A Biomechanical Approach. Applied Sciences-Basel, 10(24), . https://doi.org/10.3390/app10248972 WOS:000602922200001</t>
  </si>
  <si>
    <r>
      <rPr>
        <rFont val="Arial Narrow"/>
        <color theme="1"/>
        <sz val="10.0"/>
      </rPr>
      <t xml:space="preserve">MEDERAKE, M., ELEFTHERAKIS, G., SCHÜLL, D., SPRINGER, F., MAFFULLI, N., MIGLIORINI, F., &amp; KONRADS, C. (2023). The gap height in open wedge high tibial osteotomy is not affected by the starting point of the osteotomy. </t>
    </r>
    <r>
      <rPr>
        <rFont val="Arial Narrow"/>
        <i/>
        <color theme="1"/>
        <sz val="10.0"/>
      </rPr>
      <t>BMC Musculoskeletal Disorders</t>
    </r>
    <r>
      <rPr>
        <rFont val="Arial Narrow"/>
        <color theme="1"/>
        <sz val="10.0"/>
      </rPr>
      <t>,</t>
    </r>
    <r>
      <rPr>
        <rFont val="Arial Narrow"/>
        <i/>
        <color theme="1"/>
        <sz val="10.0"/>
      </rPr>
      <t xml:space="preserve"> 24</t>
    </r>
    <r>
      <rPr>
        <rFont val="Arial Narrow"/>
        <color theme="1"/>
        <sz val="10.0"/>
      </rPr>
      <t>(1), Article 373. https://doi.org/10.1186/s12891-023-06478-8 WOS:000985349600002.</t>
    </r>
  </si>
  <si>
    <t>https://bmcmusculoskeletdisord.biomedcentral.com/articles/10.1186/s12891-023-06478-8</t>
  </si>
  <si>
    <r>
      <rPr>
        <rFont val="Arial Narrow"/>
        <color theme="1"/>
        <sz val="10.0"/>
      </rPr>
      <t xml:space="preserve">PRZYSTALSKI, K., PALECZEK, A., SZUSTAKOWSKI, K., WAWRYKA, P., JUNGIEWICZ, M., ZALEWSKI, M., KWIATKOWSKI, J., GADEK, A., &amp; MISKOWIEC, K. (2023). Automated correction angle calculation in high tibial osteotomy planning. </t>
    </r>
    <r>
      <rPr>
        <rFont val="Arial Narrow"/>
        <i/>
        <color theme="1"/>
        <sz val="10.0"/>
      </rPr>
      <t>Scientific Reports</t>
    </r>
    <r>
      <rPr>
        <rFont val="Arial Narrow"/>
        <color theme="1"/>
        <sz val="10.0"/>
      </rPr>
      <t>,</t>
    </r>
    <r>
      <rPr>
        <rFont val="Arial Narrow"/>
        <i/>
        <color theme="1"/>
        <sz val="10.0"/>
      </rPr>
      <t xml:space="preserve"> 13</t>
    </r>
    <r>
      <rPr>
        <rFont val="Arial Narrow"/>
        <color theme="1"/>
        <sz val="10.0"/>
      </rPr>
      <t>(1), Article 12876. https://doi.org/10.1038/s41598-023-39967-w WOS:001044884500042.</t>
    </r>
  </si>
  <si>
    <t>https://www.nature.com/articles/s41598-023-39967-w</t>
  </si>
  <si>
    <r>
      <rPr>
        <rFont val="Arial Narrow"/>
        <color theme="1"/>
        <sz val="10.0"/>
      </rPr>
      <t xml:space="preserve">RAVANDI, M. R. M., DEZIANIAN, S., AHMAD, M. T., GHODDOSIAN, A., &amp; AZADI, M. (2023). Compressive strength of metamaterial bones fabricated by 3D printing with different porosities in cubic cells. </t>
    </r>
    <r>
      <rPr>
        <rFont val="Arial Narrow"/>
        <i/>
        <color theme="1"/>
        <sz val="10.0"/>
      </rPr>
      <t>Materials Chemistry and Physics</t>
    </r>
    <r>
      <rPr>
        <rFont val="Arial Narrow"/>
        <color theme="1"/>
        <sz val="10.0"/>
      </rPr>
      <t>,</t>
    </r>
    <r>
      <rPr>
        <rFont val="Arial Narrow"/>
        <i/>
        <color theme="1"/>
        <sz val="10.0"/>
      </rPr>
      <t xml:space="preserve"> 299</t>
    </r>
    <r>
      <rPr>
        <rFont val="Arial Narrow"/>
        <color theme="1"/>
        <sz val="10.0"/>
      </rPr>
      <t>, Article 127515. https://doi.org/10.1016/j.matchemphys.2023.127515 WOS:000965578800001.</t>
    </r>
  </si>
  <si>
    <t>https://www.sciencedirect.com/science/article/abs/pii/S0254058423002237?via%3Dihub</t>
  </si>
  <si>
    <t>ROSCA, N. (ULBS), TRZEPIECINSKI, T. (Rzeszow University of Technology), &amp; OLEKSIK, V. (ULBS)</t>
  </si>
  <si>
    <t>Minimizing the Forces in the Single Point Incremental Forming Process of Polymeric Materials Using Taguchi Design of Experiments and Analysis of Variance. Materials, 15(18), 2022, https://doi.org/10.3390/ma15186453, WOS:000857018300001</t>
  </si>
  <si>
    <r>
      <rPr>
        <rFont val="Arial Narrow"/>
        <color theme="1"/>
        <sz val="10.0"/>
      </rPr>
      <t xml:space="preserve">FORMISANO, A., BOCCARUSSO, L., &amp; DURANTE, M. (2023). Optimization of Single-Point Incremental Forming of Polymer Sheets through FEM. </t>
    </r>
    <r>
      <rPr>
        <rFont val="Arial Narrow"/>
        <i/>
        <color theme="1"/>
        <sz val="10.0"/>
      </rPr>
      <t>Materials</t>
    </r>
    <r>
      <rPr>
        <rFont val="Arial Narrow"/>
        <color theme="1"/>
        <sz val="10.0"/>
      </rPr>
      <t>,</t>
    </r>
    <r>
      <rPr>
        <rFont val="Arial Narrow"/>
        <i/>
        <color theme="1"/>
        <sz val="10.0"/>
      </rPr>
      <t xml:space="preserve"> 16</t>
    </r>
    <r>
      <rPr>
        <rFont val="Arial Narrow"/>
        <color theme="1"/>
        <sz val="10.0"/>
      </rPr>
      <t>(1), Article 451. https://doi.org/10.3390/ma16010451 WOS:000909082400001.</t>
    </r>
  </si>
  <si>
    <t>https://www.mdpi.com/1996-1944/16/1/451</t>
  </si>
  <si>
    <t>FORMISANO, A., DURANTE, M., BOCCARUSSO, L., &amp; MEMOLA CAPECE, F. (2023). A numerical approach to optimize the toolpath strategy for polymers forming. MATERIALS RESEARCH PROCEEDINGS, 28, 1697-1702. https://doi.org/10.21741/9781644902479-183</t>
  </si>
  <si>
    <t>https://www.mrforum.com/product/9781644902479-183/</t>
  </si>
  <si>
    <r>
      <rPr>
        <rFont val="Arial Narrow"/>
        <color theme="1"/>
        <sz val="10.0"/>
      </rPr>
      <t xml:space="preserve">KHARCHE, A., &amp; BARVE, S. (2023). Experimental investigations of machining parameters on polyamide 6 using single point incremental forming [Article]. </t>
    </r>
    <r>
      <rPr>
        <rFont val="Arial Narrow"/>
        <i/>
        <color theme="1"/>
        <sz val="10.0"/>
      </rPr>
      <t>Materials Today: Proceedings</t>
    </r>
    <r>
      <rPr>
        <rFont val="Arial Narrow"/>
        <color theme="1"/>
        <sz val="10.0"/>
      </rPr>
      <t>,</t>
    </r>
    <r>
      <rPr>
        <rFont val="Arial Narrow"/>
        <i/>
        <color theme="1"/>
        <sz val="10.0"/>
      </rPr>
      <t xml:space="preserve"> 80</t>
    </r>
    <r>
      <rPr>
        <rFont val="Arial Narrow"/>
        <color theme="1"/>
        <sz val="10.0"/>
      </rPr>
      <t xml:space="preserve">, 993-1001. https://doi.org/10.1016/j.matpr.2022.11.453 </t>
    </r>
  </si>
  <si>
    <t>https://www.sciencedirect.com/science/article/abs/pii/S2214785322073096?via%3Dihub</t>
  </si>
  <si>
    <t>BLAGA, A., BOLOGA, O., OLEKSIK, V., PÎRVU, B. (toți ULBS)</t>
  </si>
  <si>
    <t>Experimental researches regarding the influence of geometric parameters on the principal strains and thickness reduction in single point incremental forming. UPB Scientific Bulletin, Series D: Mechanical Engineering Volume 74, Issue 2, 2012, ISSN 1454-2358, pp. 111-120</t>
  </si>
  <si>
    <r>
      <rPr>
        <rFont val="Arial Narrow"/>
        <color theme="1"/>
        <sz val="10.0"/>
      </rPr>
      <t xml:space="preserve">KUMAR, A., MISHRA, G. J., GULATI, V., SRIVASTAVA, A. K., KUMAR, P., KUMAR, V., &amp; GOYAT, V. (2023). A comprehensive review on heat-assisted incremental sheet forming [Review]. </t>
    </r>
    <r>
      <rPr>
        <rFont val="Arial Narrow"/>
        <i/>
        <color theme="1"/>
        <sz val="10.0"/>
      </rPr>
      <t>International Journal on Interactive Design and Manufacturing, 1-19.</t>
    </r>
    <r>
      <rPr>
        <rFont val="Arial Narrow"/>
        <color theme="1"/>
        <sz val="10.0"/>
      </rPr>
      <t xml:space="preserve"> https://doi.org/10.1007/s12008-023-01670-5 </t>
    </r>
  </si>
  <si>
    <t>https://link.springer.com/article/10.1007/s12008-023-01670-5</t>
  </si>
  <si>
    <t>Student perceptions of remote learning transitions in engineering disciplines during the COVID-19 pandemic: a cross-national study, European Journal of Engineering Education, 48(1), 2023, p. 110-142, DOI: 10.1080/03043797.2022.2080529, WOS:000807049000001</t>
  </si>
  <si>
    <r>
      <rPr>
        <rFont val="Arial Narrow"/>
        <color theme="1"/>
        <sz val="10.0"/>
      </rPr>
      <t xml:space="preserve">CHODAK, K., CIESIELSKI, P., GRYSZTAR, D., KURASINSKA, A., MAKEEVA, O., PRYGIEL, P., &amp; ZABICKI, M. (2023). Digital University: A Study of Students' Experiences and Expectations in the Post-COVID Era. </t>
    </r>
    <r>
      <rPr>
        <rFont val="Arial Narrow"/>
        <i/>
        <color theme="1"/>
        <sz val="10.0"/>
      </rPr>
      <t>Education Sciences</t>
    </r>
    <r>
      <rPr>
        <rFont val="Arial Narrow"/>
        <color theme="1"/>
        <sz val="10.0"/>
      </rPr>
      <t>,</t>
    </r>
    <r>
      <rPr>
        <rFont val="Arial Narrow"/>
        <i/>
        <color theme="1"/>
        <sz val="10.0"/>
      </rPr>
      <t xml:space="preserve"> 13</t>
    </r>
    <r>
      <rPr>
        <rFont val="Arial Narrow"/>
        <color theme="1"/>
        <sz val="10.0"/>
      </rPr>
      <t>(2), Article 219. https://doi.org/10.3390/educsci13020219 WOS:000939224500001.</t>
    </r>
  </si>
  <si>
    <t>https://www.mdpi.com/2227-7102/13/2/219</t>
  </si>
  <si>
    <r>
      <rPr>
        <rFont val="Arial Narrow"/>
        <color theme="1"/>
        <sz val="10.0"/>
      </rPr>
      <t xml:space="preserve">MAHAJAN, P., &amp; PATIL, V. (2023). 'College choice' under the COVID-19 pandemic: Sustainability of engineering campuses for future enrollments. </t>
    </r>
    <r>
      <rPr>
        <rFont val="Arial Narrow"/>
        <i/>
        <color theme="1"/>
        <sz val="10.0"/>
      </rPr>
      <t>Plos one</t>
    </r>
    <r>
      <rPr>
        <rFont val="Arial Narrow"/>
        <color theme="1"/>
        <sz val="10.0"/>
      </rPr>
      <t>,</t>
    </r>
    <r>
      <rPr>
        <rFont val="Arial Narrow"/>
        <i/>
        <color theme="1"/>
        <sz val="10.0"/>
      </rPr>
      <t xml:space="preserve"> 18</t>
    </r>
    <r>
      <rPr>
        <rFont val="Arial Narrow"/>
        <color theme="1"/>
        <sz val="10.0"/>
      </rPr>
      <t>(9), Article e0291876. https://doi.org/10.1371/journal.pone.0291876 WOS:001079920100002.</t>
    </r>
  </si>
  <si>
    <t>https://journals.plos.org/plosone/article?id=10.1371/journal.pone.0291876</t>
  </si>
  <si>
    <r>
      <rPr>
        <rFont val="Arial Narrow"/>
        <color theme="1"/>
        <sz val="10.0"/>
      </rPr>
      <t xml:space="preserve">NIKOLIC, S., SUESSE, T. F., GRUNDY, S., HAQUE, R., LYDEN, S., HASSAN, G. M., DANIEL, S., BELKINA, M., &amp; LAL, S. (2023). Laboratory learning objectives: ranking objectives across the cognitive, psychomotor and affective domains within engineering. </t>
    </r>
    <r>
      <rPr>
        <rFont val="Arial Narrow"/>
        <i/>
        <color theme="1"/>
        <sz val="10.0"/>
      </rPr>
      <t>European Journal of Engineering Education</t>
    </r>
    <r>
      <rPr>
        <rFont val="Arial Narrow"/>
        <color theme="1"/>
        <sz val="10.0"/>
      </rPr>
      <t>. https://doi.org/10.1080/03043797.2023.2248042 WOS:001052368500001.</t>
    </r>
  </si>
  <si>
    <t>https://www.tandfonline.com/doi/full/10.1080/03043797.2023.2248042</t>
  </si>
  <si>
    <r>
      <rPr>
        <rFont val="Arial Narrow"/>
        <color theme="1"/>
        <sz val="10.0"/>
      </rPr>
      <t xml:space="preserve">CARVALHO, P. (2023). Student perceptions of remote learning during the COVID-19 pandemic: A research study with engineering students. In </t>
    </r>
    <r>
      <rPr>
        <rFont val="Arial Narrow"/>
        <i/>
        <color theme="1"/>
        <sz val="10.0"/>
      </rPr>
      <t>Handbook of Research on Advancing Equity and Inclusion Through Educational Technology</t>
    </r>
    <r>
      <rPr>
        <rFont val="Arial Narrow"/>
        <color theme="1"/>
        <sz val="10.0"/>
      </rPr>
      <t xml:space="preserve"> (pp. 319-334). https://doi.org/10.4018/978-1-6684-6868-5.ch016 </t>
    </r>
  </si>
  <si>
    <t>https://www.igi-global.com/gateway/chapter/328568</t>
  </si>
  <si>
    <t>FARRAJ, A., ZNIDI, F., &amp; MORSY, M. (2023). On Delivering the Electrical Engineering Program at the RELLIS Campus.  Proceedings - Frontiers in Education Conference, FIE2023, 53rd IEEE ASEE Frontiers in Education International Conference, FIE 2023, DOI: 10.1109/FIE58773.2023.10343013</t>
  </si>
  <si>
    <t>https://15113knud-y-https-ieeexplore-ieee-org.z.e-nformation.ro/document/10343013</t>
  </si>
  <si>
    <t>HADGRAFT, R., TREDE, F., &amp; RUMMLER, M. (2023). How Do Teachers Respond To Sustained Change? SEFI 2023 - 51st Annual Conference of the European Society for Engineering Education: Engineering Education for Sustainability, Proceedings, Pages 536 - 546, 2023, 51st Annual Conference of the European Society for Engineering Education, 
https://doi.org/10.21427/B3X9-GQ68</t>
  </si>
  <si>
    <t>https://arrow.tudublin.ie/sefi2023_respap/93/</t>
  </si>
  <si>
    <t>RACZ, S. G., BREAZ, R. E., BOLOGA, O., TERA, M., OLEKSIK, V. S. (toți ULBS)</t>
  </si>
  <si>
    <t>Using an adaptive network-based fuzzy inference system to estimate the vertical force in single point incremental forming, International Journal of Computers, Communications and Control, 2019, 14 (1), 63-77, doi: 10.15837/ijccc.2019.1.3489, WOS: 000458616200005</t>
  </si>
  <si>
    <r>
      <rPr>
        <rFont val="Arial Narrow"/>
        <color theme="1"/>
        <sz val="10.0"/>
      </rPr>
      <t xml:space="preserve">KUMAR, P., &amp; SINGH, H. (2023). Experimental analysis of tool geometry and tool rotation in SPIF process on AA7075-O alloy using ML and ANN approach. </t>
    </r>
    <r>
      <rPr>
        <rFont val="Arial Narrow"/>
        <i/>
        <color theme="1"/>
        <sz val="10.0"/>
      </rPr>
      <t>International Journal of Interactive Design and Manufacturing - Ijidem</t>
    </r>
    <r>
      <rPr>
        <rFont val="Arial Narrow"/>
        <color theme="1"/>
        <sz val="10.0"/>
      </rPr>
      <t>. https://doi.org/10.1007/s12008-023-01535-x WOS:001079917200003.</t>
    </r>
  </si>
  <si>
    <r>
      <rPr>
        <rFont val="Arial Narrow"/>
        <color theme="1"/>
        <sz val="10.0"/>
      </rPr>
      <t xml:space="preserve">NAGARGOJE, A., KANKAR, P. K., JAIN, P. K., &amp; TANDON, P. (2023). Application of artificial intelligence techniques in incremental forming: a state-of-the-art review [Review]. </t>
    </r>
    <r>
      <rPr>
        <rFont val="Arial Narrow"/>
        <i/>
        <color theme="1"/>
        <sz val="10.0"/>
      </rPr>
      <t>Journal of Intelligent Manufacturing</t>
    </r>
    <r>
      <rPr>
        <rFont val="Arial Narrow"/>
        <color theme="1"/>
        <sz val="10.0"/>
      </rPr>
      <t>,</t>
    </r>
    <r>
      <rPr>
        <rFont val="Arial Narrow"/>
        <i/>
        <color theme="1"/>
        <sz val="10.0"/>
      </rPr>
      <t xml:space="preserve"> 34</t>
    </r>
    <r>
      <rPr>
        <rFont val="Arial Narrow"/>
        <color theme="1"/>
        <sz val="10.0"/>
      </rPr>
      <t xml:space="preserve">(3), 985-1002. https://doi.org/10.1007/s10845-021-01868-y </t>
    </r>
  </si>
  <si>
    <t>FLEACĂ, R., MIȚARIU, S.I.C., OLEKSIK, V., OLEKSIK, M., ROMAN, M. (toti ULBS)</t>
  </si>
  <si>
    <t>Mechanical Behaviour of Orthopaedic Cement Loaded with Antibiotics in the Operation Room, Materiale Plastice, Volume: 54  Issue: 2  Pages: 402-407, June 2017, Accession Number: WOS:000408702100045, ISSN: 0025-5289.</t>
  </si>
  <si>
    <r>
      <rPr>
        <rFont val="Arial Narrow"/>
        <color theme="1"/>
        <sz val="10.0"/>
      </rPr>
      <t xml:space="preserve">STAN, G., ROMAN, M. D., ORBAN, H., GEORGEANU, V. A., DECULESCU, R. S., BRINDUSE, L. A., &amp; GHEORGHIU, N. (2023). Survival Analysis and Failure Modes of Total Hip Arthroplasty Using a Cemented Semi-Retentive Acetabular Cup. </t>
    </r>
    <r>
      <rPr>
        <rFont val="Arial Narrow"/>
        <i/>
        <color theme="1"/>
        <sz val="10.0"/>
      </rPr>
      <t>Journal of Clinical Medicine</t>
    </r>
    <r>
      <rPr>
        <rFont val="Arial Narrow"/>
        <color theme="1"/>
        <sz val="10.0"/>
      </rPr>
      <t>,</t>
    </r>
    <r>
      <rPr>
        <rFont val="Arial Narrow"/>
        <i/>
        <color theme="1"/>
        <sz val="10.0"/>
      </rPr>
      <t xml:space="preserve"> 12</t>
    </r>
    <r>
      <rPr>
        <rFont val="Arial Narrow"/>
        <color theme="1"/>
        <sz val="10.0"/>
      </rPr>
      <t>(24), Article 7506. https://doi.org/10.3390/jcm12247506 WOS:001136177200001.</t>
    </r>
  </si>
  <si>
    <t>https://www.mdpi.com/2077-0383/12/24/7506</t>
  </si>
  <si>
    <t>ŞTEȚIU, A. A. (ULBS), OLEKSIK, V. (ULBS), ŞTEȚIU, M. (ULBS), BURLIBAȘA, M. (CAROL DAVILLA BUC), TRĂISTARU, V. (CAROL DAVILLA BUC), OANCEA, L. (CAROL DAVILLA BUC), BERTESTEANU, S. (CAROL DAVILLA BUC), IONESCU, I. (CAROL DAVILLA BUC)</t>
  </si>
  <si>
    <t xml:space="preserve"> Modelling and finite element method in dentistry. Romanian Biotechnological Letters, (2015) 20(4), 10579-10584. </t>
  </si>
  <si>
    <r>
      <rPr>
        <rFont val="Arial Narrow"/>
        <color theme="1"/>
        <sz val="10.0"/>
      </rPr>
      <t xml:space="preserve">AJAJ AL-KORDY, N. M. T., &amp; AL-SAADI, M. H. (2023). Finite Element Study of Stress Distribution with Tooth-Supported Mandibular Overdenture Retained by Ball Attachments or Resilient Telescopic Crowns [Article]. </t>
    </r>
    <r>
      <rPr>
        <rFont val="Arial Narrow"/>
        <i/>
        <color theme="1"/>
        <sz val="10.0"/>
      </rPr>
      <t>European Journal of Dentistry</t>
    </r>
    <r>
      <rPr>
        <rFont val="Arial Narrow"/>
        <color theme="1"/>
        <sz val="10.0"/>
      </rPr>
      <t>,</t>
    </r>
    <r>
      <rPr>
        <rFont val="Arial Narrow"/>
        <i/>
        <color theme="1"/>
        <sz val="10.0"/>
      </rPr>
      <t xml:space="preserve"> 17</t>
    </r>
    <r>
      <rPr>
        <rFont val="Arial Narrow"/>
        <color theme="1"/>
        <sz val="10.0"/>
      </rPr>
      <t xml:space="preserve">(2), 539-547. https://doi.org/10.1055/s-0042-1749363 </t>
    </r>
  </si>
  <si>
    <t>https://www.thieme-connect.de/products/ejournals/abstract/10.1055/s-0042-1749363</t>
  </si>
  <si>
    <t xml:space="preserve">Modelling and finite element method in dentistry. Romanian Biotechnological Letters, (2015) 20(4), 10579-10584. </t>
  </si>
  <si>
    <r>
      <rPr>
        <rFont val="Arial Narrow"/>
        <color theme="1"/>
        <sz val="10.0"/>
      </rPr>
      <t xml:space="preserve">AL ZUBAIDI, S. H., ALSULTAN, M. M. H., &amp; HASAN, L. A. (2023). Stress effect on the mandibular dental arch by mentalis muscle over activity, finite element analysis [Article]. </t>
    </r>
    <r>
      <rPr>
        <rFont val="Arial Narrow"/>
        <i/>
        <color theme="1"/>
        <sz val="10.0"/>
      </rPr>
      <t>Journal of Orthodontic Science</t>
    </r>
    <r>
      <rPr>
        <rFont val="Arial Narrow"/>
        <color theme="1"/>
        <sz val="10.0"/>
      </rPr>
      <t>,</t>
    </r>
    <r>
      <rPr>
        <rFont val="Arial Narrow"/>
        <i/>
        <color theme="1"/>
        <sz val="10.0"/>
      </rPr>
      <t xml:space="preserve"> 12</t>
    </r>
    <r>
      <rPr>
        <rFont val="Arial Narrow"/>
        <color theme="1"/>
        <sz val="10.0"/>
      </rPr>
      <t xml:space="preserve">(1), 61. https://doi.org/10.4103/jos.jos_16_23 </t>
    </r>
  </si>
  <si>
    <t>https://journals.lww.com/joos/fulltext/2023/11020/stress_effect_on_the_mandibular_dental_arch_by.61.aspx</t>
  </si>
  <si>
    <t>RACZ, G., BREAZ, R., OLEKSIK, V., BOLOGA, O., BRINDASU, P. D. (toți ULBS)</t>
  </si>
  <si>
    <t>Simulated 3-axis versus 5-axis Processing Toolpaths for Single Point Incremental Forming, IOP Conference Series: Materials Science and Engineering, 2019, 564, 012023</t>
  </si>
  <si>
    <r>
      <rPr>
        <rFont val="Arial Narrow"/>
        <color theme="1"/>
        <sz val="10.0"/>
      </rPr>
      <t xml:space="preserve">MAKWANA, R., MODI, B., &amp; PATEL, K. (2023). Single-stage single point incremental square hole flanging of AA5052 material [Article]. </t>
    </r>
    <r>
      <rPr>
        <rFont val="Arial Narrow"/>
        <i/>
        <color theme="1"/>
        <sz val="10.0"/>
      </rPr>
      <t>Materials and Manufacturing Processes</t>
    </r>
    <r>
      <rPr>
        <rFont val="Arial Narrow"/>
        <color theme="1"/>
        <sz val="10.0"/>
      </rPr>
      <t>,</t>
    </r>
    <r>
      <rPr>
        <rFont val="Arial Narrow"/>
        <i/>
        <color theme="1"/>
        <sz val="10.0"/>
      </rPr>
      <t xml:space="preserve"> 38</t>
    </r>
    <r>
      <rPr>
        <rFont val="Arial Narrow"/>
        <color theme="1"/>
        <sz val="10.0"/>
      </rPr>
      <t xml:space="preserve">(6), 680-691. https://doi.org/10.1080/10426914.2022.2136377 </t>
    </r>
  </si>
  <si>
    <t>RACZ, G. S., OLEKSIK, V. S., BREAZ, R. E. (toți ULBS)</t>
  </si>
  <si>
    <t>Incremental forming-CAE/CAM approaches and results, IOP Conference Series: Materials Science and Engineering, 2019, 591, article number  012065</t>
  </si>
  <si>
    <r>
      <rPr>
        <rFont val="Arial Narrow"/>
        <color theme="1"/>
        <sz val="10.0"/>
      </rPr>
      <t xml:space="preserve">WEN, L., LI, Y. J., ZHENG, S. L., XU, H., LIU, Y. S., YUAN, Q. L., ZHANG, Y. P., WU, H., SHEN, Y. Z., KONG, J. Z., &amp; WEI, H. Y. (2023). Study on Deformation Force of Hard Aluminum Alloy Incremental Forming. </t>
    </r>
    <r>
      <rPr>
        <rFont val="Arial Narrow"/>
        <i/>
        <color theme="1"/>
        <sz val="10.0"/>
      </rPr>
      <t>Coatings</t>
    </r>
    <r>
      <rPr>
        <rFont val="Arial Narrow"/>
        <color theme="1"/>
        <sz val="10.0"/>
      </rPr>
      <t>,</t>
    </r>
    <r>
      <rPr>
        <rFont val="Arial Narrow"/>
        <i/>
        <color theme="1"/>
        <sz val="10.0"/>
      </rPr>
      <t xml:space="preserve"> 13</t>
    </r>
    <r>
      <rPr>
        <rFont val="Arial Narrow"/>
        <color theme="1"/>
        <sz val="10.0"/>
      </rPr>
      <t>(3), Article 571. https://doi.org/10.3390/coatings13030571 WOS:000955202300001.</t>
    </r>
  </si>
  <si>
    <t xml:space="preserve">POPP, M.O.; RUSU, G.P.; OLEKSIK, V.; BIRIS, C.; (toți ULBS) </t>
  </si>
  <si>
    <t>Influence of vertical step on forces and dimensional accuracy of SPIF parts–a numerical investigation, 2020 IOP Conf. Ser.: Mater. Sci. Eng. 968 012020, DOI: 10.1088/1757-899X/968/1/012020</t>
  </si>
  <si>
    <t>BÂRSAN, A., RACZ, S. G., BREAZ, R., &amp; CRENGANIS, M. (2023). Evaluation of the dimensional accuracy through 3D optical scanning in incremental sheet forming. Materials Today: Proceedings. https://doi.org/10.1016/j.matpr.2023.03.175</t>
  </si>
  <si>
    <t>SOPON, M. (Spitalul județean Sibiu), OLEKSIK, V. (ULBS), ROMAN, M. (ULBS), COFARU, N. (ULBS), OLEKSIK, M. (ULBS), MOHOR, C. (ULBS), BOICEAN, A. (ULBS), FLEACĂ, R. (ULBS)</t>
  </si>
  <si>
    <t>Biomechanical Study of the Osteoporotic Spine Fracture: Optical Approach, (2021), Journal of Personalized Medicine, 11(9), article 907, https://doi.org/10.3390/jpm11090907, WOS:000700782700001</t>
  </si>
  <si>
    <r>
      <rPr>
        <rFont val="Arial Narrow"/>
        <color theme="1"/>
        <sz val="10.0"/>
      </rPr>
      <t xml:space="preserve">WANG, F., SUN, R., ZHANG, S. D., &amp; WU, X. T. (2023). Comparison of thoracolumbar versus non-thoracolumbar osteoporotic vertebral compression fractures in risk factors, vertebral compression degree and pre-hospital back pain. </t>
    </r>
    <r>
      <rPr>
        <rFont val="Arial Narrow"/>
        <i/>
        <color theme="1"/>
        <sz val="10.0"/>
      </rPr>
      <t>Journal of Orthopaedic Surgery and Research</t>
    </r>
    <r>
      <rPr>
        <rFont val="Arial Narrow"/>
        <color theme="1"/>
        <sz val="10.0"/>
      </rPr>
      <t>,</t>
    </r>
    <r>
      <rPr>
        <rFont val="Arial Narrow"/>
        <i/>
        <color theme="1"/>
        <sz val="10.0"/>
      </rPr>
      <t xml:space="preserve"> 18</t>
    </r>
    <r>
      <rPr>
        <rFont val="Arial Narrow"/>
        <color theme="1"/>
        <sz val="10.0"/>
      </rPr>
      <t>(1), Article 643. https://doi.org/10.1186/s13018-023-04140-6 WOS:001058547200002.</t>
    </r>
  </si>
  <si>
    <t>https://josr-online.biomedcentral.com/articles/10.1186/s13018-023-04140-6</t>
  </si>
  <si>
    <t>Common defects of parts manufactured through single point incremental forming, MATEC Web of Conferences, 2021, 343, 04007</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</si>
  <si>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Tribologia-Finnish Journal of Tribology</t>
    </r>
    <r>
      <rPr>
        <rFont val="Arial Narrow"/>
        <color theme="1"/>
        <sz val="10.0"/>
      </rPr>
      <t>,</t>
    </r>
    <r>
      <rPr>
        <rFont val="Arial Narrow"/>
        <i/>
        <color theme="1"/>
        <sz val="10.0"/>
      </rPr>
      <t xml:space="preserve"> 40</t>
    </r>
    <r>
      <rPr>
        <rFont val="Arial Narrow"/>
        <color theme="1"/>
        <sz val="10.0"/>
      </rPr>
      <t xml:space="preserve">(1), 4-17. https://doi.org/10.30678/fjt.127844 </t>
    </r>
  </si>
  <si>
    <t>ROSCA, N., OLEKSIK, M., OLEKSIK, V. (toți ULBS)</t>
  </si>
  <si>
    <t>Experimental Study Regarding PA and PE Sheets on Single Point Incremental Forming Process, 10th International Conference on Manufacturing Science and Education – MSE 2021, MATEC Web Conf. Volume 343, 3009, 2021, https://doi.org/10.1051/matecconf/202134303009</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</si>
  <si>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Tribologia-Finnish Journal of Tribology</t>
    </r>
    <r>
      <rPr>
        <rFont val="Arial Narrow"/>
        <color theme="1"/>
        <sz val="10.0"/>
      </rPr>
      <t>,</t>
    </r>
    <r>
      <rPr>
        <rFont val="Arial Narrow"/>
        <i/>
        <color theme="1"/>
        <sz val="10.0"/>
      </rPr>
      <t xml:space="preserve"> 40</t>
    </r>
    <r>
      <rPr>
        <rFont val="Arial Narrow"/>
        <color theme="1"/>
        <sz val="10.0"/>
      </rPr>
      <t xml:space="preserve">(1), 4-17. https://doi.org/10.30678/fjt.127844 </t>
    </r>
  </si>
  <si>
    <t>ROSCA, N., OLEKSIK, V., PASCU, A., OLEKSIK, M., AVRIGEAN, E. (toți ULBS)</t>
  </si>
  <si>
    <t>Optical study for springback prediction, thickness reduction and forces variations on single point incremental forming. Materials Today-Proceedings, 12, 213-218, https://doi.org 10.1016/j.matpr.2019.03.116, WOS:000468465100006</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</si>
  <si>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Tribologia-Finnish Journal of Tribology</t>
    </r>
    <r>
      <rPr>
        <rFont val="Arial Narrow"/>
        <color theme="1"/>
        <sz val="10.0"/>
      </rPr>
      <t>,</t>
    </r>
    <r>
      <rPr>
        <rFont val="Arial Narrow"/>
        <i/>
        <color theme="1"/>
        <sz val="10.0"/>
      </rPr>
      <t xml:space="preserve"> 40</t>
    </r>
    <r>
      <rPr>
        <rFont val="Arial Narrow"/>
        <color theme="1"/>
        <sz val="10.0"/>
      </rPr>
      <t xml:space="preserve">(1), 4-17. https://doi.org/10.30678/fjt.127844 </t>
    </r>
  </si>
  <si>
    <t>COFARU, N. F., OLEKSIK, V., COFARU, II, SIMION, C. M., ROMAN, M. D., LEBADA, I. C., &amp; FLEACA, S. R. (toți ULBS)</t>
  </si>
  <si>
    <t>Geometrical Planning of the Medial Opening Wedge High Tibial Osteotomy-An Experimental Approach, (2022), Applied Sciences-Basel, 12(5), article 2475, https://doi.org/10.3390/app12052475, WOS:000771333700001</t>
  </si>
  <si>
    <r>
      <rPr>
        <rFont val="Arial Narrow"/>
        <color theme="1"/>
        <sz val="10.0"/>
      </rPr>
      <t xml:space="preserve">ZHONG, R., YU, G., WANG, Y. M., FANG, C., LU, S., LIU, Z. L., GAO, J. Y., YAN, C. Y., &amp; ZHAO, Q. C. (2023). Research on the Influence of the Allogeneic Bone Graft in Postoperative Recovery After MOWHTO: A Retrospective Study. </t>
    </r>
    <r>
      <rPr>
        <rFont val="Arial Narrow"/>
        <i/>
        <color theme="1"/>
        <sz val="10.0"/>
      </rPr>
      <t>Therapeutics and Clinical Risk Management</t>
    </r>
    <r>
      <rPr>
        <rFont val="Arial Narrow"/>
        <color theme="1"/>
        <sz val="10.0"/>
      </rPr>
      <t>,</t>
    </r>
    <r>
      <rPr>
        <rFont val="Arial Narrow"/>
        <i/>
        <color theme="1"/>
        <sz val="10.0"/>
      </rPr>
      <t xml:space="preserve"> 19</t>
    </r>
    <r>
      <rPr>
        <rFont val="Arial Narrow"/>
        <color theme="1"/>
        <sz val="10.0"/>
      </rPr>
      <t>, 193-205. https://doi.org/10.2147/tcrm.S400354 WOS:000937234100001.</t>
    </r>
  </si>
  <si>
    <t>https://www.dovepress.com/research-on-the-influence-of-the-allogeneic-bone-graft-in-postoperativ-peer-reviewed-fulltext-article-TCRM</t>
  </si>
  <si>
    <t>PASCU, A., OLEKSIK, V., BONDREA I., ROSCA, L. (toți ULBS)</t>
  </si>
  <si>
    <t>Inverse analysis used to determine plastic flow and tribological characteristics for deep-drawing sheet, Proceedia Engineering, 2014, https://doi.org/10.1016/j.proeng.2014.10.240</t>
  </si>
  <si>
    <r>
      <rPr>
        <rFont val="Arial Narrow"/>
        <color theme="1"/>
        <sz val="10.0"/>
      </rPr>
      <t xml:space="preserve">COGET, Y., DEMARTY, Y., CZARNOTA, C., BRACQ, A., BREST, J. S., &amp; RUSINEK, A. (2023). Lateral ring compression test applied to a small caliber steel jacket: Identification of a constitutive model [Article]. </t>
    </r>
    <r>
      <rPr>
        <rFont val="Arial Narrow"/>
        <i/>
        <color theme="1"/>
        <sz val="10.0"/>
      </rPr>
      <t>Defence Technology</t>
    </r>
    <r>
      <rPr>
        <rFont val="Arial Narrow"/>
        <color theme="1"/>
        <sz val="10.0"/>
      </rPr>
      <t xml:space="preserve">. https://doi.org/10.1016/j.dt.2023.11.001 </t>
    </r>
  </si>
  <si>
    <t>https://www.sciencedirect.com/science/article/pii/S2214914723002891?via%3Dihub#cebib0010</t>
  </si>
  <si>
    <t>Experimental Research on Wolfram Inert Gas AA1050 Aluminum Alloy Tailor Welded Blanks Processed by Single Point Incremental Forming Process, Materials, 2023, 16(19), DOI: 10.3390/ma16196408, WOS:001081829900001</t>
  </si>
  <si>
    <r>
      <rPr>
        <rFont val="Arial Narrow"/>
        <color theme="1"/>
        <sz val="10.0"/>
      </rPr>
      <t xml:space="preserve">HOANG, T. K., LUYEN, T. T., &amp; NGUYEN, D. T. (2023). Enhancing/Improving Forming Limit Curve and Fracture Height Predictions in the Single-Point Incremental Forming of Al1050 Sheet Material. </t>
    </r>
    <r>
      <rPr>
        <rFont val="Arial Narrow"/>
        <i/>
        <color theme="1"/>
        <sz val="10.0"/>
      </rPr>
      <t>Materials</t>
    </r>
    <r>
      <rPr>
        <rFont val="Arial Narrow"/>
        <color theme="1"/>
        <sz val="10.0"/>
      </rPr>
      <t>,</t>
    </r>
    <r>
      <rPr>
        <rFont val="Arial Narrow"/>
        <i/>
        <color theme="1"/>
        <sz val="10.0"/>
      </rPr>
      <t xml:space="preserve"> 16</t>
    </r>
    <r>
      <rPr>
        <rFont val="Arial Narrow"/>
        <color theme="1"/>
        <sz val="10.0"/>
      </rPr>
      <t>(23), Article 7266. https://doi.org/10.3390/ma16237266 WOS:001115935100001.</t>
    </r>
  </si>
  <si>
    <t>STETIU A.A. (ULBS), OLEKSIK V. (ULBS), STETIU M. (ULBS), PETRUSE R. (ULBS), BURLIBASA M., (UMF Carol Davilla), CERNUSCA-MITARIU M. (ULBS), IONESCU I. (UMF Carol Davilla)</t>
  </si>
  <si>
    <t xml:space="preserve">Dimensioning initial preparation for dental incisal reconstruction with biomaterials, Romanian Biotechnological Letters, 2014, </t>
  </si>
  <si>
    <r>
      <rPr>
        <rFont val="Arial Narrow"/>
        <color theme="1"/>
        <sz val="10.0"/>
      </rPr>
      <t xml:space="preserve">WANG, C. X., RONG, Q. G., ZHU, N., MA, T., ZHANG, Y., &amp; LIN, Y. (2023). Finite element analysis of stress in oral mucosa and titanium mesh interface. </t>
    </r>
    <r>
      <rPr>
        <rFont val="Arial Narrow"/>
        <i/>
        <color theme="1"/>
        <sz val="10.0"/>
      </rPr>
      <t>BMC Oral Health</t>
    </r>
    <r>
      <rPr>
        <rFont val="Arial Narrow"/>
        <color theme="1"/>
        <sz val="10.0"/>
      </rPr>
      <t>,</t>
    </r>
    <r>
      <rPr>
        <rFont val="Arial Narrow"/>
        <i/>
        <color theme="1"/>
        <sz val="10.0"/>
      </rPr>
      <t xml:space="preserve"> 23</t>
    </r>
    <r>
      <rPr>
        <rFont val="Arial Narrow"/>
        <color theme="1"/>
        <sz val="10.0"/>
      </rPr>
      <t>(1), Article 25. https://doi.org/10.1186/s12903-022-02703-3 WOS:000914811700005.</t>
    </r>
  </si>
  <si>
    <t>https://bmcoralhealth.biomedcentral.com/articles/10.1186/s12903-022-02703-3</t>
  </si>
  <si>
    <t>Elena Bebeselea-Sterp (NTT DATA), Raluca Brad (ULBS) and Remus Brad  (ULBS)</t>
  </si>
  <si>
    <t>A Comparative Study of Stereovision Algorithms</t>
  </si>
  <si>
    <t>Rouabhia, D., &amp; Djedi, N. E. (2023). A combination of'feature mapping'and'block'approaches to reduce the matching area of stereoscopic algorithms. International Journal of Computational Vision and Robotics, 13(6), 641-657.</t>
  </si>
  <si>
    <t>https://www.inderscienceonline.com/doi/abs/10.1504/IJCVR.2023.134310</t>
  </si>
  <si>
    <t>Brad Raluca</t>
  </si>
  <si>
    <t>Yaqoob, I., &amp; Bajwa, I. S. (2023). Performance evaluation of mobile stereonet for real time navigation in autonomous mobile robots. Multimedia Tools and Applications, 1-30.</t>
  </si>
  <si>
    <t>https://link.springer.com/article/10.1007/s11042-023-16710-1</t>
  </si>
  <si>
    <t>Mulaku, L., &amp; Zeqiri, F. (2023). Applying Image Processing to Implement Optimization Approaches. Jordan Journal of Mechanical &amp; Industrial Engineering, 17(4).</t>
  </si>
  <si>
    <t>https://openurl.ebsco.com/EPDB%3Agcd%3A12%3A24775276/detailv2?sid=ebsco%3Aplink%3Ascholar&amp;id=ebsco%3Agcd%3A174214361&amp;crl=c</t>
  </si>
  <si>
    <t>Cristina Modrângă (ULBS), Raluca Brad (ULBS), Remus Brad (ULBS)</t>
  </si>
  <si>
    <t>Fabric defect detection using Fourier transform and Gabor filters</t>
  </si>
  <si>
    <t>Bai, Z., &amp; Jing, J. (2023). Mobile-Deeplab: a lightweight pixel segmentation-based method for fabric defect detection. Journal of Intelligent Manufacturing, 1-16.</t>
  </si>
  <si>
    <t>https://link.springer.com/article/10.1007/s10845-023-02205-1</t>
  </si>
  <si>
    <t>Thakur, R., Panghal, D., Jana, P., Rajan, &amp; Prasad, A. (2023). Automated fabric inspection through convolutional neural network: an approach. Neural Computing and Applications, 35(5), 3805-3823.</t>
  </si>
  <si>
    <t>https://link.springer.com/article/10.1007/s00521-022-07891-1</t>
  </si>
  <si>
    <t xml:space="preserve"> Raluca Brad (ULBS)</t>
  </si>
  <si>
    <t>A Review of Color Measurments in the Textile Industry</t>
  </si>
  <si>
    <t>Rico, F., Mazabel, A., Egurrola, G., Pulido, J., Barrios, N., Marquez, R., &amp; García, J. (2023). Meta-Analysis and Analytical Methods in Cosmetics Formulation: A Review. Cosmetics, 11(1), 1.</t>
  </si>
  <si>
    <t>https://www.mdpi.com/2079-9284/11/1/1</t>
  </si>
  <si>
    <t>Khan, N., Vik, M., Irshad, F., Yildirim, B., Farooq, A., &amp; Ashraf, M. A. (2023). Development of a 3D Color Diagram for Improved Visual Grading System of Cotton. Fibers and Polymers, 24(1), 73-82.</t>
  </si>
  <si>
    <t>https://link.springer.com/article/10.1007/s12221-023-00055-5</t>
  </si>
  <si>
    <t>B Chiliban, CV Kifor (Universitatea "Lucian Blaga" Sibiu) , LM Baral (Ahsanullah University of Science and Technology)</t>
  </si>
  <si>
    <t>Review of knowledge management models for implementation within advanced product quality planning</t>
  </si>
  <si>
    <t>FING 4</t>
  </si>
  <si>
    <t>Zuhair A. Al-Hemyari and Abdullah M. Al-Sarmi, A New Information Management Model for Measuring the Institutional Performance, Journal of Information &amp; Knowledge Management Vol. 22, No. 04, 2350011 (2023)</t>
  </si>
  <si>
    <t>https://www.scopus.com/record/display.uri?eid=2-s2.0-85153972868&amp;origin=resultslist&amp;sort=plf-f&amp;src=s&amp;sid=8bee9f10ac9d7b60f1bc1c39e7c85e99&amp;sot=b&amp;sdt=b&amp;s=DOI%2810.1142%2Fs0219649223500119%29&amp;sl=93&amp;sessionSearchId=8bee9f10ac9d7b60f1bc1c39e7c85e99&amp;relpos=0</t>
  </si>
  <si>
    <t>World Scientific</t>
  </si>
  <si>
    <t>Bârsan, A., Popp, M. O., Rusu, G. P., Maroșan, A. I. (ULBS)</t>
  </si>
  <si>
    <t>Robot-based incremental sheet forming–the tool path planning</t>
  </si>
  <si>
    <t>W. K. Shaker and A. Klimchik, "Towards Single Point Incremental Forming Accuracy: An Approach for the Springback Effect Compensation," 2023 IEEE 19th International Conference on Automation Science and Engineering (CASE), Auckland, New Zealand, 2023, pp. 1-6, doi: 10.1109/CASE56687.2023.10260568.</t>
  </si>
  <si>
    <t>https://ieeexplore.ieee.org/abstract/document/10260568?casa_token=DsocknL2uVkAAAAA:faCpsmN5xPRQapZ9XZQiyWfPAWZqD4gh3PJ76TJ7vEVhLDZRiGrh-De8fLisckTNDiA8dItNV9Co</t>
  </si>
  <si>
    <t>Alexandru Bârsan, Sever-Gabriel Racz, Radu Breaz, Mihai Crenganiş,
Evaluation of the dimensional accuracy through 3D optical scanning in incremental sheet forming,
Materials Today: Proceedings,Volume 93, Part 4,2023,
https://doi.org/10.1016/j.matpr.2023.03.175.</t>
  </si>
  <si>
    <t>W. K. Shaker and A. Klimchik, "Comparative Analysis of Springback Compensation for Various Profiles in Incremental Forming," 2023 International Russian Automation Conference (RusAutoCon), Sochi, Russian Federation, 2023, pp. 1040-1045, doi: 10.1109/RusAutoCon58002.2023.10272754.</t>
  </si>
  <si>
    <t>https://ieeexplore.ieee.org/abstract/document/10272754?casa_token=BDCZAJ-pDkYAAAAA:7TkHD6bJfDsgvYdmhZVg6l-YzdnjGX8UqMtrgxGE3kkOgTgs2cVFko3yi5WPjP2qkShI3doISPTA</t>
  </si>
  <si>
    <t>W. K. Shaker and A. Klimchick, "Simulation Study for Robot-based Single Point Incremental Forming," 2023 International Conference on Industrial Engineering, Applications and Manufacturing (ICIEAM), Sochi, Russian Federation, 2023, pp. 730-736, doi: 10.1109/ICIEAM57311.2023.10138999.</t>
  </si>
  <si>
    <t>https://ieeexplore.ieee.org/abstract/document/10138999?casa_token=kFQhbwJbwSkAAAAA:oqLAJwc28WvCqd1v4N27UmWmWYY68Nm94vqeQN28QkCEHe-mt02-FrHqvbKkBDxr4BU6MBYT_VRK</t>
  </si>
  <si>
    <t>Maroșan, A.; Crenganiș, M.; Bârsan, A.; Gîrjob, C.-E.; Biriș, C.-M.;  (ULBS); Constantin, C.(UPB); Botez, C. (UPB)</t>
  </si>
  <si>
    <t xml:space="preserve">S Pookkuttath, PA Palanisamy, MR Elara - AI-Enabled Condition Monitoring Framework for Outdoor Mobile Robots Using 3D LiDAR Sensor,  Mathematics 2023, 11(16), 3594; https://doi.org/10.3390/math11163594 </t>
  </si>
  <si>
    <t>https://www.mdpi.com/2227-7390/11/16/3594</t>
  </si>
  <si>
    <t xml:space="preserve">S Pookkuttath, RE Abdulkader, MR Elara, P Veerajagadheswar - AI-Enabled Vibrotactile Feedback-Based Condition Monitoring Framework for Outdoor Mobile Robots,  Mathematics 2023, 11(18), 3804; https://doi.org/10.3390/math11183804 </t>
  </si>
  <si>
    <t>https://www.mdpi.com/2227-7390/11/18/3804</t>
  </si>
  <si>
    <t xml:space="preserve">X Gou, Z Tang, Y Gao, K Chen, H Wang - Current-Sensing Topology with Multi Resistors in Parallel and Its Protection Circuit ,  Appl. Sci. 2023, 13(14), 8382; https://doi.org/10.3390/app13148382 </t>
  </si>
  <si>
    <t>https://www.mdpi.com/2076-3417/13/14/8382</t>
  </si>
  <si>
    <t>Racz, S.-G.; Crenganiș, M.; Breaz, R.-E.; Maroșan, A.; Bârsan, A.; Gîrjob, C.-E.; Biriș, C.-M.; Tera, M. (ULBS)</t>
  </si>
  <si>
    <t xml:space="preserve">MJ Łopatka, K Cieślik, P Krogul, T Muszyński, M Przybysz, A Rubiec, K Spadło - Research on Terrain Mobility of UGV with Hydrostatic Wheel Drive and Slip Control Systems,  Energies 2023, 16(19), 6938; https://doi.org/10.3390/en16196938 </t>
  </si>
  <si>
    <t>https://www.mdpi.com/1996-1073/16/19/6938</t>
  </si>
  <si>
    <t>F Morariu, T Morariu, SG Racz - Mobile robot vision navigation strategy based on Pixy2 camera, Materials Today: Proceedings, 2023 - Elsevier, https://doi.org/10.1016/j.matpr.2023.04.327</t>
  </si>
  <si>
    <t xml:space="preserve">Maroșan, A.; (ULBS); Constantin, C.(UPB); </t>
  </si>
  <si>
    <t>Wireless communication based on Raspberry pi and Codesys for mobile robots using IoT technology</t>
  </si>
  <si>
    <t>C. E. T. Ballenas, A. J. G. Candare and G. V. Magwili, "Assistive Control System of Appliances through Gaze Point Eye Tracker with Integrated Graphical User Interface for Bedridden Person," 2023 3rd International Conference on Innovative Research in Applied Science, Engineering and Technology (IRASET), Mohammedia, Morocco, 2023, pp. 1-7, doi: 10.1109/IRASET57153.2023.10153060.</t>
  </si>
  <si>
    <t>https://www.scopus.com/record/display.uri?eid=2-s2.0-85164101423&amp;origin=resultslist&amp;sort=plf-f&amp;src=s&amp;sid=5406632493dba46a2194aa81db3dc25c&amp;sot=b&amp;sdt=b&amp;s=TITLE-ABS-KEY%28Assistive+Control+System+of+Appliances+through+Gaze+Point+Eye+Tracker+with+Integrated+Graphical+User+Interface+for+Bedridden+Person%29&amp;sl=146&amp;sessionSearchId=5406632493dba46a2194aa81db3dc25c&amp;relpos=0</t>
  </si>
  <si>
    <t>Design of a modular locomotion system for autonomous mobile robots</t>
  </si>
  <si>
    <t>Jianqi Zhang, Xu Yang, Wei Wang, Jinchao Guan, Ling Ding, Vincent C.S. Lee,
Automated guided vehicles and autonomous mobile robots for recognition and tracking in civil engineering,
Automation in Construction,Volume 146,2023,104699,
https://doi.org/10.1016/j.autcon.2022.104699.</t>
  </si>
  <si>
    <t>https://www.scopus.com/record/display.uri?eid=2-s2.0-85146226595&amp;origin=resultslist&amp;sort=plf-f&amp;src=s&amp;sid=dd5e5e96daff7b57aea2413d842d6813&amp;sot=b&amp;sdt=b&amp;s=DOI%2810.1016%2Fj.autcon.2022.104699%29&amp;sl=33&amp;sessionSearchId=dd5e5e96daff7b57aea2413d842d6813&amp;relpos=0</t>
  </si>
  <si>
    <t xml:space="preserve">Maroșan, A.; Chicea A., Bârsan A.; (ULBS); Constantin, C.(UPB); </t>
  </si>
  <si>
    <t>Study Regarding the Autonomous Mobile Platforms Used in Industry</t>
  </si>
  <si>
    <t xml:space="preserve">Y Pan - Autonomous Path Planning for Industrial Omnidirectional AGV Based on Mechatronic Engineering Intelligent Optical Sensors, International Journal of Advanced Computer Science …, 2023 - search.proquest.com, DOI:10.14569/IJACSA.2023.0140582 </t>
  </si>
  <si>
    <t>https://www.scopus.com/record/display.uri?eid=2-s2.0-85161096720&amp;origin=resultslist&amp;sort=plf-f&amp;src=s&amp;sid=dd5e5e96daff7b57aea2413d842d6813&amp;sot=b&amp;sdt=b&amp;s=DOI%2810.14569%2FIJACSA.2023.0140582%29&amp;sl=33&amp;sessionSearchId=dd5e5e96daff7b57aea2413d842d6813&amp;relpos=0</t>
  </si>
  <si>
    <t xml:space="preserve">Maroșan, A.; A Barsan, M Crenganis, C Girjob; (ULBS); Constantin, C.(UPB); </t>
  </si>
  <si>
    <t>Mazin R. Khalil, Laith A. Mohammed, Omar N. Yousif - A novel Ethernet based processing system for remote source harmonic detection, Electronics and Control), 2023 - telkomnika.uad.ac.id, http://doi.org/10.12928/telkomnika.v21i2.24091</t>
  </si>
  <si>
    <t>http://telkomnika.uad.ac.id/index.php/TELKOMNIKA/article/view/24091</t>
  </si>
  <si>
    <t>Pid controller based on a gyroscope sensor for an omnidirectional mobile platform</t>
  </si>
  <si>
    <t>UC Oruçoğlu, E Özer, F Kaçar - VDIBA-Based Current-Mode PID Controller Desi̇gn, Journal of Circuits, Systems and …, 2023 - World Scientific, https://doi.org/10.1142/S0218126623502882</t>
  </si>
  <si>
    <t>https://www.worldscientific.com/doi/abs/10.1142/S0218126623502882</t>
  </si>
  <si>
    <t>A Bârsan, MO Popp, GP Rusu, AI Maroșan (ULBS)</t>
  </si>
  <si>
    <t>A Bârsan, SG Racz, R Breaz, M Crenganiş, Evaluation of the dimensional accuracy through 3D optical scanning in incremental sheet forming, Materials Today: Proceedings</t>
  </si>
  <si>
    <t>Scopus - Document details - Evaluation of the dimensional accuracy through 3D optical scanning in incremental sheet forming | Signed in</t>
  </si>
  <si>
    <t>MO Popp, GP Rusu, V Oleksik, C Biris (ULBS)</t>
  </si>
  <si>
    <t>Influence of vertical step on forces and dimensional accuracy of SPIF parts–a numerical investigation</t>
  </si>
  <si>
    <t>C Rodean (Continental Automive Systems), LD Beju, G Rusu, M Popp (ULBS)</t>
  </si>
  <si>
    <t>The Usage of the Johnson-Cook Constitutive Model in the Finite Element Analysis of the Caulking Process</t>
  </si>
  <si>
    <t>Kabakcioglu, Fuat, and Ertekin Bayraktarkatal. "SOBOL sensitivity analysis and acoustic solid coupling approach to underwater explosion." Ocean Engineering 281 (2023): 114752.</t>
  </si>
  <si>
    <t>https://www.webofscience.com/wos/woscc/full-record/WOS:001000867000001</t>
  </si>
  <si>
    <t>WOS</t>
  </si>
  <si>
    <t>Gabriela-Petruța Rusu, Radu-Eugen Breaz, Mihai-Octavian Popp, Valentin Oleksik, Sever-Gabriel Racz (ULBS)</t>
  </si>
  <si>
    <t>TK Hoang, TT Luyen, DT Nguyen, Enhancing/Improving Forming Limit Curve and Fracture Height Predictions in the Single-Point Incremental Forming of Al1050 Sheet Material, MATERIALS</t>
  </si>
  <si>
    <t>https://www.webofscience.com/wos/woscc/full-record/WOS:001115935100001</t>
  </si>
  <si>
    <t>Mihai Octavian Popp, Gabriela-Petruța Rusu, Ilie Octavian Popp, Claudia Emilia Gîrjob (ULBS)</t>
  </si>
  <si>
    <t>Numerical Study of a Variable Wall Angle Made of DC01 Steel by Incremental Forming Process</t>
  </si>
  <si>
    <t>Mihai Octavian Popp, Gabriela-Petruța Rusu, Sever-Gabriel Racz, Valentin Oleksik (ULBS)</t>
  </si>
  <si>
    <t>Common defects of parts manufactured through single point incremental forming</t>
  </si>
  <si>
    <t>M Szpunar, T Trzepieciński, Prediction Of The Coefficient Of Friction In The Single Point Incremental Forming Of Truncated Cones From A Grade 2 Titanium Sheet</t>
  </si>
  <si>
    <t>Scopus - Document details - Prediction Of The Coefficient Of Friction In The Single Point Incremental Forming Of Truncated Cones From A Grade 2 Titanium Sheet | Signed in</t>
  </si>
  <si>
    <t>WK Shaker, A Klimchik, Towards Single Point Incremental Forming Accuracy: An Approach for the Springback Effect Compensation</t>
  </si>
  <si>
    <t>Scopus - Document details - Towards Single Point Incremental Forming Accuracy: An Approach for the Springback Effect Compensation | Signed in</t>
  </si>
  <si>
    <t>WK Shaker, A Klimchik,Comparative Analysis of Springback Compensation for Various Profiles in Incremental Forming</t>
  </si>
  <si>
    <t>Scopus - Document details - Comparative Analysis of Springback Compensation for Various Profiles in Incremental Forming | Signed in</t>
  </si>
  <si>
    <t>WK Shaker, A Klimchik, Simulation Study for Robot-based Single Point Incremental Forming</t>
  </si>
  <si>
    <t>Scopus - Document details - Simulation Study for Robot-based Single Point Incremental Forming | Signed in</t>
  </si>
  <si>
    <t>Camelia Pinca-Bretotean, Rakesh Bhandari, Chaitanya Sharma, Shri Krishna Dhakad, Preda Cosmin, Arun Kumar Sharma</t>
  </si>
  <si>
    <t>An investigation of thermal behaviour of brake disk pad assembly with Ansys</t>
  </si>
  <si>
    <t>Ashish Saurabh, Abhinav Manoj, Tarun Boni, Tarini Ranjan Pradhan, Ullas Basavaraj, Prabakaran Saravanan, Ashiwani Kumar, Raj Das,Piyush Chandra Verma; Effect of MoS2 Nanoflakes on Mechanical and Tribological Behavior of Composite Friction Material Fabricated by Pressure-Assisted Sintering; Metals and Materials International</t>
  </si>
  <si>
    <t>Citare 1</t>
  </si>
  <si>
    <t>D Usmani, R Mohan, C S Mewada, G Goga; A comprehensive literature review on the recent advances in braking systems technology using FEA; Journal of Physics: Conference Series</t>
  </si>
  <si>
    <t>Citare 2</t>
  </si>
  <si>
    <t>Babu, Praveenkumar, 
Solomon, Darius Gnanaraj; Simulation of Temperature Distribution in a Brake Pad Ceramic Composite Material; Journal of The Institution of Engineers (India): Series D</t>
  </si>
  <si>
    <t>Citare 3</t>
  </si>
  <si>
    <t>Tauviqirrahman Mohammad, Tauviqirrahman M., Muchammad M., Setiazi Tian,  Setiyana, Budi, Jamari J.; Analysis of the effect of ventilation hole angle and material variation on thermal behavior for car disc brakes using the finite element method; Results in Engineering</t>
  </si>
  <si>
    <t>Citare 4</t>
  </si>
  <si>
    <t>Ivan Kernytskyy, Aleksandr Volchenko, Olga Szlachetka, Orest Horbay, Vasyl Skrypnyk, Dmytro Zhuravlev, Vasyl Bolonnyi, Volodymyr Yankiv, Ruslan Humenuyk, Pavlo Polyansky,Aleksandra Leśniewska, Dariusz Walasek, Eugeniusz Koda, Complex Heat Exchange in Friction Steam of Brakes, Energies</t>
  </si>
  <si>
    <t>Citare 5</t>
  </si>
  <si>
    <t>2</t>
  </si>
  <si>
    <t>Camelia Pinca-Bretotean, Andrei Lucian Craciun, Cosmin Preda, Arun Kumar Sharma</t>
  </si>
  <si>
    <t>Physico-mechanical and tribological characteristics of composites used for brake pads</t>
  </si>
  <si>
    <t>M.Sunil Kumar Hemanth,  J.Edwin Raja Dhas; Eco-friendlymaterialsforbrakepad-ANSYS overview; MaterialsToday:Proceedings</t>
  </si>
  <si>
    <t>Coldea Alina, Vlad Dorin (ULBS)</t>
  </si>
  <si>
    <t>Research Regarding the Physical-Mechanical Properties of Knits for Garments - Abrasion Resistance</t>
  </si>
  <si>
    <t xml:space="preserve">Wang, TR. ; Shen, YC. ; Chen, LJ. ; Wang, K .; Niu, L.; Liu, GL. ; He, HJ.; Cong, HL. ; Jiang, GM. ; Zhang, Q,  Large-scale production of the 3D warp knitted terry fabric triboelectric nanogenerators for motion monitoring and energy harvesting,NANO ENERGY,  2023. </t>
  </si>
  <si>
    <t>https-www-webofscience-com.z.e-nformation.ro/wos/woscc/full-record/WOS:000954785900001</t>
  </si>
  <si>
    <t>Godoy-Collaguazo, O.V., Umaquinga-Criollo, A., Naranjo-Toro, M., Flores, R.M., Chulde, K., Abrasion Thermo-transference Fabric Vinyl Resistance and Its Application in Haptics Perception Stimuli, Communications in Computer and Information Science, 2023.</t>
  </si>
  <si>
    <t>https-www-scopus-com.z.e-nformation.ro/record/display.uri?eid=2-s2.0-85148228684&amp;origin=resultslist&amp;sort=plf-f&amp;cite=2-s2.0-85020794147&amp;src=s&amp;imp=t&amp;sid=5d75929d71b735e283be9afeab2794e4&amp;sot=cite&amp;sdt=a&amp;sl=0&amp;relpos=2&amp;citeCnt=0&amp;searchTerm=</t>
  </si>
  <si>
    <r>
      <rPr>
        <rFont val="Arial Narrow"/>
        <color theme="1"/>
        <sz val="10.0"/>
      </rPr>
      <t>Wen, L.; Li, Y.; Zheng, S.; Xu, H.; Liu, Y.; Yuan, Q.; Zhang, Y.; Wu, H.; Shen, Y.; Kong, J.; et al. Study on Deformation Force of Hard Aluminum Alloy Incremental Forming. </t>
    </r>
    <r>
      <rPr>
        <rFont val="Arial Narrow"/>
        <i/>
        <color rgb="FF222222"/>
        <sz val="10.0"/>
      </rPr>
      <t>Coatings</t>
    </r>
    <r>
      <rPr>
        <rFont val="Arial Narrow"/>
        <color rgb="FF222222"/>
        <sz val="10.0"/>
      </rPr>
      <t> 2023, </t>
    </r>
    <r>
      <rPr>
        <rFont val="Arial Narrow"/>
        <i/>
        <color rgb="FF222222"/>
        <sz val="10.0"/>
      </rPr>
      <t>13</t>
    </r>
    <r>
      <rPr>
        <rFont val="Arial Narrow"/>
        <color rgb="FF222222"/>
        <sz val="10.0"/>
      </rPr>
      <t>, 571</t>
    </r>
  </si>
  <si>
    <r>
      <rPr>
        <rFont val="Arial Narrow"/>
        <color theme="1"/>
        <sz val="10.0"/>
      </rPr>
      <t>Hagag, A.M.; Yousef, L.S.; Abdelmaguid, T.F. Multi-Criteria Decision-Making for Machine Selection in Manufacturing and Construction: Recent Trends. </t>
    </r>
    <r>
      <rPr>
        <rFont val="Arial Narrow"/>
        <i/>
        <color rgb="FF222222"/>
        <sz val="10.0"/>
      </rPr>
      <t>Mathematics</t>
    </r>
    <r>
      <rPr>
        <rFont val="Arial Narrow"/>
        <color rgb="FF222222"/>
        <sz val="10.0"/>
      </rPr>
      <t> 2023, </t>
    </r>
    <r>
      <rPr>
        <rFont val="Arial Narrow"/>
        <i/>
        <color rgb="FF222222"/>
        <sz val="10.0"/>
      </rPr>
      <t>11</t>
    </r>
    <r>
      <rPr>
        <rFont val="Arial Narrow"/>
        <color rgb="FF222222"/>
        <sz val="10.0"/>
      </rPr>
      <t>, 631</t>
    </r>
  </si>
  <si>
    <t>Oleksik, V., Pascu, A., Deac, C., Fleacă, R., Bologa, O., Racz, G.</t>
  </si>
  <si>
    <t>Experimental study about the surface quality of the medical implants obtained by incremental forming</t>
  </si>
  <si>
    <t>Makwana, R., Modi, B., &amp; Patel, K., Experimental study on single point incremental hole flanging of aluminium 5052 material. Advances in Materials and Processing Technologies, 1–20.</t>
  </si>
  <si>
    <t>https://doi.org/10.1080/2374068X.2023.2280295, https://www.tandfonline.com/doi/full/10.1080/2374068X.2023.2280295?src=</t>
  </si>
  <si>
    <t>WoS, WOS:001102588800001</t>
  </si>
  <si>
    <t>Kumar N, Upadhyay RK, Sharma CS, Agrawal A. Surface quality enhancement of warm incremental forming process using solid lubricant with varying etching period. Proceedings of the Institution of Mechanical Engineers, Part B: Journal of Engineering Manufacture.</t>
  </si>
  <si>
    <t>https://doi.org/10.1177/09544054231194106, https://journals.sagepub.com/doi/abs/10.1177/09544054231194106?ai=1gvoi&amp;mi=3ricys&amp;af=R</t>
  </si>
  <si>
    <t>WoS, WOS:001061503000001</t>
  </si>
  <si>
    <t>Nagargoje, A., Kankar, P.K., Jain, P.K. et al. Application of artificial intelligence techniques in incremental forming: a state-of-the-art review. J Intell Manuf 34, 985–1002 (2023)</t>
  </si>
  <si>
    <t>https://doi.org/10.1007/s10845-021-01868-y, https://link.springer.com/article/10.1007/s10845-021-01868-y</t>
  </si>
  <si>
    <t>WoS, 
WOS:000714523300001</t>
  </si>
  <si>
    <t>Chalal, H; Racz, SG , Balan, T</t>
  </si>
  <si>
    <t>Springback of thick sheet AHSS subject to bending under tension</t>
  </si>
  <si>
    <t>Abdelrahman Essa, Buddhika Abeyrathna, Bernard Rolfe, Matthias Weiss, Incremental shape rolling of a variable depth profile, Journal of Materials Processing Technology, Volume 316, 2023, 117964</t>
  </si>
  <si>
    <t>https://doi.org/10.1016/j.jmatprotec.2023.117964, https://www.sciencedirect.com/science/article/abs/pii/S0924013623001097</t>
  </si>
  <si>
    <t>WoS, WOS:001054022000001</t>
  </si>
  <si>
    <t>Girjob C, Racz G</t>
  </si>
  <si>
    <t xml:space="preserve">Study of the formability of laminated lightweight metallic materials. </t>
  </si>
  <si>
    <t>G. Hussain, Malik Hassan, Hongyu Wei, J. Buhl, Maohua Xiao, Asif Iqbal, Hamza Qayyum, Asim Ahmed Riaz, Riaz Muhammad, Kostya (Ken) Ostrikov, Advances on Incremental forming of composite materials, Alexandria Engineering Journal, Volume 79, 2023, Pages 308-336</t>
  </si>
  <si>
    <t>https://doi.org/10.1016/j.aej.2023.07.045, https://www.sciencedirect.com/science/article/pii/S1110016823006282</t>
  </si>
  <si>
    <t>WoS, WOS:001062175900001</t>
  </si>
  <si>
    <t>Blala, H., Lang, L., Khan, S. et al. Forming challenges of small and complex fiber metal laminate parts in aerospace applications—a review. Int J Adv Manuf Technol 126, 2509–2543 (2023)</t>
  </si>
  <si>
    <t>https://doi.org/10.1007/s00170-023-11247-x, https://link.springer.com/article/10.1007/s00170-023-11247-x</t>
  </si>
  <si>
    <t>WoS, WOS:001010684000004</t>
  </si>
  <si>
    <t xml:space="preserve">Dobrotă, D.; Racz, S.-G.; Oleksik, M.; Rotaru, I.; Tomescu, M.; Simion, C.M. </t>
  </si>
  <si>
    <t>Smart Cutting Tools Used in the Processing of Aluminum Alloys</t>
  </si>
  <si>
    <t>Pimenov, D.Y., Kiran, M., Khanna, N. et al. Review of improvement of machinability and surface integrity in machining on aluminum alloys. Int J Adv Manuf Technol 129, 4743–4779 (2023)</t>
  </si>
  <si>
    <t> https://doi.org/10.1007/s00170-023-12630-4, https://link.springer.com/article/10.1007/s00170-023-12630-4</t>
  </si>
  <si>
    <t>WoS, WOS:001104262100002</t>
  </si>
  <si>
    <t>Jaldo Serrano, E.; López-Sánchez, J.; García-Galván, F.; Serrano, A.; Rodríguez de la Fuente, Ó.; Barranco, V.; Galván, J.C.; Carmona, N. Evaluation of Low-Toxic Hybrid Sol-Gel Coatings with Organic pH-Sensitive Inhibitors for Corrosion Protection of AA2024 Aluminium Alloy. Gels 2023, 9, 294</t>
  </si>
  <si>
    <t>https://doi.org/10.3390/gels9040294, https://www.mdpi.com/2310-2861/9/4/294</t>
  </si>
  <si>
    <t>WoS, WOS:000984049200001</t>
  </si>
  <si>
    <t>Gârleanu, D.; Borda, C.; Gârleanu, G.; Modrogan, C.; Dumitraș, M.; Dobrotă, D.; Racz, S.-G.; Dascălu, L.C.</t>
  </si>
  <si>
    <t>Increasing the Durability of Trimming Dies Used to Clean Anodes in the Aluminum Industry</t>
  </si>
  <si>
    <t>Liu, S., Wei, Y., Li, Z. et al. Research on Repairing Edge of Trimming Die with Arc Welding Robot. Trans Indian Inst Met 76, 1573–1581 (2023)</t>
  </si>
  <si>
    <t>https://doi.org/10.1007/s12666-022-02832-x, https://link.springer.com/article/10.1007/s12666-022-02832-x</t>
  </si>
  <si>
    <t>WoS, WOS:000919932000002</t>
  </si>
  <si>
    <t>WoS, WOS:000990305700001</t>
  </si>
  <si>
    <t>Mihai Crenganiș, Alexandru Bârsan, Sever-Gabriel Racz, Monica Daniela Iordache</t>
  </si>
  <si>
    <t>Single point incremental forming using KUKA KR6-2 industrial robot-a dynamic approach</t>
  </si>
  <si>
    <t>DING Mingna, LIU Xianli, YUE Caixu, FAN Mengchao, GU Hao. Design, Manufacturing, Management and Control Technology of Cutting Tools for Intelligent Manufacturing Process[J]. Journal of Mechanical Engineering, 2023, 59(19): 429-459</t>
  </si>
  <si>
    <t>https://doi.org/10.3901/JME.2023.19.429, https://qikan.cmes.org/jxgcxb/EN/10.3901/JME.2023.19.429</t>
  </si>
  <si>
    <t>Vasile R., Racz S.-G., Bologa O.</t>
  </si>
  <si>
    <t>Experimental and numerical investigations of the steel sheets formability with hydroforming</t>
  </si>
  <si>
    <t>J. Fakrudeen Ali Ahamed, Pandivelan Chinnaiyan, "Parametric Optimization in Hydroforming of Nimonic 90 Sheet using Cuckoo Search and Particle Swarm Optimization," International Journal of Engineering Trends and Technology, vol. 71, no. 11, pp. 148-158, 2023.</t>
  </si>
  <si>
    <t>https://doi.org/10.14445/22315381/IJETT-V71I11P216, https://ijettjournal.org/archive/ijett-v71i11p216</t>
  </si>
  <si>
    <t>Morariu F., Morariu T., Racz S.-G.</t>
  </si>
  <si>
    <t>Khurana, Saniya. “The Mobile Robot Obstacle Avoidance and Vision-Based Navigation Employing a Single Camera and Ultrasonic Range Finders.” 2023 3rd International Conference on Smart Generation Computing, Communication and Networking (SMART GENCON) (2023): 1-6</t>
  </si>
  <si>
    <t>https://doi.org/10.1109/SMARTGENCON60755.2023.10441958, https://www.semanticscholar.org/paper/The-Mobile-Robot-Obstacle-Avoidance-and-Navigation-Khurana/9f3e968d1abdf9945041b081115840b0f0cfb80f</t>
  </si>
  <si>
    <t>Mihai Popp, Gabriela Rusu, Sever-Gabriel Racz, Valentin Oleksik</t>
  </si>
  <si>
    <t>Szpunar, M., &amp; Trzepieciński, T. (2023). Prediction of the coefficient of friction in the single point incremental forming of truncated cones from a Grade 2 titanium sheet. Tribologia-Finnish Journal of Tribology, 40(1− 2), 4-17.</t>
  </si>
  <si>
    <t>https://doi.org/10.30678/fjt.127844</t>
  </si>
  <si>
    <t>Bârsan A.</t>
  </si>
  <si>
    <t>Position Control of a Mobile Robot through PID Controller</t>
  </si>
  <si>
    <t>Ayyıldız, M., &amp; Tilki, U. (2023). Adaptive sliding mode based fault tolerant control of wheeled mobile robots. Automatika, 64(3), 467-483.</t>
  </si>
  <si>
    <t>https://www.webofscience.com/wos/woscc/full-record/WOS:000953327700001</t>
  </si>
  <si>
    <t>Deshmukh, R.A., Hasamnis, M.A. An improvement to the conventional PD scheme for the speed control of a two-wheeled differential steering mobile robot. Int. j. inf. tecnol. (2023). https://doi.org/10.1007/s41870-023-01337-0</t>
  </si>
  <si>
    <t>https://www.scopus.com/record/display.uri?eid=2-s2.0-85162940266&amp;origin=resultslist&amp;sort=plf-f&amp;src=s&amp;sid=bdf5a9af959b895e0e2185e29973cbbc&amp;sot=b&amp;sdt=b&amp;s=TITLE-ABS-KEY%28An+improvement+to+the+conventional+PD+scheme+for+the+speed+control+of+a+two-wheeled+differential+steering+mobile+robot%29&amp;sl=133&amp;sessionSearchId=bdf5a9af959b895e0e2185e29973cbbc&amp;relpos=0</t>
  </si>
  <si>
    <t>L. Zhang and E. Chuntao, "Application of PID parameter tuning for robots based on SIMULINK," 5th International Conference on Artificial Intelligence and Advanced Manufacturing (AIAM 2023), Brussels, Belgium, 2023, pp. 117-122, doi: 10.1049/icp.2023.2926.</t>
  </si>
  <si>
    <t>https://www.scopus.com/record/display.uri?eid=2-s2.0-85188426857&amp;origin=resultslist&amp;sort=plf-f&amp;src=s&amp;sid=b052edbb6291502d60c8282422970c42&amp;sot=b&amp;sdt=b&amp;s=TITLE-ABS-KEY%28Application+of+PID+parameter+tuning+for+robots+based+on+SIMULINK%29&amp;sl=23&amp;sessionSearchId=b052edbb6291502d60c8282422970c42&amp;relpos=1</t>
  </si>
  <si>
    <t xml:space="preserve">Racz, S. G., Crenganiș, M., Breaz, R. E., Bârsan, A., Gîrjob, C.E., Biriș, C. M., Tera, M. </t>
  </si>
  <si>
    <t>Integrating Trajectory Planning with Kinematic Analysis and Joint TorquesEstimation for an Industrial Robot Used in Incremental Forming Operations.</t>
  </si>
  <si>
    <t>Wang, J.-C., Liu, Y., Min, J.-Y., Springback control of laser-assisted double-sided robotic roller forming based on response surface method (2023) Suxing Gongcheng Xuebao/Journal of Plasticity Engineering
30(6), pp. 222-230</t>
  </si>
  <si>
    <t>https://www.scopus.com/record/display.uri?eid=2-s2.0-85169918978&amp;origin=resultslist&amp;sort=plf-f&amp;cite=2-s2.0-85133593066&amp;src=s&amp;imp=t&amp;sid=a6e442f7520e8e1aa546fc877408d2b3&amp;sot=cite&amp;sdt=a&amp;sl=0&amp;relpos=0&amp;citeCnt=0&amp;searchTerm=</t>
  </si>
  <si>
    <t>R.S. Krishna, Kurra Suresh, Amrita Priyadarshini &amp; Swadesh Kumar Singh (2023) A retrospective review on recent developments in the micro-incremental sheet forming process, Advances in Materials and Processing Technologies, DOI: 10.1080/2374068X.2023.2201752</t>
  </si>
  <si>
    <t>A. Klimchik, "Comparison of compliance error compensation approaches for robotic manipulators with double encoders," 2023 IEEE International Conference on Robotics and Biomimetics (ROBIO), Koh Samui, Thailand, 2023, pp. 1-6, doi: 10.1109/ROBIO58561.2023.10354557.</t>
  </si>
  <si>
    <t>https://www.scopus.com/record/display.uri?eid=2-s2.0-85182585449&amp;origin=resultslist&amp;sort=plf-f&amp;src=s&amp;citedAuthorId=57220006602&amp;imp=t&amp;sid=7e59205e32f157a296d405cfa9a58aba&amp;sot=cite&amp;sdt=cite&amp;cluster=scopubyr%2c%222023%22%2ct&amp;sl=0&amp;relpos=8&amp;citeCnt=0&amp;searchTerm=</t>
  </si>
  <si>
    <t>Alexandru Bârsan ; Sever-Gabriel Racz ; Radu Breaz</t>
  </si>
  <si>
    <t>Attar, H., Abu-Jassar, A. T., Lyashenko, V., Al-qerem, A., Sotnik, S., Alharbi, N., &amp; Solyman, A. A. (2023). Proposed synchronous electric motor simulation with built-in permanent magnets for robotic systems. SN Applied Sciences, 5(6), 160.</t>
  </si>
  <si>
    <t>Crenganiș, M., Bârsan, A., Racz, S. G., Iordache, M. D. (UPIT)</t>
  </si>
  <si>
    <t>Single Point Incremental Forming Using Kuka KR6-2 Industrial Robot-a Dynamic Approach</t>
  </si>
  <si>
    <t>Hussain, G., Hassan, M., Wei, H., Buhl, J., Xiao, M., Iqbal, A., ... &amp; Ostrikov, K. K. (2023). Advances on Incremental forming of composite materials. Alexandria Engineering Journal, 79, 308-336.</t>
  </si>
  <si>
    <t>https://www.sciencedirect.com/science/article/pii/S1110016823006282#bi005</t>
  </si>
  <si>
    <t>Racz Sever-Gabriel, Mihai Crenganiș, Radu-Eugen Breaz, Adrian Maroșan, Alexandru Bârsan, Claudia-Emilia Gîrjob, Cristina-Maria Biriș,  Melania Tera (ULBS)</t>
  </si>
  <si>
    <t>Morariu, F., Morariu, T., &amp; Racz, S. G. (2023). Mobile robot vision navigation strategy based on Pixy2 camera. Materials Today: Proceedings.</t>
  </si>
  <si>
    <t>https://www.scopus.com/record/display.uri?eid=2-s2.0-85156272445&amp;origin=resultslist&amp;sort=plf-f&amp;src=s&amp;citedAuthorId=57220006602&amp;imp=t&amp;sid=7e59205e32f157a296d405cfa9a58aba&amp;sot=cite&amp;sdt=cite&amp;cluster=scopubyr%2c%222023%22%2ct&amp;sl=0&amp;relpos=13&amp;citeCnt=1&amp;searchTerm=</t>
  </si>
  <si>
    <t>Łopatka MJ, Cieślik K, Krogul P, Muszyński T, Przybysz M, Rubiec A, Spadło K. Research on Terrain Mobility of UGV with Hydrostatic Wheel Drive and Slip Control Systems. Energies. 2023; 16(19):6938. https://doi.org/10.3390/en16196938</t>
  </si>
  <si>
    <t>A Bârsan, SG Racz, R Breaz, M Crenganiș</t>
  </si>
  <si>
    <t>Cohodar Husic, M., Ficko, M., Begic-Hajdarevic, D., Persak, T., Cekic, A., &amp; Klancnik, S. (2023, May). An Approach to Dynamic Modelling of Industrial Robots Based on 3D Cad Technique. In International Conference “New Technologies, Development and Applications” (pp. 450-458). Cham: Springer Nature Switzerland.</t>
  </si>
  <si>
    <t>https://www.scopus.com/record/display.uri?eid=2-s2.0-85161231765&amp;origin=resultslist&amp;sort=plf-f&amp;src=s&amp;citedAuthorId=57220006602&amp;imp=t&amp;sid=088d8f8d3339468ad65843df26c90be5&amp;sot=cite&amp;sdt=cite&amp;cluster=scopubyr%2c%222023%22%2ct&amp;sl=0&amp;relpos=2&amp;citeCnt=0&amp;searchTerm=</t>
  </si>
  <si>
    <t>Marosan, A. I., Constantin, G., Barsan, A., Crenganis, M., Girjob, C.</t>
  </si>
  <si>
    <t>Khalil, M. R., Mohammed, L. A., &amp; Yousif, O. N. (2023). A novel Ethernet based processing system for remote source harmonic detection. TELKOMNIKA (Telecommunication Computing Electronics and Control), 21(2), 400-408.</t>
  </si>
  <si>
    <t>https://www.scopus.com/record/display.uri?eid=2-s2.0-85147760605&amp;origin=resultslist&amp;sort=plf-f&amp;src=s&amp;citedAuthorId=57220006602&amp;imp=t&amp;sid=088d8f8d3339468ad65843df26c90be5&amp;sot=cite&amp;sdt=cite&amp;cluster=scopubyr%2c%222023%22%2ct&amp;sl=0&amp;relpos=0&amp;citeCnt=0&amp;searchTerm=</t>
  </si>
  <si>
    <t>A Bârsan, MO Popp, GP Rusu, AI Maroșan</t>
  </si>
  <si>
    <t>Shaker, W. K., &amp; Klimchick, A. (2023, May). Simulation Study for Robot-based Single Point Incremental Forming. In 2023 International Conference on Industrial Engineering, Applications and Manufacturing (ICIEAM) (pp. 730-736). IEEE.</t>
  </si>
  <si>
    <t>https://www.scopus.com/record/display.uri?eid=2-s2.0-85162847331&amp;origin=resultslist&amp;sort=plf-f&amp;cite=2-s2.0-85099959490&amp;src=s&amp;imp=t&amp;sid=44e6ee5a7eb45576728e1255a16941c7&amp;sot=cite&amp;sdt=a&amp;sl=0&amp;relpos=0&amp;citeCnt=0&amp;searchTerm=</t>
  </si>
  <si>
    <t>https://www.scopus.com/record/display.uri?eid=2-s2.0-85174388928&amp;origin=resultslist&amp;sort=plf-f&amp;src=s&amp;sid=63b72e0fa6880f08649601bb3b5b11ed&amp;sot=b&amp;sdt=b&amp;s=TITLE-ABS-KEY%28Towards+Single+Point+Incremental+Forming+Accuracy%3A+An+Approach+for+the+Springback+Effect+Compensation%29&amp;sl=116&amp;sessionSearchId=63b72e0fa6880f08649601bb3b5b11ed&amp;relpos=0</t>
  </si>
  <si>
    <t>https://www.scopus.com/record/display.uri?eid=2-s2.0-85174967772&amp;origin=resultslist&amp;sort=plf-f&amp;src=s&amp;sid=63b72e0fa6880f08649601bb3b5b11ed&amp;sot=b&amp;sdt=b&amp;s=TITLE-ABS-KEY%28Comparative+Analysis+of+Springback+Compensation+for+Various+Profiles+in+Incremental+Forming%29&amp;sl=116&amp;sessionSearchId=63b72e0fa6880f08649601bb3b5b11ed&amp;relpos=0</t>
  </si>
  <si>
    <t>George Constantin, Iosif-Adrian Maroșan, Mihai Crenganiș, Corina Botez, Claudia-Emilia Gîrjob, Cristina-Maria Biriș, Anca-Lucia Chicea, Alexandru Bârsan</t>
  </si>
  <si>
    <t>Gou, X., Tang, Z., Gao, Y., Chen, K., &amp; Wang, H. (2023). Current-Sensing Topology with Multi Resistors in Parallel and Its Protection Circuit. Applied Sciences, 13(14), 8382.</t>
  </si>
  <si>
    <t>https://www.webofscience.com/wos/woscc/full-record/WOS:001036820200001</t>
  </si>
  <si>
    <t>Pookkuttath, S., Palanisamy, P. A., &amp; Elara, M. R. (2023). AI-Enabled Condition Monitoring Framework for Outdoor Mobile Robots Using 3D LiDAR Sensor. Mathematics, 11(16), 3594.</t>
  </si>
  <si>
    <t>Pookkuttath, S.; Abdulkader, R.E.; Elara, M.R.; Veerajagadheswar, P. AI-Enabled Vibrotactile Feedback-Based Condition Monitoring Framework for Outdoor Mobile Robots. Mathematics 2023, 11, 3804. https://doi.org/10.3390/math11183804</t>
  </si>
  <si>
    <t>https://www.webofscience.com/wos/woscc/full-record/WOS:001071742900001</t>
  </si>
  <si>
    <t>Bârsan A, Racz S-G, Breaz R, Crenganiş M</t>
  </si>
  <si>
    <t>Evaluation of the dimensional accuracy through 3d optical scanning in incremental sheet forming.</t>
  </si>
  <si>
    <t>Bharti, S., Karvaje, K.S., Krishnaswamy, H. et al. Investigation of feature-based and space-filling tool path strategies for formability in incremental sheet metal forming. Int J Mater Form 16, 60 (2023). https://doi.org/10.1007/s12289-023-01781-0</t>
  </si>
  <si>
    <t>https://www.scopus.com/record/display.uri?eid=2-s2.0-85171381033&amp;origin=resultslist&amp;sort=plf-f</t>
  </si>
  <si>
    <t xml:space="preserve">Bibek Jyoti Dutta, Pankaj Chandna . Process Variables Optimization for Multiple Responses in SPIF of Titanium using Taguchi-GRA, IOP Publishing, 2023, 10.1088/2631-8695/ad0c8b </t>
  </si>
  <si>
    <t>Iosif Adrian Marosan, George Constantin, Anca Chicea, Alexandru Bârsan</t>
  </si>
  <si>
    <t>Pan, Y. (2023). Autonomous path planning for industrial omnidirectional AGV based on mechatronic engineering intelligent optical sensors. International Journal of Advanced Computer Science and Applications, 14(5) doi:https://doi.org/10.14569/IJACSA.2023.0140582</t>
  </si>
  <si>
    <t>https://www.scopus.com/record/display.uri?eid=2-s2.0-85161096720&amp;origin=resultslist&amp;sort=plf-f&amp;src=s&amp;sid=b56c310fadcd06d50ba08b1ab850af96&amp;sot=b&amp;sdt=b&amp;s=TITLE-ABS-KEY%28Autonomous+Path+Planning+for+Industrial+Omnidirectional+AGV+Based+on+Mechatronic+Engineering+Intelligent+Optical+Sensors%29&amp;sl=83&amp;sessionSearchId=b56c310fadcd06d50ba08b1ab850af96&amp;relpos=0</t>
  </si>
  <si>
    <t>Vlad, Dorin (ULBS), Oleksik, Mihaela (ULBS)</t>
  </si>
  <si>
    <t>RESEARCH REGARDING UNIAXIAL TENSILE STRENGTH OF NYLON WOVEN FABRICS, COATED AND UNCOATED WITH SILICONE</t>
  </si>
  <si>
    <t>Paterson, M; Moore, B; (...); Nessler, JA - Insulation and material characteristics of smoothskin neoprene vs silicone-coated neoprene in surf wetsuits, Sports Engineering, vol.26, DOI10.1007/s12283-023-00417-5</t>
  </si>
  <si>
    <t>https://link.springer.com/article/10.1007/s12283-023-00417-5</t>
  </si>
  <si>
    <t>https://www.webofscience.com/wos/woscc/full-record/WOS:000980508000001</t>
  </si>
  <si>
    <t>Wang, TR; Shen, YC; (...); Chen, CY, Large-scale production of the 3D warp knitted terry fabric triboelectric nanogenerators for motion monitoring and energy harvesting, 
NANO ENERGY 109, DOI10.1016/j.nanoen.2023.108309</t>
  </si>
  <si>
    <t>https://www.sciencedirect.com/science/article/abs/pii/S2211285523001465?via%3Dihub</t>
  </si>
  <si>
    <t>https://www.webofscience.com/wos/woscc/full-record/WOS:000954785900001</t>
  </si>
  <si>
    <t>Vlad, Dorin (ULBS), Cioca, Lucian-Ionel (ULBS)</t>
  </si>
  <si>
    <t xml:space="preserve">Research Regarding the Influence of Raw Material and Knitted Fabric Geometry on the Tensile Strength and Breaking Elongation
</t>
  </si>
  <si>
    <t>Ahmed, U; Hussain, T and Ahmad, HS - Novel knitted fabric structures for shielding against electromagnetic and thermal radiation from laptops and mobile phones, 
INTERNATIONAL JOURNAL OF THERMAL SCIENCES 194, DOI10.1016/j.ijthermalsci.2023.108594</t>
  </si>
  <si>
    <t>https://www.sciencedirect.com/science/article/abs/pii/S1290072923004556?via%3Dihub</t>
  </si>
  <si>
    <t>https://www.webofscience.com/wos/woscc/full-record/WOS:001062804400001</t>
  </si>
  <si>
    <t>Research Regarding the Influence of Raw Material and Woven Fabric Geometry on the Air Permeability of Mattress</t>
  </si>
  <si>
    <t>Zou, L. , Sun, Y. , Dou, T. - Low-temperature treated polypyrrole coated cotton fabrics for efficient electromagnetic interference shielding, Cellulose</t>
  </si>
  <si>
    <t>https://link.springer.com/article/10.1007/s10570-023-05052-8</t>
  </si>
  <si>
    <t>https://www.webofscience.com/wos/woscc/full-record/WOS:000914936200001?AlertId=9f961575-b1a7-4d8d-80ad-8b6c8857f4f7&amp;SID=EUW1ED0EEEp6kxOPqLVZxU8F8KNuf, SCOPUS</t>
  </si>
  <si>
    <t>Coldea, A.M.(ULBS), Vlad, D.(ULBS)</t>
  </si>
  <si>
    <t xml:space="preserve">Abrasion Thermo-transference Fabric Vinyl Resistance and Its Application in Haptics Perception Stimuli
Conference paper
First Online: 28 January 2023
pp 106–120, Omar V. Godoy-Collaguazo, Ana Umaquinga-Criollo, Marco Naranjo-Toro, Ronny M. Flores &amp; Katherin Chulde </t>
  </si>
  <si>
    <t>https://link.springer.com/chapter/10.1007/978-3-031-24978-5_10</t>
  </si>
  <si>
    <t>Scopus - Document details - Abrasion Thermo-transference Fabric Vinyl Resistance and Its Application in Haptics Perception Stimuli | Signed in</t>
  </si>
  <si>
    <t>Fahad Usman, Kamarul Hawari Ghazali, Razali Muda, Nasrul Hadi Johari, John Ojur Dennis, Nissren Tamam, Abdelmoneim Sulieman, Yuanfa Ji,
Magnetoresistance and magneto-plasmonic sensors for the detection of cancer biomarkers: A bibliometric analysis and recent advances,
Sensors and Actuators Reports,
2023,,
https://doi.org/10.1016/j.snr.2023.100172.</t>
  </si>
  <si>
    <t>https://www.scopus.com/record/display.uri?eid=2-s2.0-85170078179&amp;origin=resultslist&amp;sort=plf-f&amp;cite=2-s2.0-85149058514&amp;src=s&amp;nlo=&amp;nlr=&amp;nls=&amp;imp=t&amp;sid=c6c81d84a47df787e4dfdb00cb86b223&amp;sot=cite&amp;sdt=cl&amp;cluster=scopubyr%2c%222023%22%2ct&amp;sl=0&amp;relpos=0&amp;citeCnt=0&amp;searchTerm=</t>
  </si>
  <si>
    <t>Nguyen VP, Dhyan SB, Mai V, Han BS, Chow WT. Bioinspiration and Biomimetic Art in Robotic Grippers. Micromachines. 2023; 14(9):1772. https://doi.org/10.3390/mi14091772</t>
  </si>
  <si>
    <t>https://www.scopus.com/record/display.uri?eid=2-s2.0-85172735506&amp;origin=resultslist&amp;sort=plf-f&amp;cite=2-s2.0-85149058514&amp;src=s&amp;nlo=&amp;nlr=&amp;nls=&amp;imp=t&amp;sid=c6c81d84a47df787e4dfdb00cb86b223&amp;sot=cite&amp;sdt=cl&amp;cluster=scopubyr%2c%222023%22%2ct&amp;sl=0&amp;relpos=2&amp;citeCnt=8&amp;searchTerm=</t>
  </si>
  <si>
    <t>Bo Y, Wang H, Niu H, He X, Xue Q, Li Z, Yang H and Niu F (2024) Advancements in materials, manufacturing, propulsion and localization: propelling soft robotics for medical applications. Front. Bioeng doi: 10.3389/fbioe.2023.1327441</t>
  </si>
  <si>
    <t>https://www.scopus.com/record/display.uri?eid=2-s2.0-85182647125&amp;origin=resultslist&amp;sort=plf-f&amp;cite=2-s2.0-85149058514&amp;src=s&amp;nlo=&amp;nlr=&amp;nls=&amp;imp=t&amp;sid=c6c81d84a47df787e4dfdb00cb86b223&amp;sot=cite&amp;sdt=cl&amp;cluster=scopubyr%2c%222023%22%2ct&amp;sl=0&amp;relpos=4&amp;citeCnt=0&amp;searchTerm=</t>
  </si>
  <si>
    <t>M. A. Cáceres-Suazo and A. M. Reyes-Duke, "Design and Development of Soft Actuator for Handling Chemical Laboratory Instrumentation and IoT Monitoring," 2023 IEEE Central America and Panama Student Conference (CONESCAPAN), Guatemala, Guatemala, 2023, pp. 139-144, doi: 10.1109/CONESCAPAN60431.2023.10328432.</t>
  </si>
  <si>
    <t>https://www.scopus.com/record/display.uri?eid=2-s2.0-85180004072&amp;origin=resultslist&amp;sort=plf-f&amp;cite=2-s2.0-85149058514&amp;src=s&amp;nlo=&amp;nlr=&amp;nls=&amp;imp=t&amp;sid=c6c81d84a47df787e4dfdb00cb86b223&amp;sot=cite&amp;sdt=cl&amp;cluster=scopubyr%2c%222023%22%2ct&amp;sl=0&amp;relpos=5&amp;citeCnt=0&amp;searchTerm=</t>
  </si>
  <si>
    <t>Zakaryan, N., Harutyunyan, M., Sargsyan, Y. (2023). Conceptual Mechanical Design and Control of Novel Human Spine Inspired Multi-articular Robotic Manipulators. In: Okada, M. (eds) Advances in Mechanism and Machine Science. IFToMM WC 2023. Mechanisms and Machine Science, vol 148. Springer, Cham. https://doi.org/10.1007/978-3-031-45770-8_45</t>
  </si>
  <si>
    <t>https://www.scopus.com/record/display.uri?eid=2-s2.0-85177608285&amp;origin=resultslist&amp;sort=plf-f&amp;cite=2-s2.0-85149058514&amp;src=s&amp;nlo=&amp;nlr=&amp;nls=&amp;imp=t&amp;sid=c6c81d84a47df787e4dfdb00cb86b223&amp;sot=cite&amp;sdt=cl&amp;cluster=scopubyr%2c%222023%22%2ct&amp;sl=0&amp;relpos=6&amp;citeCnt=0&amp;searchTerm=</t>
  </si>
  <si>
    <t>Yeonwook Roh, Youngseok Lee, Daseul Lim, Dohyeon Gong, Suhyeon Hwang, Minji Kang, Dohyung Kim, Junggwang Cho, Gibeom Kwon, Daeshik Kang, Seungyong Han, Seung Hwan Ko, Nature's Blueprint in Bioinspired Materials for Robotics, Advanced Functional Materials, https://doi.org/10.1002/adfm.202306079</t>
  </si>
  <si>
    <t>https://www.scopus.com/record/display.uri?eid=2-s2.0-85168621287&amp;origin=resultslist&amp;sort=plf-f&amp;cite=2-s2.0-85149058514&amp;src=s&amp;nlo=&amp;nlr=&amp;nls=&amp;imp=t&amp;sid=c6c81d84a47df787e4dfdb00cb86b223&amp;sot=cite&amp;sdt=cl&amp;cluster=scopubyr%2c%222023%22%2ct&amp;sl=0&amp;relpos=7&amp;citeCnt=3&amp;searchTerm=</t>
  </si>
  <si>
    <t>PETRAȘCU, O.L., MANOLE, R., PASCU, A.M., (toți ULBS)</t>
  </si>
  <si>
    <t>The behavior of composite materials based on polyurethan resin subjected to uniaxial tensile test, Materials Today: Proceedings, Volume 62, Page 2673-2678, Part 5, DOI10.1016/j.matpr.2022.05.308, WOS:000819228900005</t>
  </si>
  <si>
    <r>
      <rPr>
        <rFont val="Arial Narrow"/>
        <color theme="1"/>
        <sz val="10.0"/>
      </rPr>
      <t xml:space="preserve">Szymczyk Emil, Recko Maciej, Dzierzek Kazimierz, Sapiolko Karol, </t>
    </r>
    <r>
      <rPr>
        <rFont val="Arial Narrow"/>
        <i/>
        <color theme="1"/>
        <sz val="10.0"/>
      </rPr>
      <t>An Innovative Approach to Fabrication With Photo-Cured Resins by Shell-Printed-Core-Casting</t>
    </r>
    <r>
      <rPr>
        <rFont val="Arial Narrow"/>
        <color theme="1"/>
        <sz val="10.0"/>
      </rPr>
      <t>, ACTA MECHANICA ET AUTOMATICA, ISSN 1898-4088, eISSN 2300-5319</t>
    </r>
  </si>
  <si>
    <t>https://sciendo.com/article/10.2478/ama-2023-0056?tab=references</t>
  </si>
  <si>
    <t>PETRAȘCU, O.L., PASCU, A.M., (toți ULBS)</t>
  </si>
  <si>
    <t>Comparative study of polyamide 6 (PA6) and polyamide 6 reinforced with 30% of glass fiber (PA6GF30), Materials Today: Proceedings, Volume 93, Pages 625-629, 2023, ISSN 2214-7853, DOI 10.1016/j.matpr.2023.04.112</t>
  </si>
  <si>
    <t>Gültürk, Cansu; Berber, Hale; Effects of mechanical recycling on the properties of glass fiber-reinforced polyamide 66 composites in automotive components, E-Polymers, Volume 23, Issue 11, January 2023, Article number 20230129, ISSN 1618-7229, DOI 10.1515/epoly-2023-0129</t>
  </si>
  <si>
    <t>https://15109l4d0-y-https-www-scopus-com.z.e-nformation.ro/record/display.uri?eid=2-s2.0-85175837561&amp;origin=resultslist&amp;sort=plf-f&amp;src=s&amp;sid=3a1aef75bb402a4e35e6b227c02a42ae&amp;sot=b&amp;sdt=b&amp;s=TITLE-ABS-KEY%28Effects+of+mechanical+recycling+on+the+properties+of+glass+fiber-reinforced+polyamide+66+composites+in+automotive+components%29&amp;sl=104&amp;sessionSearchId=3a1aef75bb402a4e35e6b227c02a42ae&amp;relpos=0</t>
  </si>
  <si>
    <r>
      <rPr>
        <rFont val="Arial Narrow"/>
        <color theme="1"/>
        <sz val="10.0"/>
      </rPr>
      <t xml:space="preserve">Makwana Rudreshkumar, Modi Bharat, Patel Kaushik, </t>
    </r>
    <r>
      <rPr>
        <rFont val="Arial Narrow"/>
        <i/>
        <color theme="1"/>
        <sz val="10.0"/>
      </rPr>
      <t>Experimental study on single point incremental hole flanging of aluminium 5052 material</t>
    </r>
    <r>
      <rPr>
        <rFont val="Arial Narrow"/>
        <color theme="1"/>
        <sz val="10.0"/>
      </rPr>
      <t>, ADVANCES IN MATERIALS AND PROCESSING TECHNOLOGIES, ISSN 2374-068X, eISSN 2374-0698</t>
    </r>
  </si>
  <si>
    <t>https://www.tandfonline.com/doi/pdf/10.1080/2374068X.2023.2280295?casa_token=NKEQwU6pZn4AAAAA:vCgVbPl49I_Fv-ufQ-kIxnG7hr4QxmOWWOg-QTkAPRYmEprKV2NKOCJAWhnGYlWbF9apk5OrAjnM</t>
  </si>
  <si>
    <r>
      <rPr>
        <rFont val="Arial Narrow"/>
        <color theme="1"/>
        <sz val="10.0"/>
      </rPr>
      <t xml:space="preserve">Kumar Narinder, Upadhyay Ravi Kant, Sharma Chander Shekhar, Agrawal Anupam, </t>
    </r>
    <r>
      <rPr>
        <rFont val="Arial Narrow"/>
        <i/>
        <color theme="1"/>
        <sz val="10.0"/>
      </rPr>
      <t>Surface quality enhancement of warm incremental forming process using solid lubricant with varying etching period</t>
    </r>
    <r>
      <rPr>
        <rFont val="Arial Narrow"/>
        <color theme="1"/>
        <sz val="10.0"/>
      </rPr>
      <t>, PROCEEDINGS OF THE INSTITUTION OF MECHANICAL ENGINEERS PART B-JOURNAL OF ENGINEERING MANUFACTURE, ISSN 0954-4054, eISSN 2041-2975</t>
    </r>
  </si>
  <si>
    <t>https://journals.sagepub.com/doi/abs/10.1177/09544054231194106?ai=1gvoi&amp;mi=3ricys&amp;af=R</t>
  </si>
  <si>
    <t>OLEKSIK, V., PASCU, A., GAVRUS, A. (INSA DE RENNES), OLEKSIK, M.</t>
  </si>
  <si>
    <t>Experimental studies regarding the single point incremental forming process, Academic Journal of Manufacturing EngineeringVolume 8, Issue 2, Pages 51-56, 2010, Academic Journal of Manufacturing Engineering, Volume 8, Issue 2, Pages 51-56, 2010, iSSN 1583-7904</t>
  </si>
  <si>
    <r>
      <rPr>
        <rFont val="Arial Narrow"/>
        <color theme="1"/>
        <sz val="10.0"/>
      </rPr>
      <t>Rathee Lokesh, Rathee Rakesh, Kumar Ajay</t>
    </r>
    <r>
      <rPr>
        <rFont val="Arial Narrow"/>
        <i/>
        <color theme="1"/>
        <sz val="10.0"/>
      </rPr>
      <t>, Experimental study of impact parameters on the deforming loads in incremental forming,</t>
    </r>
    <r>
      <rPr>
        <rFont val="Arial Narrow"/>
        <color theme="1"/>
        <sz val="10.0"/>
      </rPr>
      <t xml:space="preserve"> Modeling, Characterization, and Processing of Smart Materials, Pages 140-150, 7 August 2023, Book, ISBN 978-166849226-0, 978-166849224-6, DOI 10.4018/978-1-6684-9224-6.ch006</t>
    </r>
  </si>
  <si>
    <t>https://www.scopus.com/record/display.uri?eid=2-s2.0-85171490530&amp;origin=resultslist&amp;sort=plf-f&amp;src=s&amp;nlo=&amp;nlr=&amp;nls=&amp;citedAuthorId=57197396119&amp;imp=t&amp;sid=26591c611099eb29040fab4394dbdc74&amp;sot=cite&amp;sdt=cite&amp;cluster=scopubyr%2c%222023%22%2ct&amp;sl=0&amp;relpos=6&amp;citeCnt=0&amp;searchTerm=</t>
  </si>
  <si>
    <r>
      <rPr>
        <rFont val="Arial Narrow"/>
        <color theme="1"/>
        <sz val="10.0"/>
      </rPr>
      <t xml:space="preserve">Kumar, Rupesh; Kumar, Vikas; Kumar, Ajay; </t>
    </r>
    <r>
      <rPr>
        <rFont val="Arial Narrow"/>
        <i/>
        <color theme="1"/>
        <sz val="10.0"/>
      </rPr>
      <t>A Review on Effect of Computer-Aided Machining Parameters in Incremental Sheet Forming (Book Chapter)</t>
    </r>
    <r>
      <rPr>
        <rFont val="Arial Narrow"/>
        <color theme="1"/>
        <sz val="10.0"/>
      </rPr>
      <t>, Handbook of Flexible and Smart Sheet Forming Techniques: Industry 4.0 Approaches, Open Access, Pages 29-58, 1 January 2023, ISBN 978-111998645-4, 978-111998640-9, DOI 10.1002/9781119986454.ch4</t>
    </r>
  </si>
  <si>
    <r>
      <rPr>
        <rFont val="Arial Narrow"/>
        <color theme="1"/>
        <sz val="10.0"/>
      </rPr>
      <t xml:space="preserve">Kumar, Ajaya; Kumar, Parveen; Dogra, Namrata; Jaglan, Archana; </t>
    </r>
    <r>
      <rPr>
        <rFont val="Arial Narrow"/>
        <i/>
        <color theme="1"/>
        <sz val="10.0"/>
      </rPr>
      <t>Application of Incremental Sheet Forming (ISF) Toward Biomedical and Medical Implants (Book Chapter)</t>
    </r>
    <r>
      <rPr>
        <rFont val="Arial Narrow"/>
        <color theme="1"/>
        <sz val="10.0"/>
      </rPr>
      <t>, Handbook of Flexible and Smart Sheet Forming Techniques: Industry 4.0 Approaches, Open Access, Pages 247-263, 1 January 2023, ISBN 978-111998645-4, 978-111998640-9, DOI 10.1002/9781119986454.ch13</t>
    </r>
  </si>
  <si>
    <r>
      <rPr>
        <rFont val="Arial Narrow"/>
        <color theme="1"/>
        <sz val="10.0"/>
      </rPr>
      <t xml:space="preserve">Kumar, Parveen; Singh, Hari; </t>
    </r>
    <r>
      <rPr>
        <rFont val="Arial Narrow"/>
        <i/>
        <color theme="1"/>
        <sz val="10.0"/>
      </rPr>
      <t>Experimental analysis of tool geometry and tool rotation in SPIF process on AA7075-O alloy using ML and ANN approach</t>
    </r>
    <r>
      <rPr>
        <rFont val="Arial Narrow"/>
        <color theme="1"/>
        <sz val="10.0"/>
      </rPr>
      <t>, International Journal on Interactive Design and Manufacturing, 2023, ISSN 1955-2513, DOI 10.1007/s12008-023-01535-x</t>
    </r>
  </si>
  <si>
    <t>Kumar, A.,Kumar, P., Srivastava, A.K.,, Goyat, V., 
Modeling, characterization, and processing of smart materials, Modeling, Characterization, and Processing of Smart Materials, Pages 1 - 370, DOI: 10.4018/978-1-6684-9224-6</t>
  </si>
  <si>
    <t>https://www.scopus.com/record/display.uri?eid=2-s2.0-85171522168&amp;origin=resultslist&amp;sort=plf-f&amp;src=s&amp;sot=mulcite&amp;sdt=mulcite&amp;cluster=scopubyr%2C%222023%22%2Ct&amp;s=REFEID%282-s2.0-79960239182%29&amp;citeCnt=1&amp;sessionSearchId=77d39b5348fde548718770fd336b8db6&amp;relpos=0</t>
  </si>
  <si>
    <r>
      <rPr>
        <rFont val="Arial Narrow"/>
        <color theme="1"/>
        <sz val="10.0"/>
      </rPr>
      <t xml:space="preserve">Nagargoje, Aniket; Kankar, Pavan Kumar; Jain, Prashant Kumar; Tandon, Puneet; </t>
    </r>
    <r>
      <rPr>
        <rFont val="Arial Narrow"/>
        <i/>
        <color theme="1"/>
        <sz val="10.0"/>
      </rPr>
      <t>Application of artificial intelligence techniques in incremental forming: a state-of-the-art review</t>
    </r>
    <r>
      <rPr>
        <rFont val="Arial Narrow"/>
        <color theme="1"/>
        <sz val="10.0"/>
      </rPr>
      <t>, Journal of Intelligent Manufacturing, Volume 34, Issue 3, Pages 985-1002, March 2023, ISSN 0956-5515, DOI 10.1007/s10845-021-01868-y</t>
    </r>
  </si>
  <si>
    <t>https://www.scopus.com/record/display.uri?eid=2-s2.0-85118530381&amp;origin=resultslist&amp;sort=plf-f&amp;src=s&amp;nlo=&amp;nlr=&amp;nls=&amp;citedAuthorId=57197396119&amp;imp=t&amp;sid=26591c611099eb29040fab4394dbdc74&amp;sot=cite&amp;sdt=cite&amp;cluster=scopubyr%2c%222023%22%2ct&amp;sl=0&amp;relpos=17&amp;citeCnt=6&amp;searchTerm=</t>
  </si>
  <si>
    <r>
      <rPr>
        <rFont val="Arial Narrow"/>
        <color theme="1"/>
        <sz val="10.0"/>
      </rPr>
      <t xml:space="preserve">Hussain G., Hassan Malik, Wei Hongyu, Buhl J., Xiao Maohua, Iqbal Asif, Qayyum Hamza, Riaz Asim Ahmed, Muhammad Riaz, Ostrikov Kostya Ken, </t>
    </r>
    <r>
      <rPr>
        <rFont val="Arial Narrow"/>
        <i/>
        <color theme="1"/>
        <sz val="10.0"/>
      </rPr>
      <t>Advances on Incremental forming of composite materials</t>
    </r>
    <r>
      <rPr>
        <rFont val="Arial Narrow"/>
        <color theme="1"/>
        <sz val="10.0"/>
      </rPr>
      <t>, ALEXANDRIA ENGINEERING JOURNAL, ISSN 1110-0168, eISSN 2090-2670</t>
    </r>
  </si>
  <si>
    <r>
      <rPr>
        <rFont val="Arial Narrow"/>
        <color theme="1"/>
        <sz val="10.0"/>
      </rPr>
      <t xml:space="preserve">Ruxiong Li, Tao Wang, Feng Li, </t>
    </r>
    <r>
      <rPr>
        <rFont val="Arial Narrow"/>
        <i/>
        <color theme="1"/>
        <sz val="10.0"/>
      </rPr>
      <t>Research on TA1 mesh low-melting-point alloy filling incremental forming process for cranial prosthesis,</t>
    </r>
    <r>
      <rPr>
        <rFont val="Arial Narrow"/>
        <color theme="1"/>
        <sz val="10.0"/>
      </rPr>
      <t xml:space="preserve"> MATERIALS RESEARCH EXPRESS, eISSN 2053-1591</t>
    </r>
  </si>
  <si>
    <t>https://iopscience.iop.org/article/10.1088/2053-1591/acca67/meta</t>
  </si>
  <si>
    <r>
      <rPr>
        <rFont val="Arial Narrow"/>
        <color theme="1"/>
        <sz val="10.0"/>
      </rPr>
      <t xml:space="preserve">C, Veera Ajay; S, Elangovan; AS, Kamaraja; K, Karthik Kuma; S, Pratheesh Kumar; </t>
    </r>
    <r>
      <rPr>
        <rFont val="Arial Narrow"/>
        <i/>
        <color theme="1"/>
        <sz val="10.0"/>
      </rPr>
      <t xml:space="preserve">Optimization and prediction of incremental sheet forming parameters of Titanium grade 5 sheet using a response surface methodology and artificial neural network, </t>
    </r>
    <r>
      <rPr>
        <rFont val="Arial Narrow"/>
        <color theme="1"/>
        <sz val="10.0"/>
      </rPr>
      <t>Proceedings of the Institution of Mechanical Engineers, Part C: Journal of Mechanical Engineering ScienceVolume 237, Issue 8, Pages 1818-1833, April 2023, ISSN 0954-4062, DOI 10.1177/09544062221133674</t>
    </r>
  </si>
  <si>
    <t>https://journals.sagepub.com/doi/10.1177/09544062221133674?icid=int.sj-full-text.similar-articles.9</t>
  </si>
  <si>
    <r>
      <rPr>
        <rFont val="Arial Narrow"/>
        <color theme="1"/>
        <sz val="10.0"/>
      </rPr>
      <t xml:space="preserve">Kumar, Rupesh; Kumar, Vikas; Kumar, Ajay; </t>
    </r>
    <r>
      <rPr>
        <rFont val="Arial Narrow"/>
        <i/>
        <color theme="1"/>
        <sz val="10.0"/>
      </rPr>
      <t>A Review on Effect of Computer-Aided Machining Parameters in Incremental Sheet Forming (Book Chapter)</t>
    </r>
    <r>
      <rPr>
        <rFont val="Arial Narrow"/>
        <color theme="1"/>
        <sz val="10.0"/>
      </rPr>
      <t>, Handbook of Flexible and Smart Sheet Forming Techniques: Industry 4.0 Approaches, Open Access, Pages 29-58, 1 January 2023, ISBN 978-111998645-4, 978-111998640-9, DOI 10.1002/9781119986454.ch3</t>
    </r>
  </si>
  <si>
    <t>COFARU, N.F., PASCU, A., OLEKSIK, M., PETRUSE, R. (toti ULBS)</t>
  </si>
  <si>
    <t>Tensile properties of 3D-printed continuous-fiber-reinforced plastics. Mater. Plast. 58 (4), 271–282. doi:10.37358/mp.21.4.5551, WOS:000756908700005</t>
  </si>
  <si>
    <r>
      <rPr>
        <rFont val="Arial Narrow"/>
        <color theme="1"/>
        <sz val="10.0"/>
      </rPr>
      <t xml:space="preserve">Sancic Tomislav, Brcic Marino, Kotarski Denis, Lukaszewicz Andrzej, </t>
    </r>
    <r>
      <rPr>
        <rFont val="Arial Narrow"/>
        <i/>
        <color theme="1"/>
        <sz val="10.0"/>
      </rPr>
      <t>Experimental Characterization of Composite-Printed Materials for the Production of Multirotor UAV Airframe Parts</t>
    </r>
    <r>
      <rPr>
        <rFont val="Arial Narrow"/>
        <color theme="1"/>
        <sz val="10.0"/>
      </rPr>
      <t>, MATERIALS,  eISSN 1996-1944</t>
    </r>
  </si>
  <si>
    <t>https://www.mdpi.com/1996-1944/16/14/5060</t>
  </si>
  <si>
    <r>
      <rPr>
        <rFont val="Arial Narrow"/>
        <color theme="1"/>
        <sz val="10.0"/>
      </rPr>
      <t xml:space="preserve">Lee Gyu-Wol, Kim Tae-Hyun, Yun Jong-Hwan, Kim Nam-Joo, Ahn Ki-Hwan, Kang Min-Soo, </t>
    </r>
    <r>
      <rPr>
        <rFont val="Arial Narrow"/>
        <i/>
        <color theme="1"/>
        <sz val="10.0"/>
      </rPr>
      <t>Strength of Onyx-based composite 3D printing materials according to fiber reinforcement</t>
    </r>
    <r>
      <rPr>
        <rFont val="Arial Narrow"/>
        <color theme="1"/>
        <sz val="10.0"/>
      </rPr>
      <t>, FRONTIERS IN MATERIALS, ISSN 2296-8016</t>
    </r>
  </si>
  <si>
    <t>https://www.frontiersin.org/articles/10.3389/fmats.2023.1183816/full</t>
  </si>
  <si>
    <r>
      <rPr>
        <rFont val="Arial Narrow"/>
        <color theme="1"/>
        <sz val="10.0"/>
      </rPr>
      <t xml:space="preserve">Moreno-Nunez Benjamin Alberto, Abarca-Vidal Cesar Gustavo, Trevino-Quintanilla Cecilia D., Sanchez-Santana Ulises, Cuan-Urquizo Enrique, Uribe-Lam Esmeralda, </t>
    </r>
    <r>
      <rPr>
        <rFont val="Arial Narrow"/>
        <i/>
        <color theme="1"/>
        <sz val="10.0"/>
      </rPr>
      <t>Experimental Analysis of Fiber Reinforcement Rings' Effect on Tensile and Flexural Properties of Onyx™-Kevlar® Composites Manufactured by Continuous Fiber Reinforcement, POLYMERS, eISSN 2073-4360</t>
    </r>
  </si>
  <si>
    <t>https://www.mdpi.com/2073-4360/15/5/1252</t>
  </si>
  <si>
    <r>
      <rPr>
        <rFont val="Arial Narrow"/>
        <color theme="1"/>
        <sz val="10.0"/>
      </rPr>
      <t xml:space="preserve">Kokner, Yesim; Delpierre, Arthur; Couzis, Jason P.; Ardebili, Mahmoud; Delale, Feridun; </t>
    </r>
    <r>
      <rPr>
        <rFont val="Arial Narrow"/>
        <i/>
        <color theme="1"/>
        <sz val="10.0"/>
      </rPr>
      <t>A Study on the Effect of Fiber Orientation on the Strength and Failure of 3D-Printed Carbon Fiber Reinforced Polymers</t>
    </r>
    <r>
      <rPr>
        <rFont val="Arial Narrow"/>
        <color theme="1"/>
        <sz val="10.0"/>
      </rPr>
      <t>, ASME International Mechanical Engineering Congress and Exposition, Proceedings (IMECE), Volume 42023, Article number v004t04a068, IMECE 2023. New Orleans, 29 October 2023 - 02 November 2023, Code 197186, ISBN
978-079188761-5, DOI 10.1115/IMECE2023-114034</t>
    </r>
  </si>
  <si>
    <t>https://www.scopus.com/record/display.uri?eid=2-s2.0-85185411134&amp;origin=resultslist&amp;sort=plf-f&amp;src=s&amp;nlo=&amp;nlr=&amp;nls=&amp;citedAuthorId=57197396119&amp;imp=t&amp;sid=26591c611099eb29040fab4394dbdc74&amp;sot=cite&amp;sdt=cite&amp;cluster=scopubyr%2c%222023%22%2ct&amp;sl=0&amp;relpos=19&amp;citeCnt=0&amp;searchTerm=</t>
  </si>
  <si>
    <r>
      <rPr>
        <rFont val="Arial Narrow"/>
        <color theme="1"/>
        <sz val="10.0"/>
      </rPr>
      <t xml:space="preserve">Sofia J.; Kumar, K.C. Kiran; Ethiraj N.; Nikolova M.P., </t>
    </r>
    <r>
      <rPr>
        <rFont val="Arial Narrow"/>
        <i/>
        <color theme="1"/>
        <sz val="10.0"/>
      </rPr>
      <t>Characterisation of PLA-PMMA laminate without resin fabriated by FDM</t>
    </r>
    <r>
      <rPr>
        <rFont val="Arial Narrow"/>
        <color theme="1"/>
        <sz val="10.0"/>
      </rPr>
      <t>, Academic Journal of Manufacturing Engineering, Volume 21, Issue 3, Pages 42-52, 2023, ISSN 1583-7904</t>
    </r>
  </si>
  <si>
    <t>https://www.scopus.com/record/display.uri?eid=2-s2.0-85176243938&amp;origin=resultslist&amp;sort=plf-f&amp;src=s&amp;nlo=&amp;nlr=&amp;nls=&amp;citedAuthorId=57197396119&amp;imp=t&amp;sid=26591c611099eb29040fab4394dbdc74&amp;sot=cite&amp;sdt=cite&amp;cluster=scopubyr%2c%222023%22%2ct&amp;sl=0&amp;relpos=22&amp;citeCnt=1&amp;searchTerm=</t>
  </si>
  <si>
    <t>PETRUSE, R.E., PUȘCAȘU, S., PASCU, A., BONDREA, I, (toți ULBS)</t>
  </si>
  <si>
    <t>Key factors towards a high-quality additive manufacturing process with ABS material, Materials Today: Proceedings, volume 12, part 2, pag. 358-366 (2019), Online available since 2019/01/01, https://doi.org/10.1016/j.matpr.2019.03.136, WOS:000468465100026</t>
  </si>
  <si>
    <r>
      <rPr>
        <rFont val="Arial Narrow"/>
        <color theme="1"/>
        <sz val="10.0"/>
      </rPr>
      <t xml:space="preserve">Benamira Mohamed, Benhassine Naamane, Ayad Amar, Dekhane Azzeddine, </t>
    </r>
    <r>
      <rPr>
        <rFont val="Arial Narrow"/>
        <i/>
        <color theme="1"/>
        <sz val="10.0"/>
      </rPr>
      <t>Investigation of printing parameters effects on mechanical and failure properties of 3D printed PLA</t>
    </r>
    <r>
      <rPr>
        <rFont val="Arial Narrow"/>
        <color theme="1"/>
        <sz val="10.0"/>
      </rPr>
      <t>, ENGINEERING FAILURE ANALYSIS, ISSN 1350-6307,  eISSN 1873-1961</t>
    </r>
  </si>
  <si>
    <t>https://www.sciencedirect.com/science/article/abs/pii/S1350630723001723</t>
  </si>
  <si>
    <r>
      <rPr>
        <rFont val="Arial Narrow"/>
        <color theme="1"/>
        <sz val="10.0"/>
      </rPr>
      <t xml:space="preserve">Szymczyk Emil, Recko Maciej, Dzierzek Kazimierz, Sapiolko Karol, </t>
    </r>
    <r>
      <rPr>
        <rFont val="Arial Narrow"/>
        <i/>
        <color theme="1"/>
        <sz val="10.0"/>
      </rPr>
      <t>An Innovative Approach to Fabrication With Photo-Cured Resins by Shell-Printed-Core-Casting</t>
    </r>
    <r>
      <rPr>
        <rFont val="Arial Narrow"/>
        <color theme="1"/>
        <sz val="10.0"/>
      </rPr>
      <t>, ACTA MECHANICA ET AUTOMATICA, ISSN 1898-4088, eISSN 2300-5319</t>
    </r>
  </si>
  <si>
    <t>PASCU, A., OLEKSIK, V., BONDREA, I., ROSCA, L. (toți ULBS)</t>
  </si>
  <si>
    <t>Inverse analysis used to determine plastic flow and tribological characteristics for deep-drawing sheet (2014), Procedia Engineering, 81, pp. 1823-1829, http://www.sciencedirect.com/science/journal/18777058
doi: 10.1016/j.proeng.2014.10.240</t>
  </si>
  <si>
    <r>
      <rPr>
        <rFont val="Arial Narrow"/>
        <color theme="1"/>
        <sz val="10.0"/>
      </rPr>
      <t xml:space="preserve">Coget, Yann; Demarty, Yaël; Czarnota, Christophe; Bracq, Anthony; Brest, Jean-Sebastien; Rusinek, Alexis; </t>
    </r>
    <r>
      <rPr>
        <rFont val="Arial Narrow"/>
        <i/>
        <color theme="1"/>
        <sz val="10.0"/>
      </rPr>
      <t>Lateral ring compression test applied to a small caliber steel jacket: Identification of a constitutive model</t>
    </r>
    <r>
      <rPr>
        <rFont val="Arial Narrow"/>
        <color theme="1"/>
        <sz val="10.0"/>
      </rPr>
      <t>, ISSN 2096-3459, DOI 10.1016/j.dt.2023.11.001</t>
    </r>
  </si>
  <si>
    <t>https://www.sciencedirect.com/science/article/pii/S2214914723002891?via%3Dihub</t>
  </si>
  <si>
    <r>
      <rPr>
        <rFont val="Arial Narrow"/>
        <color theme="1"/>
        <sz val="10.0"/>
      </rPr>
      <t xml:space="preserve">Gültürk, Cansu; Berber, Hale; </t>
    </r>
    <r>
      <rPr>
        <rFont val="Arial Narrow"/>
        <i/>
        <color theme="1"/>
        <sz val="10.0"/>
      </rPr>
      <t>Effects of mechanical recycling on the properties of glass fiber-reinforced polyamide 66 composites in automotive components</t>
    </r>
    <r>
      <rPr>
        <rFont val="Arial Narrow"/>
        <color theme="1"/>
        <sz val="10.0"/>
      </rPr>
      <t>, E-Polymers, Volume 23, Issue 11, January 2023, Article number 20230129, ISSN 1618-7229, DOI 10.1515/epoly-2023-0129</t>
    </r>
  </si>
  <si>
    <t>https://www.degruyter.com/document/doi/10.1515/epoly-2023-0129/html</t>
  </si>
  <si>
    <t>ROSCA, N., OLEKSIK, V., PASCU, A., OLEKSIK, M., AVRIGEAN, E (toți ULBS)</t>
  </si>
  <si>
    <t>Optical study for springback prediction, thickness reduction and forces variations on single point incremental forming, (2019) Materials Today: Proceedings, Part 2/12, pp. 213-218, https://www.sciencedirect.com/journal/materials-today-proceedings, DOI: 10.1016/j.matpr.2019.03.116</t>
  </si>
  <si>
    <r>
      <rPr>
        <rFont val="Arial Narrow"/>
        <color theme="1"/>
        <sz val="10.0"/>
      </rPr>
      <t xml:space="preserve">Trzepieciński, Tomasz; Szpunar, Marcin; </t>
    </r>
    <r>
      <rPr>
        <rFont val="Arial Narrow"/>
        <i/>
        <color theme="1"/>
        <sz val="10.0"/>
      </rPr>
      <t>Prediction Of The Coefficient Of Friction In The Single Point Incremental Forming Of Truncated Cones From A Grade 2 Titanium Shee</t>
    </r>
    <r>
      <rPr>
        <rFont val="Arial Narrow"/>
        <color theme="1"/>
        <sz val="10.0"/>
      </rPr>
      <t>t, Tribologia, Volume 40, Issue 1-2, Pages 4-17, 2023, ISSN 0780-2285, DOI 10.30678/fjt.127844</t>
    </r>
  </si>
  <si>
    <t>https://www.scopus.com/record/display.uri?eid=2-s2.0-85168096654&amp;origin=resultslist&amp;sort=plf-f&amp;src=s&amp;nlo=&amp;nlr=&amp;nls=&amp;citedAuthorId=57197396119&amp;imp=t&amp;sid=26591c611099eb29040fab4394dbdc74&amp;sot=cite&amp;sdt=cite&amp;cluster=scopubyr%2c%222023%22%2ct&amp;sl=0&amp;relpos=30&amp;citeCnt=3&amp;searchTerm=</t>
  </si>
  <si>
    <t>https://www.sciencedirect.com/science/article/abs/pii/S0029801823011368?casa_token=G8dmDloHhdEAAAAA:j2kaG8KSuJiC4xH0xmGWRTCUA0bv9YGuKsGnrBG50hotum6usu_IZNpO89PRt0n5Af-FP9g</t>
  </si>
  <si>
    <t>https://ieeexplore.ieee.org/abstract/document/10138999</t>
  </si>
  <si>
    <t>Biris, CM; Racz, SG; , Girjob C.,Grovu R.; Rusu, DM, A Wearable Device for Upper Limb Rehabilitation and Assistance Based on Fluid Actuators and Myoelectric Control, Applied Science, Volume13Issue18
DOI10.3390/app131810181</t>
  </si>
  <si>
    <t>Rusu, DM; Petrascu, OL; Pascu A; Mandru, SD, The Influence of Industrial Environmental Factors on Soft Robot Materials, Materials, Volume16Issue8
DOI10.3390/ma16082948</t>
  </si>
  <si>
    <t>Petrascu, RM; Racz, SG and Rusu, DM, Mapping Smart Materials' Literature: An Insight between 1990 and 2022, Sustenability, 
Volume15Issue20
DOI10.3390/su152015143</t>
  </si>
  <si>
    <t>Saniya Khurana, (2023,The Mobile Robot Obstacle Avoidance and Vision-Based Navigation Employing a Single Camera and Ultrasonic Range Finders, IEEE Access, DOI: 10.1109/SMARTGENCON60755.2023.10441958</t>
  </si>
  <si>
    <t>https://www.scopus.com/record/display.uri?eid=2-s2.0-85187573550&amp;origin=resultslist&amp;sort=plf-f&amp;src=s&amp;sid=ecc5fa9a1426082fb06bd0d40ed1c685&amp;sot=b&amp;sdt=b&amp;s=ALL%28The+Mobile+Robot+Obstacle+Avoidance+and+Vision-Based+Navigation+Employing+a+Single+Camera+and+Ultrasonic+Range+Finders%29&amp;sl=123&amp;sessionSearchId=ecc5fa9a1426082fb06bd0d40ed1c685&amp;relpos=1</t>
  </si>
  <si>
    <t>Broasca, G.; Borcia, G.; Dumitrascu, N. ; Vrinceanu, N.</t>
  </si>
  <si>
    <t>Characterization of ZnO coated polyester fabrics for UV protection</t>
  </si>
  <si>
    <t xml:space="preserve">Ali, N.M., Saleh, S.N., Ahmed, M. et al. Characterization and UV Protection of Cotton and Cotton/Polyester Blend Fabrics Coated With PVA/PLST/ZnO NPs Nanocomposites Under the Effect of Gamma Irradiation. Fibers Polym 24, 3901–3912 (2023). </t>
  </si>
  <si>
    <t>https://doi.org/10.1007/s12221-023-00318-1</t>
  </si>
  <si>
    <t>Verbič, A., Brenčič, K., Primc, G. et al. Plasma-Assisted Green Synthesis of ZnO Directly on Polyethylene Terephthalate Fabric. Fibers Polym 24, 83–94 (2023). https://doi.org/10.1007/s12221-023-00059-1</t>
  </si>
  <si>
    <t>https://doi.org/10.1007/s12221-023-00059-1</t>
  </si>
  <si>
    <t>Guvanch Gurbandurdyyev, Kissan Mistry, Louis-Vincent Delumeau, Jhi Yong Loke, Chee Hau Teoh, James Cheon, Fan Ye, Prof. Kam Chiu Tam, Prof. Kevin P. Musselman, Robust, Conformal ZnO Coatings on Fabrics via Atmospheric-Pressure Spatial Atomic Layer Deposition with In-Situ Thickness Control, CHEMNANOMAT, Volume9, Issue2, 2023</t>
  </si>
  <si>
    <t xml:space="preserve"> https://doi.org/10.1002/cnma.202200498</t>
  </si>
  <si>
    <t>Adnan Asgha, Abdul Fattah Chandio, Zahir Shah, Narcisa Vrinceanu, Wejdan Deebani, Meshal Shutaywi , Liaquat Ali Lund</t>
  </si>
  <si>
    <t xml:space="preserve">Adnan Asghar, Yuan Ying Teh, Muhammad Javed Iqbal, and Liaqat Ali, Thermal characterization of hybrid nanofluid with impact of convective boundary layer flow and Joule heating law: Dual solutions case study, Modern Physics Letters BVol. 38, No. 19, 2450158 </t>
  </si>
  <si>
    <t>https://doi.org/10.1142/S0217984924501586</t>
  </si>
  <si>
    <t xml:space="preserve">Adnan Asghar, Abdul Fattah Chandio, Zahir Shah, Narcisa Vrinceanu, Wejdan Deebani, Meshal Shutaywi, Liaquat Ali Lund </t>
  </si>
  <si>
    <t xml:space="preserve">Nur Syahirah Wahi, Norihan Md Arifin, Najiyah Safwa Khashi’ie, Ioan Pop, Unsteady Al2O3-Cu/H2O hybrid nanofluid flow over a rotatable stretching disk with heat generation and deceleration: Stable dual solutions, Numerical Heat Transfer, Part A: Applications </t>
  </si>
  <si>
    <t>https://www.x-mol.net/paper/article/1728541853295071232</t>
  </si>
  <si>
    <t xml:space="preserve">Adnan Asghar a, Abdul Fattah Chandio b, Zahir Shah c, Narcisa Vrinceanu d, Wejdan Deebani e, Meshal Shutaywi e, Liaquat Ali Lund </t>
  </si>
  <si>
    <t>Imran Ullah, Waqar A. Khan, Wasim Jamshed, Assmaa Abd-Elmonem, Nesreen Sirelkhtam Elmki Abdalla, Rabha W. Ibrahim, Mohamed R. Eid, Fayza Abdel Aziz ElSeabee, Heat generation (absorption) in 3D bioconvection flow of Casson nanofluid via a convective heated stretchable surface, Volume 392, Part 1, 2023</t>
  </si>
  <si>
    <t>https://www.sciencedirect.com/science/article/pii/S0167732223023097</t>
  </si>
  <si>
    <t>Fatima, A., Sagheer, M. &amp; Hussain, S. A study of inclined magnetically driven Casson nanofluid using the Cattaneo-Christov heat flux model with multiple slips towards a chemically reacting radially stretching sheet. J. Cent. South Univ. 30, 3721–3736 (2023).</t>
  </si>
  <si>
    <t>https://link.springer.com/article/10.1007/s11771-023-5485-3</t>
  </si>
  <si>
    <t>A.M. Obalalu, M.M. Alqarni, C. Odetunde, M. Asif Memon, O.A. Olayemi, A.B. Shobo, Emad E. Mahmoud, Mohamed R. Ali, R. Sadat, A.S. Hendy, Improving agricultural efficiency with solar-powered tractors and magnetohydrodynamic entropy generation in copper–silver nanofluid flow, Case Studies in Thermal Engineering, Volume 51, 2023</t>
  </si>
  <si>
    <t>https://www.sciencedirect.com/science/article/pii/S2214157X23009097</t>
  </si>
  <si>
    <t>Bhatti, M.M., Marin, M., Ellahi, R. et al. Insight into the dynamics of EMHD hybrid nanofluid (ZnO/CuO-SA) flow through a pipe for geothermal energy applications. J Therm Anal Calorim 148, 14261–14273 (2023)</t>
  </si>
  <si>
    <t>https://link.springer.com/article/10.1007/s10973-023-12565-8#citeas</t>
  </si>
  <si>
    <t>Jeelani, M.B.; Abbas, A. Thermal Efficiency of Spherical Nanoparticles Al2O3-Cu Dispersion in Ethylene Glycol via the MHD Non-Newtonian Maxwell Fluid Model Past the Stretching Inclined Sheet with Suction Effects in a Porous Space. Processes 2023, 11, 2842</t>
  </si>
  <si>
    <t>https://www.mdpi.com/2227-9717/11/10/2842</t>
  </si>
  <si>
    <t>Muhammad Mumtaz, Saeed Islam, Hakeem Ullah, Zahir Shah, Chemically reactive MHD convective flow and heat transfer performance of ternary hybrid nanofluid past a curved stretching sheet, Journal of Molecular Liquids, Volume 390, Part B, 2023</t>
  </si>
  <si>
    <t>https://www.sciencedirect.com/science/article/pii/S0167732223019852</t>
  </si>
  <si>
    <t>Aisha Anjum, Alhafez M Alraih, khalda Mohamed Ahmed Elamin, Numerical approach for the modified heat transport process under improved Darcian and nonlinear mixed convective effects, Case Studies in Thermal Engineering,  Volume 51, 2023</t>
  </si>
  <si>
    <t>https://www.sciencedirect.com/science/article/pii/S2214157X23008080</t>
  </si>
  <si>
    <t>Liaquat Ali Lund, Adnan Asghar, Ghulam Rasool, Ubaidullah Yashkun, Magnetized casson SA-hybrid nanofluid flow over a permeable moving surface with thermal radiation and Joule heating effect, Case Studies in Thermal Engineering, Volume 50, 2023</t>
  </si>
  <si>
    <t>https://www.sciencedirect.com/science/article/pii/S2214157X2300816X</t>
  </si>
  <si>
    <t>Syed M. Hussain, Rahimah Mahat, Nek Muhammad Katbar, Imran Ullah, R.S. Varun Kumar, B.C. Prasannakumara, Wasim Jamshed, Mohamed R. Eid, Waqar A. Khan,  Usman, Rabha W. Ibrahim, Sayed M. El Din,
Artificial neural network modeling of mixed convection viscoelastic hybrid nanofluid across a circular cylinder with radiation effect: Case study,
Case Studies in Thermal Engineering, Vol. 50, 2023
Volume 50,
2023,</t>
  </si>
  <si>
    <t>https://www.sciencedirect.com/science/article/pii/S2214157X23007931</t>
  </si>
  <si>
    <t>A.M. Obalalu, T. Oreyeni, A. Abbas, M. Asif Memon, Umair Khan, El-Sayed M. Sherif, Ahmed M. Hassan, Ioan Pop,Implication of electromagnetohydrodynamic and heat transfer analysis in nanomaterial flow over a stretched surface: Applications in solar energy, Case Studies in Thermal Engineering, Vol. 49, 2023</t>
  </si>
  <si>
    <t>https://www.sciencedirect.com/science/article/pii/S2214157X23006871</t>
  </si>
  <si>
    <t xml:space="preserve">WoS </t>
  </si>
  <si>
    <t>Nidhish Kumar Mishra,  Adnan, Muhammed Umer Sohail, Mutasem Z. Bani-Fwaz, Ahmed M. Hassan, Thermal analysis of radiated (aluminum oxide)/water through a magnet based geometry subject to Cattaneo-Christov and Corcione’s Models, Case Studies in Thermal Engineering, Vol. 49, 2023</t>
  </si>
  <si>
    <t>https://www.sciencedirect.com/science/article/pii/S2214157X23006962</t>
  </si>
  <si>
    <t>Muhammad Naveed Khan, Mostafa A. Hussien, N. Ameer Ahammad, Hassan Ali Ghazwani, M.A. El-Shorbagy, Insight into the motion of ethylene glycol (fluid) conveying magnesium oxide and aluminium oxide nanoparticles with emphasis on “upper branch” and “lower branch” solutions, Alexandria Engineering Journal, Volume 79, 2023</t>
  </si>
  <si>
    <t>https://www.sciencedirect.com/science/article/pii/S1110016823007093</t>
  </si>
  <si>
    <r>
      <rPr>
        <rFont val="Arial Narrow"/>
        <color rgb="FF222222"/>
        <sz val="10.0"/>
      </rPr>
      <t>Alam, M.M., Arshad, M., Alharbi, F.M. </t>
    </r>
    <r>
      <rPr>
        <rFont val="Arial Narrow"/>
        <i/>
        <color rgb="FF222222"/>
        <sz val="10.0"/>
      </rPr>
      <t>et al.</t>
    </r>
    <r>
      <rPr>
        <rFont val="Arial Narrow"/>
        <color rgb="FF222222"/>
        <sz val="10.0"/>
      </rPr>
      <t> Comparative dynamics of mixed convection heat transfer under thermal radiation effect with porous medium flow over dual stretched surface. </t>
    </r>
    <r>
      <rPr>
        <rFont val="Arial Narrow"/>
        <i/>
        <color rgb="FF222222"/>
        <sz val="10.0"/>
      </rPr>
      <t>Sci Rep</t>
    </r>
    <r>
      <rPr>
        <rFont val="Arial Narrow"/>
        <color rgb="FF222222"/>
        <sz val="10.0"/>
      </rPr>
      <t> 13, 12827 (2023)</t>
    </r>
  </si>
  <si>
    <t>https://www.nature.com/articles/s41598-023-40040-9#citeas</t>
  </si>
  <si>
    <t>Gul, H., Ramzan, M., Saleel, C. A., Kadry, S., &amp; Saeed, A. M. (2023). Heat transfer analysis of a moving wedge with impact of nano-layer on nanofluid flows comprising magnetized carbon nanomaterials. Numerical Heat Transfer, Part A: Applications, 1–14. https://doi.org/10.1080/10407782.2023.2240498</t>
  </si>
  <si>
    <t>https://www.tandfonline.com/doi/full/10.1080/10407782.2023.2240498</t>
  </si>
  <si>
    <r>
      <rPr>
        <rFont val="Arial Narrow"/>
        <color rgb="FF333333"/>
        <sz val="10.0"/>
      </rPr>
      <t>Almeida, F., Keerthi, M. L., Gireesha, B. J., Venkatesh, P., Kumar, P., &amp; Nagaraja, B. (2023). Consistent ramifications of prescribed surface temperature and prescribed heat flux boundary conditions for the slip flow of Walter B fluid in a stretching channel. </t>
    </r>
    <r>
      <rPr>
        <rFont val="Arial Narrow"/>
        <i/>
        <color rgb="FF333333"/>
        <sz val="10.0"/>
      </rPr>
      <t>International Journal of Modelling and Simulation</t>
    </r>
    <r>
      <rPr>
        <rFont val="Arial Narrow"/>
        <color rgb="FF333333"/>
        <sz val="10.0"/>
      </rPr>
      <t>, 1–14. </t>
    </r>
  </si>
  <si>
    <t>https://www.tandfonline.com/doi/full/10.1080/02286203.2023.2237845</t>
  </si>
  <si>
    <r>
      <rPr>
        <rFont val="Arial Narrow"/>
        <color rgb="FF333333"/>
        <sz val="10.0"/>
      </rPr>
      <t>Acharya, S., Nayak, B., &amp; Mishra, S. R. (2023). On the entropy analysis for the three-dimensional magnetohydrodynamic nanofluid over a shrinking surface. </t>
    </r>
    <r>
      <rPr>
        <rFont val="Arial Narrow"/>
        <i/>
        <color rgb="FF333333"/>
        <sz val="10.0"/>
      </rPr>
      <t>Numerical Heat Transfer, Part A: Applications</t>
    </r>
    <r>
      <rPr>
        <rFont val="Arial Narrow"/>
        <color rgb="FF333333"/>
        <sz val="10.0"/>
      </rPr>
      <t>, 1–24.</t>
    </r>
  </si>
  <si>
    <t>https://www.tandfonline.com/doi/full/10.1080/10407782.2023.2235074</t>
  </si>
  <si>
    <t xml:space="preserve">M. Faizan Ahmed, M. Khalid, Farhan Ali, Afrah Al-Bossly, Fuad S. Alduais, Sayed M. Eldin, Anwar Saeed, Importance of bioconvection flow on tangent hyperbolic nanofluid with entropy minimization, Front. Phys., 2023
Sec. Fluid Dynamics, Volume 11 </t>
  </si>
  <si>
    <t>https://www.frontiersin.org/articles/10.3389/fphy.2023.1154478/full</t>
  </si>
  <si>
    <r>
      <rPr>
        <rFont val="Arial Narrow"/>
        <color rgb="FF333333"/>
        <sz val="10.0"/>
      </rPr>
      <t>Chakraborty, A., &amp; Janapatla, P. (2023). Scaling group analysis of a Magnetohydrodynamic Nanofluid flow with Double dispersion and Dufour effects on a vertical wedge. </t>
    </r>
    <r>
      <rPr>
        <rFont val="Arial Narrow"/>
        <i/>
        <color rgb="FF333333"/>
        <sz val="10.0"/>
      </rPr>
      <t>Numerical Heat Transfer, Part B: Fundamentals</t>
    </r>
    <r>
      <rPr>
        <rFont val="Arial Narrow"/>
        <color rgb="FF333333"/>
        <sz val="10.0"/>
      </rPr>
      <t>, </t>
    </r>
    <r>
      <rPr>
        <rFont val="Arial Narrow"/>
        <i/>
        <color rgb="FF333333"/>
        <sz val="10.0"/>
      </rPr>
      <t>84</t>
    </r>
    <r>
      <rPr>
        <rFont val="Arial Narrow"/>
        <color rgb="FF333333"/>
        <sz val="10.0"/>
      </rPr>
      <t>(3), 271–293.</t>
    </r>
  </si>
  <si>
    <t>https://www.tandfonline.com/doi/full/10.1080/10407790.2023.2200984</t>
  </si>
  <si>
    <t>Nadeem Abbas, Wasfi Shatanawi, Kamaleldin Abodayeh, Taqi A.M. Shatnawi, Comparative analysis of unsteady flow of induced MHD radiative Sutterby fluid flow at nonlinear stretching cylinder/sheet: Variable thermal conductivity, Alexandria Engineering Journal, Volume 72, 2023</t>
  </si>
  <si>
    <t>https://www.sciencedirect.com/science/article/pii/S1110016823002910</t>
  </si>
  <si>
    <t>SHOWKAT AHMAD LONE, SADIA ANWAR, ZEHBA RAIZAH, MUSAWA YAHYA ALMUSAWA, and ANWAR SAEED, HIGHER-ORDER SLIP FLOW OF MAXWELL FLUIDS CONTAINING GYROTACTIC MICROORGANISMS PAST A HORIZONTAL EXTENDING SURFACE: ANALYSIS WITH CONVECTIVE CONDITIONS, Surface Review and LettersVol. 30, No. 06, 2350038 (2023)</t>
  </si>
  <si>
    <t>https://www.worldscientific.com/doi/10.1142/S0218625X23500385</t>
  </si>
  <si>
    <r>
      <rPr>
        <rFont val="Arial Narrow"/>
        <color rgb="FF222222"/>
        <sz val="10.0"/>
      </rPr>
      <t>Obalalu, A.M., Memon, M.A., Olayemi, O.A. </t>
    </r>
    <r>
      <rPr>
        <rFont val="Arial Narrow"/>
        <i/>
        <color rgb="FF222222"/>
        <sz val="10.0"/>
      </rPr>
      <t>et al.</t>
    </r>
    <r>
      <rPr>
        <rFont val="Arial Narrow"/>
        <color rgb="FF222222"/>
        <sz val="10.0"/>
      </rPr>
      <t> Enhancing heat transfer in solar-powered ships: a study on hybrid nanofluids with carbon nanotubes and their application in parabolic trough solar collectors with electromagnetic controls. </t>
    </r>
    <r>
      <rPr>
        <rFont val="Arial Narrow"/>
        <i/>
        <color rgb="FF222222"/>
        <sz val="10.0"/>
      </rPr>
      <t>Sci Rep</t>
    </r>
    <r>
      <rPr>
        <rFont val="Arial Narrow"/>
        <color rgb="FF222222"/>
        <sz val="10.0"/>
      </rPr>
      <t> 13, 9476 (2023).</t>
    </r>
  </si>
  <si>
    <t>https://www.nature.com/articles/s41598-023-36716-x#citeas</t>
  </si>
  <si>
    <r>
      <rPr>
        <rFont val="Arial Narrow"/>
        <color theme="1"/>
        <sz val="10.0"/>
      </rPr>
      <t>Tao-Qian Tang</t>
    </r>
    <r>
      <rPr>
        <rFont val="Arial Narrow"/>
        <color rgb="FF1F1F1F"/>
        <sz val="10.0"/>
      </rPr>
      <t>, </t>
    </r>
    <r>
      <rPr>
        <rFont val="Arial Narrow"/>
        <color theme="1"/>
        <sz val="10.0"/>
      </rPr>
      <t>Muhammad Rooman</t>
    </r>
    <r>
      <rPr>
        <rFont val="Arial Narrow"/>
        <color rgb="FF1F1F1F"/>
        <sz val="10.0"/>
      </rPr>
      <t>, </t>
    </r>
    <r>
      <rPr>
        <rFont val="Arial Narrow"/>
        <color theme="1"/>
        <sz val="10.0"/>
      </rPr>
      <t>Zahir Shah</t>
    </r>
    <r>
      <rPr>
        <rFont val="Arial Narrow"/>
        <color rgb="FF1F1F1F"/>
        <sz val="10.0"/>
      </rPr>
      <t>, </t>
    </r>
    <r>
      <rPr>
        <rFont val="Arial Narrow"/>
        <color theme="1"/>
        <sz val="10.0"/>
      </rPr>
      <t>Muhammad Asif Jan</t>
    </r>
    <r>
      <rPr>
        <rFont val="Arial Narrow"/>
        <color rgb="FF1F1F1F"/>
        <sz val="10.0"/>
      </rPr>
      <t>, </t>
    </r>
    <r>
      <rPr>
        <rFont val="Arial Narrow"/>
        <color theme="1"/>
        <sz val="10.0"/>
      </rPr>
      <t>Narcisa Vrinceanu</t>
    </r>
    <r>
      <rPr>
        <rFont val="Arial Narrow"/>
        <color rgb="FF1F1F1F"/>
        <sz val="10.0"/>
      </rPr>
      <t>, </t>
    </r>
    <r>
      <rPr>
        <rFont val="Arial Narrow"/>
        <color theme="1"/>
        <sz val="10.0"/>
      </rPr>
      <t>Mihaela Racheriu</t>
    </r>
  </si>
  <si>
    <t>Bhupendra Kumar Sharma, Rishu Gandhi, Entropy-driven optimization of radiative Jeffrey tetrahybrid nanofluid flow through a stenosed bifurcated artery with Hall, Physics of Fluids 35, 121903 (2023)</t>
  </si>
  <si>
    <t>https://pubs.aip.org/aip/pof/article-abstract/35/12/121903/2928916/Entropy-driven-optimization-of-radiative-Jeffrey?redirectedFrom=fulltext</t>
  </si>
  <si>
    <r>
      <rPr>
        <rFont val="Arial Narrow"/>
        <color theme="1"/>
        <sz val="10.0"/>
      </rPr>
      <t>Tao-Qian Tang</t>
    </r>
    <r>
      <rPr>
        <rFont val="Arial Narrow"/>
        <color rgb="FF1F1F1F"/>
        <sz val="10.0"/>
      </rPr>
      <t>, </t>
    </r>
    <r>
      <rPr>
        <rFont val="Arial Narrow"/>
        <color theme="1"/>
        <sz val="10.0"/>
      </rPr>
      <t>Muhammad Rooman</t>
    </r>
    <r>
      <rPr>
        <rFont val="Arial Narrow"/>
        <color rgb="FF1F1F1F"/>
        <sz val="10.0"/>
      </rPr>
      <t>, </t>
    </r>
    <r>
      <rPr>
        <rFont val="Arial Narrow"/>
        <color theme="1"/>
        <sz val="10.0"/>
      </rPr>
      <t>Zahir Shah</t>
    </r>
    <r>
      <rPr>
        <rFont val="Arial Narrow"/>
        <color rgb="FF1F1F1F"/>
        <sz val="10.0"/>
      </rPr>
      <t>, </t>
    </r>
    <r>
      <rPr>
        <rFont val="Arial Narrow"/>
        <color theme="1"/>
        <sz val="10.0"/>
      </rPr>
      <t>Muhammad Asif Jan</t>
    </r>
    <r>
      <rPr>
        <rFont val="Arial Narrow"/>
        <color rgb="FF1F1F1F"/>
        <sz val="10.0"/>
      </rPr>
      <t>, </t>
    </r>
    <r>
      <rPr>
        <rFont val="Arial Narrow"/>
        <color theme="1"/>
        <sz val="10.0"/>
      </rPr>
      <t>Narcisa Vrinceanu</t>
    </r>
    <r>
      <rPr>
        <rFont val="Arial Narrow"/>
        <color rgb="FF1F1F1F"/>
        <sz val="10.0"/>
      </rPr>
      <t>, </t>
    </r>
    <r>
      <rPr>
        <rFont val="Arial Narrow"/>
        <color theme="1"/>
        <sz val="10.0"/>
      </rPr>
      <t>Mihaela Racheriu</t>
    </r>
  </si>
  <si>
    <r>
      <rPr>
        <rFont val="Arial Narrow"/>
        <color rgb="FF333333"/>
        <sz val="10.0"/>
      </rPr>
      <t>Hafed, Z. S., Arafa, A. A. M., Hussein, S. A., Ahmed, S. E., &amp; Morsy, Z. (2023). Bioconvective blood flow of tetra composition nanofluids passing through a stenotic artery with Arrhenius energy. </t>
    </r>
    <r>
      <rPr>
        <rFont val="Arial Narrow"/>
        <i/>
        <color rgb="FF333333"/>
        <sz val="10.0"/>
      </rPr>
      <t>Numerical Heat Transfer, Part B: Fundamentals</t>
    </r>
    <r>
      <rPr>
        <rFont val="Arial Narrow"/>
        <color rgb="FF333333"/>
        <sz val="10.0"/>
      </rPr>
      <t>, 1–24</t>
    </r>
  </si>
  <si>
    <t>https://www.tandfonline.com/doi/full/10.1080/10407790.2023.2289505</t>
  </si>
  <si>
    <r>
      <rPr>
        <rFont val="Arial Narrow"/>
        <color theme="1"/>
        <sz val="10.0"/>
      </rPr>
      <t>Tao-Qian Tang</t>
    </r>
    <r>
      <rPr>
        <rFont val="Arial Narrow"/>
        <color rgb="FF1F1F1F"/>
        <sz val="10.0"/>
      </rPr>
      <t>, </t>
    </r>
    <r>
      <rPr>
        <rFont val="Arial Narrow"/>
        <color theme="1"/>
        <sz val="10.0"/>
      </rPr>
      <t>Muhammad Rooman</t>
    </r>
    <r>
      <rPr>
        <rFont val="Arial Narrow"/>
        <color rgb="FF1F1F1F"/>
        <sz val="10.0"/>
      </rPr>
      <t>, </t>
    </r>
    <r>
      <rPr>
        <rFont val="Arial Narrow"/>
        <color theme="1"/>
        <sz val="10.0"/>
      </rPr>
      <t>Zahir Shah</t>
    </r>
    <r>
      <rPr>
        <rFont val="Arial Narrow"/>
        <color rgb="FF1F1F1F"/>
        <sz val="10.0"/>
      </rPr>
      <t>, </t>
    </r>
    <r>
      <rPr>
        <rFont val="Arial Narrow"/>
        <color theme="1"/>
        <sz val="10.0"/>
      </rPr>
      <t>Muhammad Asif Jan</t>
    </r>
    <r>
      <rPr>
        <rFont val="Arial Narrow"/>
        <color rgb="FF1F1F1F"/>
        <sz val="10.0"/>
      </rPr>
      <t>, </t>
    </r>
    <r>
      <rPr>
        <rFont val="Arial Narrow"/>
        <color theme="1"/>
        <sz val="10.0"/>
      </rPr>
      <t>Narcisa Vrinceanu</t>
    </r>
    <r>
      <rPr>
        <rFont val="Arial Narrow"/>
        <color rgb="FF1F1F1F"/>
        <sz val="10.0"/>
      </rPr>
      <t>, </t>
    </r>
    <r>
      <rPr>
        <rFont val="Arial Narrow"/>
        <color theme="1"/>
        <sz val="10.0"/>
      </rPr>
      <t>Mihaela Racheriu</t>
    </r>
  </si>
  <si>
    <t>Rishu Gandhi, B. K. Sharma, Umesh Khanduri, Electromagnetohydrodynamics Casson pulsatile nanofluid flow through a bifurcated stenosed artery: Magnetically targeted drug delivery, J. Appl. Phys. 134, 184701 (2023)</t>
  </si>
  <si>
    <t>https://pubs.aip.org/aip/jap/article-abstract/134/18/184701/2921405/Electromagnetohydrodynamics-Casson-pulsatile?redirectedFrom=fulltext</t>
  </si>
  <si>
    <r>
      <rPr>
        <rFont val="Arial Narrow"/>
        <color theme="1"/>
        <sz val="10.0"/>
      </rPr>
      <t>Tao-Qian Tang</t>
    </r>
    <r>
      <rPr>
        <rFont val="Arial Narrow"/>
        <color rgb="FF1F1F1F"/>
        <sz val="10.0"/>
      </rPr>
      <t>, </t>
    </r>
    <r>
      <rPr>
        <rFont val="Arial Narrow"/>
        <color theme="1"/>
        <sz val="10.0"/>
      </rPr>
      <t>Muhammad Rooman</t>
    </r>
    <r>
      <rPr>
        <rFont val="Arial Narrow"/>
        <color rgb="FF1F1F1F"/>
        <sz val="10.0"/>
      </rPr>
      <t>, </t>
    </r>
    <r>
      <rPr>
        <rFont val="Arial Narrow"/>
        <color theme="1"/>
        <sz val="10.0"/>
      </rPr>
      <t>Zahir Shah</t>
    </r>
    <r>
      <rPr>
        <rFont val="Arial Narrow"/>
        <color rgb="FF1F1F1F"/>
        <sz val="10.0"/>
      </rPr>
      <t>, </t>
    </r>
    <r>
      <rPr>
        <rFont val="Arial Narrow"/>
        <color theme="1"/>
        <sz val="10.0"/>
      </rPr>
      <t>Muhammad Asif Jan</t>
    </r>
    <r>
      <rPr>
        <rFont val="Arial Narrow"/>
        <color rgb="FF1F1F1F"/>
        <sz val="10.0"/>
      </rPr>
      <t>, </t>
    </r>
    <r>
      <rPr>
        <rFont val="Arial Narrow"/>
        <color theme="1"/>
        <sz val="10.0"/>
      </rPr>
      <t>Narcisa Vrinceanu</t>
    </r>
    <r>
      <rPr>
        <rFont val="Arial Narrow"/>
        <color rgb="FF1F1F1F"/>
        <sz val="10.0"/>
      </rPr>
      <t>, </t>
    </r>
    <r>
      <rPr>
        <rFont val="Arial Narrow"/>
        <color theme="1"/>
        <sz val="10.0"/>
      </rPr>
      <t>Mihaela Racheriu</t>
    </r>
  </si>
  <si>
    <r>
      <rPr>
        <rFont val="Arial Narrow"/>
        <color rgb="FF222222"/>
        <sz val="10.0"/>
      </rPr>
      <t>Elsaid, E.M., Sayed, A.A.M. &amp; Abdel-wahed, M.S. Electromagnetohydrodynamic unsteady blood flow with ternary nanoparticles in a vertical irregular peristaltic flow: an exact treatment. </t>
    </r>
    <r>
      <rPr>
        <rFont val="Arial Narrow"/>
        <i/>
        <color rgb="FF222222"/>
        <sz val="10.0"/>
      </rPr>
      <t>J Therm Anal Calorim</t>
    </r>
    <r>
      <rPr>
        <rFont val="Arial Narrow"/>
        <color rgb="FF222222"/>
        <sz val="10.0"/>
      </rPr>
      <t> 148, 14163–14181 (2023).</t>
    </r>
  </si>
  <si>
    <t>https://link.springer.com/article/10.1007/s10973-023-12598-z#citeas</t>
  </si>
  <si>
    <t>Snoussi, L., Ouerfelli, N., Sharma, K. V., Vrinceanu, N., Chamkha, A. J., &amp; Guizani, A.</t>
  </si>
  <si>
    <t>Numerical simulation of nanofluids for improved cooling efficiency in a 3D copper microchannel heat sink (MCHS).</t>
  </si>
  <si>
    <t>Zihuan Ma, Chengyu Hu, Li Ma, Hongqiang Chen, Junsheng Hou, Nanjing Hao, Jinjia Wei, Nanofluids in microchannel heat sinks for efficient flow cooling of power electronic devices, Applied Materials Today, Volume 35, 2023</t>
  </si>
  <si>
    <t>https://www.sciencedirect.com/science/article/pii/S2352940723002500</t>
  </si>
  <si>
    <t>Senini, L. W. B., &amp; Sabeur, A. (2023). Enhanced heat transfer performance of sic/water and MWCNT/water nanofluids in micro-cylinder groups. Numerical Heat Transfer, Part A: Applications, 1–15.</t>
  </si>
  <si>
    <t>https://www.tandfonline.com/doi/full/10.1080/10407782.2023.2229514</t>
  </si>
  <si>
    <t xml:space="preserve">Qifan Wang, Shengqi Zhang, Yu Zhang, Jiahong Fu, Zhentao Liu, Enhancing performance of nanofluid mini-channel heat sinks through machine learning and multi-objective optimization of operating parameters, International Journal of Heat and Mass Transfer, Vol. 210, </t>
  </si>
  <si>
    <t>https://www.sciencedirect.com/science/article/pii/S0017931023003563</t>
  </si>
  <si>
    <r>
      <rPr>
        <rFont val="Arial Narrow"/>
        <color theme="1"/>
        <sz val="10.0"/>
      </rPr>
      <t>Seyedali Sabzpoushan</t>
    </r>
    <r>
      <rPr>
        <rFont val="Arial Narrow"/>
        <color rgb="FF1F1F1F"/>
        <sz val="10.0"/>
      </rPr>
      <t>, </t>
    </r>
    <r>
      <rPr>
        <rFont val="Arial Narrow"/>
        <color theme="1"/>
        <sz val="10.0"/>
      </rPr>
      <t>Moslem Sabouri, Secondary flow through lateral passages to improve hydrothermal performance of liquid-cooled microchannel heat sinks, Applied Thermal Engineering
Volume 227, 5 June 2023</t>
    </r>
  </si>
  <si>
    <t>https://www.sciencedirect.com/science/article/pii/S1359431123000388</t>
  </si>
  <si>
    <t>Mohamed Dhia Massoudi, Mohamed Bechir Ben Hamida, Combined impacts of square fins fitted wavy wings and micropolar magnetized-radiative nanofluid on the heat sink performance, Journal of Magnetism and Magnetic Materials, Volume 574, 2023</t>
  </si>
  <si>
    <t>https://www.sciencedirect.com/science/article/pii/S0304885323003049</t>
  </si>
  <si>
    <t>Mohamad Nur Hidayat Mat, Muhammad Zulhilmi Muhammad Fidaa, Impact of MXene nanoparticle on thermohydraulic performance in a microchannel heat sink: effect of nanoparticle size, Microfluidics and Nanofluidics, 27(1), 1. 2023</t>
  </si>
  <si>
    <t>https://www.proquest.com/docview/2737265374?parentSessionId=abOMa1gQSFvi0apyQ0jfzqYrOsw1ZoDIZvweTmpN1uw%3D&amp;sourcetype=Scholarly%20Journals</t>
  </si>
  <si>
    <t>Asghar A, Lund LA, Shah Z, Vrinceanu N, Deebani W, Shutaywi M</t>
  </si>
  <si>
    <t>Effect of Thermal Radiation on Three-Dimensional Magnetized Rotating Flow of a Hybrid Nanofluid.</t>
  </si>
  <si>
    <t>Muhammad Faizan Ahmed, Farhan Ali, Syed Sohaib Zafar, C Srivinas Reddy, Muhammad Aslam, Irreversibility analysis and thermal radiative of Williamson (ZnO+MOS2/C3H8O2) hybrid nanofluid over a porous surface with a suction effect, Physica Scripta, Volume 98, Number 11, 2023</t>
  </si>
  <si>
    <t>https://iopscience.iop.org/article/10.1088/1402-4896/acffff/pdf</t>
  </si>
  <si>
    <t>Sakinah Idris, Anuar Jamaludin, Roslinda Nazar, Ioan Pop, Radiative MHD flow of hybrid nanofluid over permeable moving plate with Joule heating and thermal slip effects, Alexandria Engineering Journal, Volume 83, 2023</t>
  </si>
  <si>
    <t>https://www.sciencedirect.com/science/article/pii/S1110016823008608</t>
  </si>
  <si>
    <r>
      <rPr>
        <rFont val="Arial Narrow"/>
        <color theme="1"/>
        <sz val="10.0"/>
      </rPr>
      <t>Rusya Iryanti Yahaya</t>
    </r>
    <r>
      <rPr>
        <rFont val="Arial Narrow"/>
        <color rgb="FF1F1F1F"/>
        <sz val="10.0"/>
      </rPr>
      <t>, </t>
    </r>
    <r>
      <rPr>
        <rFont val="Arial Narrow"/>
        <color theme="1"/>
        <sz val="10.0"/>
      </rPr>
      <t>Mohd Shafie Mustafa</t>
    </r>
    <r>
      <rPr>
        <rFont val="Arial Narrow"/>
        <color rgb="FF1F1F1F"/>
        <sz val="10.0"/>
      </rPr>
      <t>, </t>
    </r>
    <r>
      <rPr>
        <rFont val="Arial Narrow"/>
        <color theme="1"/>
        <sz val="10.0"/>
      </rPr>
      <t>Norihan Md Arifin</t>
    </r>
    <r>
      <rPr>
        <rFont val="Arial Narrow"/>
        <color rgb="FF1F1F1F"/>
        <sz val="10.0"/>
      </rPr>
      <t>, </t>
    </r>
    <r>
      <rPr>
        <rFont val="Arial Narrow"/>
        <color theme="1"/>
        <sz val="10.0"/>
      </rPr>
      <t>Ioan Pop</t>
    </r>
    <r>
      <rPr>
        <rFont val="Arial Narrow"/>
        <color rgb="FF1F1F1F"/>
        <sz val="10.0"/>
      </rPr>
      <t>, </t>
    </r>
    <r>
      <rPr>
        <rFont val="Arial Narrow"/>
        <color theme="1"/>
        <sz val="10.0"/>
      </rPr>
      <t>Fadzilah Md Ali</t>
    </r>
    <r>
      <rPr>
        <rFont val="Arial Narrow"/>
        <color rgb="FF1F1F1F"/>
        <sz val="10.0"/>
      </rPr>
      <t>, </t>
    </r>
    <r>
      <rPr>
        <rFont val="Arial Narrow"/>
        <color theme="1"/>
        <sz val="10.0"/>
      </rPr>
      <t>Siti Suzilliana Putri Mohamed Isa, Hybrid nanofluid flow past a biaxial stretching/shrinking permeable surface with radiation effect: Stability analysis and heat transfer optimization, Chinese Journal of Physics, Volume 85,  2023</t>
    </r>
  </si>
  <si>
    <t>https://www.sciencedirect.com/science/article/pii/S0577907323000928</t>
  </si>
  <si>
    <t xml:space="preserve">Acharya, S., Nayak, B., &amp; Mishra, S. R. (2023). On the entropy analysis for the three-dimensional magnetohydrodynamic nanofluid over a shrinking surface. Numerical Heat Transfer, Part A: Applications, </t>
  </si>
  <si>
    <t>Muhammad Yasir a, Masood Khan a, A.S. Alqahtani b, M.Y. Malik, Mass transpiration effect on rotating flow of radiative hybrid nanofluid due to shrinking surface with irregular heat source/sink, Case Studies in Thermal Engineering
Volume 44, 2023</t>
  </si>
  <si>
    <t>https://www.sciencedirect.com/science/article/pii/S2214157X23001764</t>
  </si>
  <si>
    <r>
      <rPr>
        <rFont val="Arial Narrow"/>
        <color theme="1"/>
        <sz val="10.0"/>
      </rPr>
      <t>Nadeem Abbas</t>
    </r>
    <r>
      <rPr>
        <rFont val="Arial Narrow"/>
        <color rgb="FF1F1F1F"/>
        <sz val="10.0"/>
      </rPr>
      <t>, </t>
    </r>
    <r>
      <rPr>
        <rFont val="Arial Narrow"/>
        <color theme="1"/>
        <sz val="10.0"/>
      </rPr>
      <t>Maryam Tumreen</t>
    </r>
    <r>
      <rPr>
        <rFont val="Arial Narrow"/>
        <color rgb="FF1F1F1F"/>
        <sz val="10.0"/>
      </rPr>
      <t>, </t>
    </r>
    <r>
      <rPr>
        <rFont val="Arial Narrow"/>
        <color theme="1"/>
        <sz val="10.0"/>
      </rPr>
      <t>Wasfi Shatanawi</t>
    </r>
    <r>
      <rPr>
        <rFont val="Arial Narrow"/>
        <color rgb="FF1F1F1F"/>
        <sz val="10.0"/>
      </rPr>
      <t>, </t>
    </r>
    <r>
      <rPr>
        <rFont val="Arial Narrow"/>
        <color theme="1"/>
        <sz val="10.0"/>
      </rPr>
      <t>Muhammad Qasim</t>
    </r>
    <r>
      <rPr>
        <rFont val="Arial Narrow"/>
        <color rgb="FF1F1F1F"/>
        <sz val="10.0"/>
      </rPr>
      <t>, </t>
    </r>
    <r>
      <rPr>
        <rFont val="Arial Narrow"/>
        <color theme="1"/>
        <sz val="10.0"/>
      </rPr>
      <t>Taqi A.M. Shatnawi, Thermodynamic properties of second grade nanofluid flow with radiation and chemical reaction over slendering stretching sheet, Alexandria Engineering Journal, Volume 70, 1 2023</t>
    </r>
  </si>
  <si>
    <t>https://www.sciencedirect.com/science/article/pii/S1110016823001369</t>
  </si>
  <si>
    <t>Zubair Hussain, W. A. Khan, and Mehboob Ali, Thermal radiation and heat sink/source aspects on 3D magnetized Sutterby fluid capturing thermophoresis particle deposition, International Journal of Modern Physics BVol. 37, No. 32, 2350282 (2023)</t>
  </si>
  <si>
    <t>https://www.worldscientific.com/doi/10.1142/S021797922350282X</t>
  </si>
  <si>
    <r>
      <rPr>
        <rFont val="Arial Narrow"/>
        <color theme="1"/>
        <sz val="10.0"/>
      </rPr>
      <t>Nurul Amira Zainal</t>
    </r>
    <r>
      <rPr>
        <rFont val="Arial Narrow"/>
        <color rgb="FF1F1F1F"/>
        <sz val="10.0"/>
      </rPr>
      <t>, </t>
    </r>
    <r>
      <rPr>
        <rFont val="Arial Narrow"/>
        <color theme="1"/>
        <sz val="10.0"/>
      </rPr>
      <t>Iskandar Waini</t>
    </r>
    <r>
      <rPr>
        <rFont val="Arial Narrow"/>
        <color rgb="FF1F1F1F"/>
        <sz val="10.0"/>
      </rPr>
      <t>, </t>
    </r>
    <r>
      <rPr>
        <rFont val="Arial Narrow"/>
        <color theme="1"/>
        <sz val="10.0"/>
      </rPr>
      <t>Najiyah Safwa Khashi'ie</t>
    </r>
    <r>
      <rPr>
        <rFont val="Arial Narrow"/>
        <color rgb="FF1F1F1F"/>
        <sz val="10.0"/>
      </rPr>
      <t>, </t>
    </r>
    <r>
      <rPr>
        <rFont val="Arial Narrow"/>
        <color theme="1"/>
        <sz val="10.0"/>
      </rPr>
      <t>Abdul Rahman Mohd Kasim</t>
    </r>
    <r>
      <rPr>
        <rFont val="Arial Narrow"/>
        <color rgb="FF1F1F1F"/>
        <sz val="10.0"/>
      </rPr>
      <t>, </t>
    </r>
    <r>
      <rPr>
        <rFont val="Arial Narrow"/>
        <color theme="1"/>
        <sz val="10.0"/>
      </rPr>
      <t>Kohilavani Naganthran</t>
    </r>
    <r>
      <rPr>
        <rFont val="Arial Narrow"/>
        <color rgb="FF1F1F1F"/>
        <sz val="10.0"/>
      </rPr>
      <t>, </t>
    </r>
    <r>
      <rPr>
        <rFont val="Arial Narrow"/>
        <color theme="1"/>
        <sz val="10.0"/>
      </rPr>
      <t>Roslinda Nazar</t>
    </r>
    <r>
      <rPr>
        <rFont val="Arial Narrow"/>
        <color rgb="FF1F1F1F"/>
        <sz val="10.0"/>
      </rPr>
      <t>, </t>
    </r>
    <r>
      <rPr>
        <rFont val="Arial Narrow"/>
        <color theme="1"/>
        <sz val="10.0"/>
      </rPr>
      <t>Ioan Pop, Stagnation point hybrid nanofluid flow past a stretching/shrinking sheet driven by Arrhenius kinetics and radiation effect, Alexandria Engineering Journal, Volume 68, 2023</t>
    </r>
  </si>
  <si>
    <t>https://www.sciencedirect.com/science/article/pii/S1110016823000030</t>
  </si>
  <si>
    <t>Nadeem Abbas, Sohail Nadeem, Wasfi Shatanawi, Effects of radiation and heat generation for non-Newtonian fluid flow over slendering stretching sheet: Numerically, ZAMM - Journal of Applied Mathematics and Mechanics / Zeitschrift für Angewandte Mathematik und Mechanik, Volume103, Issue5, 2023</t>
  </si>
  <si>
    <t>https://onlinelibrary.wiley.com/doi/abs/10.1002/zamm.202100299</t>
  </si>
  <si>
    <r>
      <rPr>
        <rFont val="Arial Narrow"/>
        <color rgb="FF333333"/>
        <sz val="10.0"/>
      </rPr>
      <t>Acharya, N., &amp; Das, K. (2023). Three-dimensional rotating flow of Cu–Al2O3/kerosene oil hybrid nanofluid in presence of activation energy and thermal radiation. </t>
    </r>
    <r>
      <rPr>
        <rFont val="Arial Narrow"/>
        <i/>
        <color rgb="FF333333"/>
        <sz val="10.0"/>
      </rPr>
      <t>Numerical Heat Transfer, Part A: Applications</t>
    </r>
    <r>
      <rPr>
        <rFont val="Arial Narrow"/>
        <color rgb="FF333333"/>
        <sz val="10.0"/>
      </rPr>
      <t>, </t>
    </r>
    <r>
      <rPr>
        <rFont val="Arial Narrow"/>
        <i/>
        <color rgb="FF333333"/>
        <sz val="10.0"/>
      </rPr>
      <t>84</t>
    </r>
    <r>
      <rPr>
        <rFont val="Arial Narrow"/>
        <color rgb="FF333333"/>
        <sz val="10.0"/>
      </rPr>
      <t>(6)</t>
    </r>
  </si>
  <si>
    <t>https://www.tandfonline.com/doi/full/10.1080/10407782.2022.2147111</t>
  </si>
  <si>
    <t>S. Jeevitha, M. Chitra, B. Rushi Kumar, MHD flow in a rotating vertical cone through a porous medium, Heat Transfer, Volume52, Issue3, 2023</t>
  </si>
  <si>
    <t>https://onlinelibrary.wiley.com/doi/abs/10.1002/htj.22779</t>
  </si>
  <si>
    <t>Claudia-Mihaela Hristodor, Narcisa Vrinceanu, Aurel Pui, Ovidiu Novac, Eveline Popovici, Environmental Engineering and Management Journal , 2012, Vol.11, No. 3</t>
  </si>
  <si>
    <t xml:space="preserve">TEXTURAL AND MORPHOLOGICAL CHARACTERIZATION OF CHITOSAN/BENTONITE NANOCOMPOSITE, </t>
  </si>
  <si>
    <r>
      <rPr>
        <rFont val="Arial Narrow"/>
        <color rgb="FF333333"/>
        <sz val="10.0"/>
      </rPr>
      <t>Bhattacharjee, M., Goswami, S., Pramanik, N. B., Barman, J., Saikia, M., Swami Hulle, N. R., &amp; Haloi, D. J. (2023). Chitosan/Clay biocomposite films with enhanced physico-chemical, mechanical and antimicrobial properties. </t>
    </r>
    <r>
      <rPr>
        <rFont val="Arial Narrow"/>
        <i/>
        <color rgb="FF333333"/>
        <sz val="10.0"/>
      </rPr>
      <t>Analytical Chemistry Letters</t>
    </r>
    <r>
      <rPr>
        <rFont val="Arial Narrow"/>
        <color rgb="FF333333"/>
        <sz val="10.0"/>
      </rPr>
      <t>, </t>
    </r>
    <r>
      <rPr>
        <rFont val="Arial Narrow"/>
        <i/>
        <color rgb="FF333333"/>
        <sz val="10.0"/>
      </rPr>
      <t>13</t>
    </r>
    <r>
      <rPr>
        <rFont val="Arial Narrow"/>
        <color rgb="FF333333"/>
        <sz val="10.0"/>
      </rPr>
      <t>(6), 609–625. https://doi.org/10.1080/222979</t>
    </r>
  </si>
  <si>
    <t>https://www.tandfonline.com/doi/abs/10.1080/22297928.2023.2293812</t>
  </si>
  <si>
    <r>
      <rPr>
        <rFont val="Arial Narrow"/>
        <color rgb="FF222222"/>
        <sz val="10.0"/>
      </rPr>
      <t>Mapossa, A.B.; da Silva Júnior, A.H.; de Oliveira, C.R.S.; Mhike, W. Thermal, Morphological and Mechanical Properties of Multifunctional Composites Based on Biodegradable Polymers/Bentonite Clay: A Review. </t>
    </r>
    <r>
      <rPr>
        <rFont val="Arial Narrow"/>
        <i/>
        <color rgb="FF222222"/>
        <sz val="10.0"/>
      </rPr>
      <t>Polymers</t>
    </r>
    <r>
      <rPr>
        <rFont val="Arial Narrow"/>
        <color rgb="FF222222"/>
        <sz val="10.0"/>
      </rPr>
      <t> 2023, </t>
    </r>
    <r>
      <rPr>
        <rFont val="Arial Narrow"/>
        <i/>
        <color rgb="FF222222"/>
        <sz val="10.0"/>
      </rPr>
      <t>15</t>
    </r>
    <r>
      <rPr>
        <rFont val="Arial Narrow"/>
        <color rgb="FF222222"/>
        <sz val="10.0"/>
      </rPr>
      <t>,</t>
    </r>
  </si>
  <si>
    <t>https://www.mdpi.com/2073-4360/15/16/3443</t>
  </si>
  <si>
    <t>Madhabi Bhattacharjee, Shyam Goswami, Pranab Borah, Mousmi Saikia, Jayanta Barman, Nabendu B. Pramanik, Dhruba J. Haloi, Preparation, Characterization, and Antimicrobial Activity of Chitosan/Kaolin Clay Biocomposite Films, Volume224, Issue11, Macromolecular Chemistry and Physics, 2023</t>
  </si>
  <si>
    <t>https://onlinelibrary.wiley.com/doi/abs/10.1002/macp.202300008</t>
  </si>
  <si>
    <t>Shah, Z.; Vrinceanu, N.; Rooman, M.; Deebani, W.; Shutaywi, M</t>
  </si>
  <si>
    <t xml:space="preserve"> Mathematical Modelling of Ree-Eyring Nanofluid Using Koo-Kleinstreuer and Cattaneo-Christov Models on Chemically Reactive AA7072-AA7075 Alloys over a Magnetic Dipole Stretching Surface</t>
  </si>
  <si>
    <t>Bashir, S., Ramzan, M., Kadry, S. et al. Insight into heterogeneous catalysis in a Ree-Eyring nanofluid flow influenced by a magnetic dipole with irreversibility analysis. J. Cent. South Univ. 30, 2324–2339 (2023)</t>
  </si>
  <si>
    <t>https://link.springer.com/article/10.1007/s11771-023-5387-4#citeas</t>
  </si>
  <si>
    <t>Saeed Ehsan Awan, Faizan Ali, Muhammad Awais, Muhammad Shoaib, Muhammad Asif Zahoor Raja, Intelligent Bayesian regularization-based solution predictive procedure for hybrid nanoparticles of AA7072-AA7075 oxide movement across a porous medium, ZAMM - Journal of Applied Mathematics and Mechanics / Zeitschrift für Angewandte Mathematik und Mechanik, Volume103, Issue10, 2023</t>
  </si>
  <si>
    <t>https://onlinelibrary.wiley.com/doi/abs/10.1002/zamm.202300043</t>
  </si>
  <si>
    <t>Nadeem Abbas a, Wasfi Shatanawi a b c, Taqi A.M. shatnawi, Thermodynamic study of radiative chemically reactive flow of induced MHD sutterby nanofluid over a nonlinear stretching cylinder, Alexandria Engineering Journal
Volume 70, 1 2023,</t>
  </si>
  <si>
    <t>https://www.sciencedirect.com/science/article/pii/S1110016823001436</t>
  </si>
  <si>
    <t>Zubair Hussain, W. A. Khan, and Mehboob Ali, Thermal radiation and heat sink/source aspects on 3D magnetized Sutterby fluid capturing thermophoresis particle deposition, International Journal of Modern Physics BVol. 37, No. 32, (2023)</t>
  </si>
  <si>
    <t>Shah, Z ; Rooman, M.; Jan, MA; Vrinceanu, N; Deebani, W; Shutaywi, M ; Bou, SF</t>
  </si>
  <si>
    <t>Radiative Darcy-Forchheimer Micropler Bodewadt flow of CNTs with viscous dissipation effect</t>
  </si>
  <si>
    <t>Jiangtao Li, Xiaofeng Zhou, Xibao Liu, Abdumalik Gayubov, Sultanov Shamil , Cross-scale diffusion characteristics in microscale fractures of tight and shale gas reservoirs considering real gas – mixture – body diffusion – water film coupling, Energy, Volume 283, 2023,</t>
  </si>
  <si>
    <t>https://www.sciencedirect.com/science/article/pii/S0360544223018637</t>
  </si>
  <si>
    <t>Abha Kumari, Amit Kumar, and Rajat Tripathi, Insight into the thermocapillary radiative flow of hybrid nanoliquid film over an infinite rotating disk with entropy generation and heat source, International Journal of Modern Physics B, 2023</t>
  </si>
  <si>
    <t>https://1510qkrkd-y-https-www-webofscience-com.z.e-nformation.ro/wos/woscc/summary/7ea3d146-33b1-45b5-af62-de8f2217257c-e8bfe65d/date-descending/1</t>
  </si>
  <si>
    <t>Ahmad Hajatzadeh Pordanjani a, Afrasiab Raisi b, Alireza Daneh-Dezfuli, Slip and non-slip flows of MHD nanofluid through microchannel to cool discrete heat sources in presence and absence of viscous dissipation, Journal of Magnetism and Magnetic Materials
Volume 580, 2023</t>
  </si>
  <si>
    <t>https://www.sciencedirect.com/science/article/pii/S0304885323006224</t>
  </si>
  <si>
    <t>Sarkar, S., &amp; Das, S. (2023). Gyrotactic microbes’ movement in a magneto-nano-polymer induced by a stretchable cylindrical surface set in a DF porous medium subject to non-linear radiation and Arrhenius kinetics. International Journal of Modelling and Simulation</t>
  </si>
  <si>
    <t>https://www.tandfonline.com/doi/full/10.1080/02286203.2023.2205987</t>
  </si>
  <si>
    <t>Patil, P.M., Shankar, H.F. Double-diffusive nonlinear convection dusty fluid flow over a cone under the influence of activation energy. Indian J Phys 97, 2771–2785 (2023).</t>
  </si>
  <si>
    <t>https://link.springer.com/article/10.1007/s12648-023-02657-4#citeas</t>
  </si>
  <si>
    <t>Li, Shuguang, Ali, Farhan, Zaib, A., Loganathan, K., Eldin, Sayed M. and Ijaz Khan, M.. "Bioconvection effect in the Carreau nanofluid with Cattaneo–Christov heat flux using stagnation point flow in the entropy generation: Micromachines level study" Open Physics, vol. 21, no. 1, 2023</t>
  </si>
  <si>
    <t>https://www.degruyter.com/document/doi/10.1515/phys-2022-0228/html?lang=en</t>
  </si>
  <si>
    <t xml:space="preserve">Nadeem Abbas, Wasfi Shatanawi, Taqi A.M. shatnawi </t>
  </si>
  <si>
    <t>Jakeer S, Reddy PBA. Stability analysis of electrical magneto hydrodynamic stagnation point flow of Ag-Cu/water hybrid nanofluid over a permeable stretching/shrinking slendering sheet: Entropy generation. Proceedings of the Institution of Mechanical Engineers, Part E: Journal of Process Mechanical Engineering. 2023</t>
  </si>
  <si>
    <t>https://journals.sagepub.com/doi/abs/10.1177/09544089231153356?journalCode=piea</t>
  </si>
  <si>
    <t>Liaquat Ali Lund,  Ubaidullah Yashkun; Nehad Ali Shah, Magnetohydrodynamics streamwise and cross flow of hybrid nanofluid along the viscous dissipation effect: Duality and stability, Physics of Fluids 35, (2023)</t>
  </si>
  <si>
    <t>https://pubs.aip.org/aip/pof/article-abstract/35/2/023320/2868192/Magnetohydrodynamics-streamwise-and-cross-flow-of?redirectedFrom=fulltext</t>
  </si>
  <si>
    <t>Ghulam Rasool N. Ameer Ahammad, Mohamed R. Ali, Nehad Ali Shah, Xinhua Wang  Anum Shafiq f, A. Waki,. Hydrothermal and mass aspects of MHD non-Darcian convective flows of radiating thixotropic nanofluids nearby a horizontal stretchable surface: Passive control strategy, Case Studies in Thermal Engineering
Volume 42, 2023</t>
  </si>
  <si>
    <t>https://www.sciencedirect.com/science/article/pii/S2214157X22008917</t>
  </si>
  <si>
    <t>Shahid Hussain, Kianat Rasheed, Aamir Ali, Narcisa Vrinceanu, Ahmed Alshehri &amp; Zahir Shah</t>
  </si>
  <si>
    <t>A sensitivity analysis of MHD nanofluid flow across an exponentially stretched surface with non-uniform heat flux by response surface methodology</t>
  </si>
  <si>
    <t>Alenazi, A., Thumma, T., Ahmed, S. E., Raizah, Z. A. S., &amp; S. R., M. (2023). Optimization of dissipative-magneto highly reactive Casson nanoliquid flow with an electric field utilizing response surface methodology. International Journal of Modelling and Simulation,</t>
  </si>
  <si>
    <t>https://www.tandfonline.com/doi/full/10.1080/02286203.2023.2288770</t>
  </si>
  <si>
    <t>Shahid Hussain, Aamir Ali, Kianat Rasheed, Amjad Ali Pasha, Salem Algarni, Talal Alqahtani, Kashif Irshad, Application of response surface methodology to optimize MHD nanofluid flow over a rotating disk with thermal radiation and joule heating, Case Studies in Thermal Engineering
Volume 52, 2023</t>
  </si>
  <si>
    <t>https://www.sciencedirect.com/science/article/pii/S2214157X23010213</t>
  </si>
  <si>
    <t xml:space="preserve">Thirupathi Thumma a, Devarsu Radha Pyari c d, Surender Ontela b c, Qasem M. Al-Mdallal e, Fahd Jarad </t>
  </si>
  <si>
    <t>https://www.sciencedirect.com/science/article/pii/S2214157X23007542</t>
  </si>
  <si>
    <t>Sulaiman Basha, M. I., &amp; Anthony, D. M. G. (2023). Numerical investigation of non-linear radiative flow of hybrid nanofluid past a stretching cylinder with inclined magnetic field. Numerical Heat Transfer, Part B: Fundamentals</t>
  </si>
  <si>
    <t>https://www.tandfonline.com/doi/full/10.1080/10407790.2023.2257381</t>
  </si>
  <si>
    <t>Rusya Iryanti Yahaya, Mohd Shafie Mustafa, Norihan Md Arifin, Ioan Pop, Fadzilah Md Ali, Siti Suzilliana Putri Mohamed Isa, Hybrid nanofluid flow past a biaxial stretching/shrinking permeable surface with radiation effect: Stability analysis and heat transfer optimization, Chinese Journal of Physics
Volume 85, 2023</t>
  </si>
  <si>
    <t>Mirela Iorgoaiea Guignard, Christine Campagne, Stephane Giraud, Mihai Brebu, Narcisa Vrinceanu, Lucian-Ionel Cioca</t>
  </si>
  <si>
    <t>Functionalization of a bamboo knitted fabric using air plasma treatment for the improvement of microcapsules embedding</t>
  </si>
  <si>
    <t>Sawangrat, C.; Thipchai, P.; Kaewapai, K.; Jantanasakulwong, K.; Suhr, J.; Wattanachai, P.; Rachtanapun, P. Surface Modification and Mechanical Properties Improvement of Bamboo Fibers Using Dielectric Barrier Discharge Plasma Treatment. Polymers 2023, 15,</t>
  </si>
  <si>
    <t>https://www.mdpi.com/2073-4360/15/7/1711</t>
  </si>
  <si>
    <t xml:space="preserve">Adnan Asghar, Narcisa Vrinceanu, Teh Yuan Ying, Liaquat Ali Lund, Zahir Shah, Vineet Tirth </t>
  </si>
  <si>
    <t>Mohamed, R.A., Abo-Dahab, S.M., Abd-Alla, A.M. et al. Magnetohydrodynamic double-diffusive peristaltic flow of radiating fourth-grade nanofluid through a porous medium with viscous dissipation and heat generation/absorption. Sci Rep 13, 2023</t>
  </si>
  <si>
    <t>https://www.nature.com/articles/s41598-023-39756-5#citeas</t>
  </si>
  <si>
    <t>Acharya, S., Nayak, B., &amp; Mishra, S. R. (2023). On the entropy analysis for the three-dimensional magnetohydrodynamic nanofluid over a shrinking surface. Numerical Heat Transfer, Part A: Applications,</t>
  </si>
  <si>
    <t>Alharbi, K. A. M., Afsar, M., Ramzan, M., Shahmir, N., Kadry, S., &amp; Saeed, A. M. (2023). Comparative study of hybrid nanofluid flows over a bidirectional stretched surface with the impact of Hall current and ion slip. Numerical Heat Transfer, Part A: Applications,</t>
  </si>
  <si>
    <t>https://www.tandfonline.com/doi/full/10.1080/10407782.2023.2229513</t>
  </si>
  <si>
    <t>Rooman, M.; Jan, M.A.; Shah, Z.; Vrinceanu, N.; Ferrándiz Bou, S.; Iqbal, S.; Deebani, W</t>
  </si>
  <si>
    <t>Entropy Optimization on Axisymmetric Darcy–Forchheimer Powell–Eyring Nanofluid over a Horizontally Stretching Cylinder with Viscous Dissipation Effect.</t>
  </si>
  <si>
    <t>Arafa, Anas A. M. ; Hussein, Sameh A. ; Ahmed, Sameh E., Hydrothermal bioconvective Bödewadt ternary composition nanofluids flow over a stretching rotating disk through a heat generating porous medium, Journal of Magnetism and Magnetic Materials, Volume 586, 2023</t>
  </si>
  <si>
    <t>https://ui.adsabs.harvard.edu/abs/2023JMMM..58671174A/abstract</t>
  </si>
  <si>
    <t>Yusuf, T. A., Adeosun, A. T., Akinsola, V. O., Lebelo R. S., &amp; Akinremi, O. J. (2023). Numerical Investigation for Nonlinear Thermal Radiation in MHD CU-Water Nanofluid Flow in a Channel with Convective Boundary Conditions. Research and Applications Towards Mathematics and Computer Science Vol. 7</t>
  </si>
  <si>
    <t>https://stm.bookpi.org/RATMCS-V7/article/view/12834</t>
  </si>
  <si>
    <t>Ene, R.-D.; Pop, N.; Badarau, R. Partial Slip Effects for Thermally Radiative Convective Nanofluid Flow. Mathematics 2023, 11,</t>
  </si>
  <si>
    <t>https://www.mdpi.com/2227-7390/11/9/2199</t>
  </si>
  <si>
    <t>Diana Tanasa, Narcisa Vrinceanu, Alexandra Nistor, Claudia Mihaela Hristodor, Eveline Popovici, Ionut Lucian Bistricianu, Florin Brinza, Daniela-Lucia Chicet, Diana Coman, Aurel Pui, Ana Maria Grigoriu, and Gianina Broasca</t>
  </si>
  <si>
    <t>Zinc oxide-linen fibrous composites: morphological, structural, chemical and humidity adsorptive attributes</t>
  </si>
  <si>
    <t>Jiancong Kang, Chuanshuang Hu, Anthony Dichiara, Litao Guan, Hong Yun, Jin Gu, Facile preparation of cellulose nanocrystals/ZnO hybrids using acidified ZnCl2 as cellulose hydrolytic media and ZnO precursor, International Journal of Biological Macromolecules
Volume 227, 2023</t>
  </si>
  <si>
    <t>https://www.sciencedirect.com/science/article/pii/S0141813022030094</t>
  </si>
  <si>
    <t>DIANA COMAN, SIMONA OANCEA, NARCISA VRINCEANU</t>
  </si>
  <si>
    <t>Biofunctionalization of textile materials by antimicrobial treatments: a critical overview</t>
  </si>
  <si>
    <t>Nsangou Abdouraman, Doina Sibiescu, Nkemaja Dydimus Efeze, Pierre Marcel Anicet Noah1, Fabien Ebanda Betene1, Hambaté Gomdjé Valery, ANALYSIS OF BIO-BASED ANTIMICROBIAL TEXTILES: A REVIEW, Environmental Engineering and Management Journal June 2023, Vol.22, No. 6</t>
  </si>
  <si>
    <t>http://www.eemj.icpm.tuiasi.ro/pdfs/vol22/no6/15_358_Abdouramane_22.pdf</t>
  </si>
  <si>
    <t>Prorokova, N.P.; Odintsova, O.I.; Rumyantseva, V.E.; Rumyantsev, E.V.; Konovalova, V.S. Giving Improved and New Properties to Fibrous Materials by Surface Modification. Coatings 2023, 13</t>
  </si>
  <si>
    <t>https://www.mdpi.com/2079-6412/13/1/139</t>
  </si>
  <si>
    <t>Tang, T.-Q.; Rooman, M.; Vrinceanu, N.; Shah, Z.; Alshehri, A</t>
  </si>
  <si>
    <t>Blood Flow of Au-Nanofluid Using Sisko Model in Stenotic Artery with Porous Walls and Viscous Dissipation Effect</t>
  </si>
  <si>
    <t>Hafed, Z. S., Arafa, A. A. M., Hussein, S. A., Ahmed, S. E., &amp; Morsy, Z. (2023). Bioconvective blood flow of tetra composition nanofluids passing through a stenotic artery with Arrhenius energy. Numerical Heat Transfer, Part B</t>
  </si>
  <si>
    <t>Koosha N, Mosavi V, Kheirollah J, Najafi N, Abdi N, Alizadeh A, Ranjbari L, Aminian S. Numerical simulation of effect of hybrid nanofluid on heat transfer and flow of the Newtonian pulsatile blood through 3D occluded artery: Silver and gold nanoparticles. J Therm Biol. 2023</t>
  </si>
  <si>
    <t>https://pubmed.ncbi.nlm.nih.gov/37812951/</t>
  </si>
  <si>
    <t>Madhu Sharma, Bhupendra K. Sharma, Umesh Khanduri, Nidhish K. Mishra, Samad Noeiaghdam , Unai Fernandez-Gamiz, Optimization of heat transfer nanofluid blood flow through a stenosed artery in the presence of Hall effect and hematocrit dependent viscosity, Case Studies in Thermal Engineering
Volume 47, 2023</t>
  </si>
  <si>
    <t>https://www.sciencedirect.com/science/article/pii/S2214157X23003817</t>
  </si>
  <si>
    <t>Hussain, Syed M., Eid, Mohamed R., Prakash, M., Jamshed, Wasim, Khan, Abbas and Alqahtani, Haifa. "Thermal characterization of heat source (sink) on hybridized (Cu–Ag/EG) nanofluid flow via solid stretchable sheet" Open Physics, vol. 21, no. 1, 2023,</t>
  </si>
  <si>
    <t>https://www.degruyter.com/document/doi/10.1515/phys-2022-0245/html?lang=en</t>
  </si>
  <si>
    <t>Rathore N, Sandeep N. Relative analysis on fluid flow models for graphene oxide suspended blood flow: A Keller-box approach. Proceedings of the Institution of Mechanical Engineers, Part E: Journal of Process Mechanical Engineering. 2023;</t>
  </si>
  <si>
    <t>https://journals.sagepub.com/doi/abs/10.1177/09544089231171036?journalCode=piea</t>
  </si>
  <si>
    <t>Ali B, Jubair S, Fathima D, Akhter A, Rafique K, Mahmood Z. MHD flow of nanofluid over moving slender needle with nanoparticles aggregation and viscous dissipation effects. Science Progress. 2023</t>
  </si>
  <si>
    <t>https://journals.sagepub.com/doi/full/10.1177/00368504231176151</t>
  </si>
  <si>
    <t>ANA-MARIA GRIGORIU, CONSTANTIN LUCA, NARCISA VRÎNCEANU, FLORIN CIOLACU</t>
  </si>
  <si>
    <t>INCLUSION COMPOUNDS OF MONOCHLOROTRIAZINYL-βCYCLODEXTRIN GRAFTED ON PAPER SUPPORTS</t>
  </si>
  <si>
    <t>Konstantinova, Z.A., Tokareva, A.A., Kuranova, N.N. et al. Spectrophotometric method for evaluating the fixation strength of complexes based on β-cyclodextrins onto a cellulose material. Russ Chem Bull 72</t>
  </si>
  <si>
    <t>https://link.springer.com/article/10.1007/s11172-023-3929-4#citeas</t>
  </si>
  <si>
    <t>Rooman, M ; Shafiq, A;Shah, Z ; Vrinceanu, N; Deebani, W; Shutaywi, M.</t>
  </si>
  <si>
    <t>Statistical modeling for Ree-Eyring nanofluid flow in a conical gap between porous rotating surfaces with entropy generation and Hall Effect</t>
  </si>
  <si>
    <t>Igor V. Shevchuk, Improved asymptotic expansion method for laminar fluid flow and heat transfer in conical gaps with disks rotating, Physics of Fluids 35, 043603 (2023)</t>
  </si>
  <si>
    <t>https://pubs.aip.org/aip/pof/article-abstract/35/4/043603/2883404/An-improved-asymptotic-expansion-method-for-fluid?redirectedFrom=fulltext</t>
  </si>
  <si>
    <t>Farooq, U., Waqas, H., Fatima, N. et al. Computational framework of cobalt ferrite and silver-based hybrid nanofluid over a rotating disk and cone: a comparative study. Sci Rep 13, 5369 (2023).</t>
  </si>
  <si>
    <t>https://www.nature.com/articles/s41598-023-32360-7#citeas</t>
  </si>
  <si>
    <t>Igor V. Shevchuk, An improved asymptotic expansion method for fluid flow and convective heat transfer in cone-and-disk geometries with rotating cone, Physics of Fluids 35, 043603 (2023)</t>
  </si>
  <si>
    <t>Lund, L.A.; Chandio, A.F.; Vrinceanu, N.; Yashkun, U.; Shah, Z.; Alshehri, A</t>
  </si>
  <si>
    <t>Darcy–Forchheimer Magnetized Nanofluid flow along with Heating and Dissipation Effects over a Shrinking Exponential Sheet with Stability Analysis</t>
  </si>
  <si>
    <t>Sakinah Idris, Anuar Jamaludin, Roslinda Nazar, Ioan Pop, Radiative MHD flow of hybrid nanofluid over permeable moving plate with Joule heating and thermal slip effects, Alexandria Engineering Journal
Volume 83, 2023</t>
  </si>
  <si>
    <t>Kifle Adula Duguma, Oluwole Daniel Makinde, Lemi Guta Enyadene, Stagnation Point Flow of --Casson Nanofluid past a Slippery Stretching/Shrinking Cylindrical Surface in a Darcy–Forchheimer Porous Medium, Journal of Engineerin, 2023</t>
  </si>
  <si>
    <t>https://www.hindawi.com/journals/je/2023/8238703/</t>
  </si>
  <si>
    <t>Deebani W, Jan R, Shah Z, Vrinceanu N, Racheriu M.</t>
  </si>
  <si>
    <t>Modeling the transmission phenomena of water-borne disease with non-singular and non-local kernel.</t>
  </si>
  <si>
    <t>Vivek, Manoj Kumar, Spreading behavior of biological SIR system of a COVID-19 disease through a fast Taylor wavelet based numerical algorithm, Results in Control and Optimization
Volume 13, 2023</t>
  </si>
  <si>
    <t>https://www.sciencedirect.com/science/article/pii/S2666720723001182</t>
  </si>
  <si>
    <t>Nabeela Anwar, Iftikhar Ahmad, Adiqa Kausar Kiani, Muhammad Shoaib, Muhammad Asif Zahoor Raja, Numerical treatment for mathematical model of farming awareness in crop pest management</t>
  </si>
  <si>
    <t>https://www.frontiersin.org/articles/10.3389/fams.2023.1208774/full</t>
  </si>
  <si>
    <t>Lacitignola, D.; Diele, F.; Marangi, C.; Monti, A.; Serini, T.; Vernocchi, S. Effects of Vitamin D Supplementation and Degradation on the Innate Immune System Response: Insights on SARS-CoV-2. Mathematics 2023</t>
  </si>
  <si>
    <t>https://www.mdpi.com/2227-7390/11/17/3711</t>
  </si>
  <si>
    <t>Rashid Jan , Adil Khurshaid, Hammad Alotaibi, Mustafa Inc, A robust study of the transmission dynamics of syphilis infection through non-integer derivative, AIMS Mathematics
2023, Volume 8, Issue 3</t>
  </si>
  <si>
    <t>https://www.aimspress.com/article/doi/10.3934/math.2023314</t>
  </si>
  <si>
    <t>Meshal Shutaywi, Muhammad Rooman, Muhammad Asif Jan, Narcisa Vrinceanu*, Zahir Shah*, and Wejdan Deebani</t>
  </si>
  <si>
    <t>Entropy Generation and Thermal Analysis on MHD Second-Grade Fluid with Variable Thermophysical Properties over a Stratified Permeable Surface of Paraboloid Revolution</t>
  </si>
  <si>
    <t>Zulqarnain, R.M., Nadeem, M., Siddique, I. et al. Impacts of entropy generation in second-grade fuzzy hybrid nanofluids on exponentially permeable stretching/shrinking surface. Sci Rep 13, 22132 (2023)</t>
  </si>
  <si>
    <t>https://www.nature.com/articles/s41598-023-48142-0#citeas</t>
  </si>
  <si>
    <t>Shafiq, A., Çolak, A. B., &amp; Sindhu, T. N. (2023). Development of an intelligent computing system using neural networks for modeling bioconvection flow of second-grade nanofluid with gyrotactic microorganisms. Numerical Heat Transfer, Part B: Fundamentals, 1–18.</t>
  </si>
  <si>
    <t>https://www.tandfonline.com/doi/full/10.1080/10407790.2023.2273512</t>
  </si>
  <si>
    <t>Anas A.M. Arafa, Sameh A. Hussein, Sameh E. Ahmed</t>
  </si>
  <si>
    <t>https://www.sciencedirect.com/science/article/pii/S0304885323008247</t>
  </si>
  <si>
    <t>Zahir Shah, Asad Ullah, Awad Musa, Narcisa Vrinceanu, Santiago Ferrandiz Bou, Shahid Iqbal, Wejdan Deebani</t>
  </si>
  <si>
    <t>Entropy Optimization and Thermal Behavior of a Porous System With Considering Hybrid Nanofluid</t>
  </si>
  <si>
    <r>
      <rPr>
        <rFont val="Arial Narrow"/>
        <color rgb="FF222222"/>
        <sz val="10.0"/>
      </rPr>
      <t>Zulqarnain, R.M., Nadeem, M., Siddique, I. </t>
    </r>
    <r>
      <rPr>
        <rFont val="Arial Narrow"/>
        <i/>
        <color rgb="FF222222"/>
        <sz val="10.0"/>
      </rPr>
      <t>et al.</t>
    </r>
    <r>
      <rPr>
        <rFont val="Arial Narrow"/>
        <color rgb="FF222222"/>
        <sz val="10.0"/>
      </rPr>
      <t> Impacts of entropy generation in second-grade fuzzy hybrid nanofluids on exponentially permeable stretching/shrinking surface. </t>
    </r>
    <r>
      <rPr>
        <rFont val="Arial Narrow"/>
        <i/>
        <color rgb="FF222222"/>
        <sz val="10.0"/>
      </rPr>
      <t>Sci Rep</t>
    </r>
    <r>
      <rPr>
        <rFont val="Arial Narrow"/>
        <color rgb="FF222222"/>
        <sz val="10.0"/>
      </rPr>
      <t> 13, 22132 (2023).</t>
    </r>
  </si>
  <si>
    <t>Liang, Y.; Wang, C.; Wang, W.; Xing, H.; Zhang, Z.; Gao, D. Effect of Composite Bionic Micro-Texture on Bearing Lubrication and Cavitation Characteristics of Slipper Pair. J. Mar. Sci. Eng. 2023</t>
  </si>
  <si>
    <t>https://www.mdpi.com/2077-1312/11/3/582</t>
  </si>
  <si>
    <t>Sun, Y.; Lei, A.; Yang, K.; Wang, G. Numerical Simulation Study on the Influence of Construction Load on the Cutoff Wall in Reservoir Engineering. Water 2023</t>
  </si>
  <si>
    <t>https://www.mdpi.com/2073-4441/15/5/993</t>
  </si>
  <si>
    <t>Ghulam Rasool, N. Ameer Ahammad, Mohamed R. Ali, Nehad Ali Shah, Xinhua Wang, Anum Shafiq, A. Wakif</t>
  </si>
  <si>
    <t xml:space="preserve">Najoua Ouerfelli, Narcisa Vrinceanu, Ezzedine Mliki, Abdelgadir M. Homeida, Kamal A.Amin, Magdalena Ogrodowczyk, Fawziah S.Alshehri, </t>
  </si>
  <si>
    <t>Modeling of the irradiation effect on some physicochemical properties of metoprolol tartrate for safe medical uses.</t>
  </si>
  <si>
    <t>Pitucha, M., Ramos, P., Wojtunik-Kulesza, K. et al. Thermal analysis, antimicrobial and antioxidant studies of thiosemicarbazone derivatives. J Therm Anal Calorim 148, 4223–4234 (2023)</t>
  </si>
  <si>
    <t>https://link.springer.com/article/10.1007/s10973-023-12029-z#citeas</t>
  </si>
  <si>
    <t>Faizan Ali , Muhammad Awais, Aamir Ali , Narcisa Vrinceanu, Zahir Shah, Vineet Tirth</t>
  </si>
  <si>
    <t>Intelligent computing with Levenberg–Marquardt artificial neural network for Carbon nanotubes-water between stretchable rotating disk</t>
  </si>
  <si>
    <t>Gupta, R., &amp; Wakif, A. (2024). Computing neural network to analyze heat and mass transfer in the flow of nanofluid between two disks. Numerical Heat Transfer, Part A: Applications</t>
  </si>
  <si>
    <t>https://www.tandfonline.com/doi/full/10.1080/10407782.2023.2292197?src=</t>
  </si>
  <si>
    <t xml:space="preserve">FaizanAli , Muhammad Awais, Aamir Ali , Narcisa Vrinceanu Zahir Shah, Vineet Tirth, </t>
  </si>
  <si>
    <t>Jakeer, S.; Reddy, S.R.R.; Easwaramoorthy, S.V.; Basha, H.T.; Cho, J. Exploring the Influence of Induced Magnetic Fields and Double-Diffusive Convection on Carreau Nanofluid Flow through Diverse Geometries: A Comparative Study Using Numerical and ANN Approaches. Mathematics 2023</t>
  </si>
  <si>
    <t>https://www.mdpi.com/2227-7390/11/17/3687</t>
  </si>
  <si>
    <t>Bhupendra K. Sharma, Parikshit Sharma, Nidhish K. Mishra, Samad Noeiaghdam, Unai Fernandez-Gamiz, Bayesian regularization networks for micropolar ternary hybrid nanofluid flow of blood with homogeneous and heterogeneous reactions: Entropy generation optimization, Alexandria Engineering Journal
Volume 77, 2023</t>
  </si>
  <si>
    <t>https://www.sciencedirect.com/science/article/pii/S1110016823005550</t>
  </si>
  <si>
    <t xml:space="preserve">FaizanAli , Muhammad Awais, Aamir Ali , Narcisa Vrinceanu,  Zahir Shah, Vineet Tirth, </t>
  </si>
  <si>
    <t>Hussain, Syed M., Eid, Mohamed R., Prakash, M., Jamshed, Wasim, Khan, Abbas and Alqahtani, Haifa. "Thermal characterization of heat source (sink) on hybridized (Cu–Ag/EG) nanofluid flow via solid stretchable sheet" Open Physics, vol. 21, no. 1, 2023</t>
  </si>
  <si>
    <t>DIANA COMAN, SIMONA OANCEA, NARCISA VRINCEANU, MIHAELA STOIA</t>
  </si>
  <si>
    <t>SONICATION AND CONVENTIONAL DYEING PROCEDURES OF FLAX FIBRES WITH ALLIUM CEPA ANTHOCYANIN EXTRACT</t>
  </si>
  <si>
    <r>
      <rPr>
        <rFont val="Arial Narrow"/>
        <color theme="1"/>
        <sz val="10.0"/>
      </rPr>
      <t>Mohammad M. Hassan</t>
    </r>
    <r>
      <rPr>
        <rFont val="Arial Narrow"/>
        <color rgb="FF1F1F1F"/>
        <sz val="10.0"/>
      </rPr>
      <t>, </t>
    </r>
    <r>
      <rPr>
        <rFont val="Arial Narrow"/>
        <color theme="1"/>
        <sz val="10.0"/>
      </rPr>
      <t>Khaled Saifullah, Ultrasound-assisted sustainable and energy efficient pre-treatments, dyeing, and finishing of textiles – A comprehensive review, Sustainable Chemistry and Pharmacy
Volume 33, June 2023</t>
    </r>
  </si>
  <si>
    <t>https://www.sciencedirect.com/science/article/pii/S2352554123001432</t>
  </si>
  <si>
    <t>Vrinceanu N, Bucur S, Rimbu CM, Neculai-Valeanu S, Ferrandiz Bou S, Suchea MP.</t>
  </si>
  <si>
    <t>Nanoparticle/biopolymer-based coatings for functionalization of textiles: recent developments (a minireview)</t>
  </si>
  <si>
    <t>Murtaza Haider Syed, Mior Ahmad Khushairi Mohd Zahari, Md Maksudur Rahman Khan, Mohammad Dalour Hossen Beg, Norhayati Abdullah, An overview on recent biomedical applications of biopolymers: Their role in drug delivery systems and comparison of major systems, ournal of Drug Delivery Science and Technology
Volume 80, 2023</t>
  </si>
  <si>
    <t>https://1510aktwy-y-https-www-sciencedirect-com.z.e-nformation.ro/science/article/pii/S1773224722010322?via%3Dihub</t>
  </si>
  <si>
    <t>Jan, Rashid, Razak, Normy Norfiza Abdul, Boulaaras, Salah and Rehman, Ziad Ur. "Fractional insights into Zika virus transmission: Exploring preventive measures from a dynamical perspective" Nonlinear Engineering, vol. 12, no. 1, 2023</t>
  </si>
  <si>
    <t>https://www.degruyter.com/document/doi/10.1515/nleng-2022-0352/html?lang=en</t>
  </si>
  <si>
    <t>Sumera Dero, Mustafa Abbas Fadhel , Zahir Shah , Liaquat Ali Lund , Narcisa Vrinceanu , Ahmed Z. Dewidar , Hosam O. Elansary</t>
  </si>
  <si>
    <t>Multiple solutions of Hiemenz flow of CNTs hybrid base C2H6O2+H2O nanofluid and heat transfer over stretching/shrinking surface: Stability analysis</t>
  </si>
  <si>
    <r>
      <rPr>
        <rFont val="Arial Narrow"/>
        <color rgb="FF333333"/>
        <sz val="10.0"/>
      </rPr>
      <t>Hafed, Z. S., Arafa, A. A. M., Hussein, S. A., Ahmed, S. E., &amp; Morsy, Z. (2023). Bioconvective blood flow of tetra composition nanofluids passing through a stenotic artery with Arrhenius energy. </t>
    </r>
    <r>
      <rPr>
        <rFont val="Arial Narrow"/>
        <i/>
        <color rgb="FF333333"/>
        <sz val="10.0"/>
      </rPr>
      <t>Numerical Heat Transfer, Part B: Fundamentals</t>
    </r>
    <r>
      <rPr>
        <rFont val="Arial Narrow"/>
        <color rgb="FF333333"/>
        <sz val="10.0"/>
      </rPr>
      <t>,</t>
    </r>
  </si>
  <si>
    <t>Tao-Qian Tang, Muhammad Rooman, Zahir Shah, Saima Khan, Narcisa Vrinceanu, Ahmed Alshehri, Mihaela Racheriu</t>
  </si>
  <si>
    <t>Numerical study of magnetized Powell–Eyring hybrid nanomaterial flow with variable heat transfer in the presence of artificial bacteria: Applications for tumor removal and cancer cell destruction</t>
  </si>
  <si>
    <t>Hassani H, Avazzadeh Z, Agarwal P, Mehrabi S, Ebadi MJ, Dahaghin MS, Naraghirad E. A study on fractional tumor-immune interaction model related to lung cancer via generalized Laguerre polynomials. BMC Med Res Methodol. 2023</t>
  </si>
  <si>
    <t>https://pubmed.ncbi.nlm.nih.gov/37605131/</t>
  </si>
  <si>
    <t>Durmaz E, Sertkaya S, Yilmaz H, Olgun C, Ozcelik O, Tozluoglu A, Candan Z. Lignocellulosic Bionanomaterials for Biosensor Applications. Micromachines (Basel). 2023</t>
  </si>
  <si>
    <t>https://pubmed.ncbi.nlm.nih.gov/37512761/</t>
  </si>
  <si>
    <t>Ouerfelli, N.; Vrinceanu, N.; Coman, D.; Cioca, A.L.</t>
  </si>
  <si>
    <t>Empirical model</t>
  </si>
  <si>
    <r>
      <rPr>
        <rFont val="Arial Narrow"/>
        <color rgb="FF222222"/>
        <sz val="10.0"/>
      </rPr>
      <t>Vorozheykina, T.M.; Shchetinin, A.Y.; Semenova, G.N.; Vakhrushina, M.A. Dataset Analysis of the Risks for Russian IT Companies Amid the COVID-19 Crisis. </t>
    </r>
    <r>
      <rPr>
        <rFont val="Arial Narrow"/>
        <i/>
        <color rgb="FF222222"/>
        <sz val="10.0"/>
      </rPr>
      <t>Risks</t>
    </r>
    <r>
      <rPr>
        <rFont val="Arial Narrow"/>
        <color rgb="FF222222"/>
        <sz val="10.0"/>
      </rPr>
      <t> 2023</t>
    </r>
  </si>
  <si>
    <t>https://www.mdpi.com/2227-9091/11/7/127</t>
  </si>
  <si>
    <t xml:space="preserve">Daniel N. Pop, N. Vrinceanu, S. Al-Omari, N. Ouerfelli, D. Baleanu, K.S. Nisar, </t>
  </si>
  <si>
    <t>On the solution of a parabolic PDE involving a gas flow through a semi-infinite porous medium</t>
  </si>
  <si>
    <t>Bogdan Marinca, Nicolae Herişanu, Vasile Marinca, Analytical solutions for solving unsteady flow of gas through a porous medium by using auxiliary functions method</t>
  </si>
  <si>
    <t>https://www.sciencedirect.com/science/article/pii/S0377042723002406</t>
  </si>
  <si>
    <t>Narcisa Vrinceanu, Mirela Iorgoaiea Guignard, Christine Campagne, Stephane Giraud, Raluca Ioana Prepelita, Diana Coman, Valentin Dan Petrescu, Dan Dumitru Dumitrascu, Noureddine Ouerfelli, and Mirela Petruta Suchea</t>
  </si>
  <si>
    <t>Correlation between Surface Engineering and Deformation Response of Some Natural Polymer Fibrous Systems</t>
  </si>
  <si>
    <t>Elaissi, A., Jabli, M. &amp; Ghith, A. A non-woven waste cellulosic fibers–iron shavings abrasive composite: synthesis, characterization, and evaluation of its wear mechanism. Biomass Conv. Bioref. (2023)</t>
  </si>
  <si>
    <t>https://link.springer.com/article/10.1007/s13399-023-04137-5#citeas</t>
  </si>
  <si>
    <t xml:space="preserve">TAO-QIAN TANG, RASHID JAN, ZIAD UR REHMAN, ZAHIR SHAH, NARCISA VRINCEANU, MIHAELA RACHERIU, </t>
  </si>
  <si>
    <t>MODELING THE DYNAMICS OF CHRONIC MYELOGENOUS LEUKEMIA THROUGH FRACTIONAL-CALCULUS</t>
  </si>
  <si>
    <t>Nabeela Anwar, Iftikhar Ahmad, Adiqa Kausar Kiani, Muhammad Shoaib, Muhammad Asif Zahoor Raja, Numerical treatment for mathematical model of farming awareness in crop pest management, Front. Appl. Math. Stat.,  2023</t>
  </si>
  <si>
    <t xml:space="preserve">Biris C., Breaz R., Gîrjob C., Chicea A., </t>
  </si>
  <si>
    <t>Researches regarding optimising the contouring precision of CNC laser cutting machines., Applied Mechanics and MaterialsVolume 555, Pages 580, DOI
10.4028/www.scientific.net/AMM.555.580</t>
  </si>
  <si>
    <t>Chang, Ping-Yueh, Chou, Fu-I.,Yang, Po-Yuan, Chen, Shao-Hsien, Hybrid Multi-Object Optimization Method for Tapping Center Machines, Intelligent Automation &amp; Soft Computing 2023, 36(1), 23-38. https://doi.org/10.32604/iasc.2023.031609, DOI
10.32604/iasc.2023.031609</t>
  </si>
  <si>
    <t>https://www.scopus.com/record/display.uri?eid=2-s2.0-85139960821&amp;citeCnt=1_DELIM_1_DELIM_CTODS_1696722914_DELIM_1&amp;origin=resultslist&amp;sort=plf-f&amp;refeid=2-s2.0-84904283153&amp;src=s&amp;imp=t&amp;sid=9f3977890e949c0c6100a3f2e16e4c2c&amp;sot=ctocbw&amp;sdt=a&amp;sl=42&amp;s=PUBYEAR+IS+2023+AND+NOT+AU-ID%2835193491700%29&amp;relpos=0&amp;citeCnt=1&amp;searchTerm=</t>
  </si>
  <si>
    <t>Breaz R.E., Racz S.G., Girjob C.E., 
Tera M.; Biris C.</t>
  </si>
  <si>
    <t>Medina-Triviño, P., Triviño-Tarradas, P., Ortiz-Cordero, R., Gonzalez-Redondo, M. Design and Creation of an Economical Camera Slider for Photography. In: Gerbino, S., Lanzotti, A., Martorelli, M., Mirálbes Buil, R., Rizzi, C., Roucoules, L. (eds) Advances on Mechanics, Design Engineering and Manufacturing IV. JCM 2022. Lecture Notes in Mechanical Engineering. Springer, Cham. https://doi.org/10.1007/978-3-031-15928-2_97</t>
  </si>
  <si>
    <t>https://www.scopus.com/record/display.uri?eid=2-s2.0-85140456046&amp;citeCnt=1_DELIM_1_DELIM_CTODS_1696722914_DELIM_1&amp;origin=resultslist&amp;sort=plf-f&amp;refeid=2-s2.0-85096503460&amp;src=s&amp;imp=t&amp;sid=eb4d0394b95a98498c3ac3cdface54f3&amp;sot=ctocbw&amp;sdt=a&amp;sl=42&amp;s=PUBYEAR+IS+2023+AND+NOT+AU-ID%2835193491700%29&amp;relpos=0&amp;citeCnt=0&amp;searchTerm=</t>
  </si>
  <si>
    <t>Crenganis M., Tera M., Biris C., Girjob C. </t>
  </si>
  <si>
    <t>Nugroho, E.A., Setiawan, J.D., Munadi, M., Handling Four DOF Robot to Move Objects Based on Color and Weight using Fuzzy Logic Control, Journal of Robotics and Control (JRC), Volume 4, Issue 6, Pages 769 - 779, 2023, DOI</t>
  </si>
  <si>
    <t>https://www.scopus.com/record/display.uri?eid=2-s2.0-85184755429&amp;origin=resultslist&amp;sort=plf-f&amp;src=s&amp;sot=mulcite&amp;sdt=mulcite&amp;cluster=scopubyr%2C%222023%22%2Ct&amp;s=REFEID%282-s2.0-85081055133%29&amp;citeCnt=1&amp;sessionSearchId=99b8082f741fc2eadf57160515506d0c&amp;relpos=0</t>
  </si>
  <si>
    <t>Girjob, CE,  Racz, SG;</t>
  </si>
  <si>
    <t>Study of the Formability of Laminated Lightweight Metallic Materials</t>
  </si>
  <si>
    <t>Blala, H; Lang, LH; Khan, S; Li, L ; Sijia, S; Guelailia, A; Slimane, SA ; Alexandrov, S , Forming challenges of small and complex fiber metal laminate parts in aerospace applications-a review, International Journal of Advanced Manufacturing Technology, 
Volume126Issue5-6Page2509-2543
DOI10.1007/s00170-023-11247-x</t>
  </si>
  <si>
    <t>https://www.webofscience.com/wos/woscc/full-record/WOS:001010684000004</t>
  </si>
  <si>
    <t>G. Hussain, Malik Hassan, Hongyu Wei, J. Buhl, Maohua Xiao, Asif Iqbal, Hamza Qayyum, Asim Ahmed Riaz, Riaz Muhammad, Kostya (Ken) Ostrikov, Advances on Incremental forming of composite materials, Alexandria Engineering Journal
Volume 79, 15 September 2023, Pages 308-336, https://doi.org/10.1016/j.aej.2023.07.045</t>
  </si>
  <si>
    <t>https://www.webofscience.com/wos/woscc/full-record/WOS:001062175900001</t>
  </si>
  <si>
    <t>Marosan A.I.; Constantin G.,Barsan A.; Crenganis M; Girjob C.</t>
  </si>
  <si>
    <t>Khalil, M.R., Mohammed, L.A.,
Yousif, O.N., 	
A novel Ethernet based processing system for remote source harmonic detection, Telkomnika (Telecommunication Computing Electronics and Control) , 21(2), pp. 400–408</t>
  </si>
  <si>
    <t>https://www.scopus.com/record/display.uri?eid=2-s2.0-85147760605&amp;origin=resultslist&amp;sort=plf-f&amp;src=s&amp;sot=mulcite&amp;sdt=mulcite&amp;cluster=scopubyr%2C%222023%22%2Ct&amp;s=REFEID%282-s2.0-85096462148%29&amp;citeCnt=1&amp;sessionSearchId=87f2f3bce63333962a96d0ae77061e3b&amp;relpos=0</t>
  </si>
  <si>
    <t>MO Popp, GP Rusu, IO Popp, CE Gîrjob</t>
  </si>
  <si>
    <t>Hoang, T.-K.; Luyen, T.-T.; Nguyen, D.-T. Enhancing/Improving Forming Limit Curve and Fracture Height Predictions in the Single-Point Incremental Forming of Al1050 Sheet Material. Materials 2023, 16, 7266. https://doi.org/10.3390/ma16237266</t>
  </si>
  <si>
    <t>https://www.scopus.com/record/display.uri?eid=2-s2.0-85179136680&amp;origin=resultslist&amp;sort=plf-f&amp;src=s&amp;sid=882a77c0cb227fa7dd78c84d22e0694a&amp;sot=b&amp;sdt=b&amp;s=TITLE-ABS-KEY%28Enhancing%2FImproving+Forming+Limit+Curve+and+Fracture+Height+Predictions+in+the+Single-Point+Incremental+Forming+of+Al1050+Sheet+Material%29&amp;sl=151&amp;sessionSearchId=882a77c0cb227fa7dd78c84d22e0694a&amp;relpos=0</t>
  </si>
  <si>
    <t>Sccopus</t>
  </si>
  <si>
    <t>Racz S.G., Breaz R.E., Tera M., Girjob C., Biris C., Chicea A.L., Bologa O.</t>
  </si>
  <si>
    <t>Incremental forming of titanium Ti6Al4V alloy for cranioplasty plates—decision-making process and technological approaches</t>
  </si>
  <si>
    <t>Jindal, P., Bharadwaja, Shreerama Shiva Sai, Rattra, Shubham, Chaitanya, Shubham, Gupta, Vipin, Breedon, Philip, Reinwald, Yvonne, Send mail to Reinwald Y.,Juneja, Mamta, Designing cranial fixture shapes and topologies for optimizing PEEK implant thickness in cranioplasty, Proceedings of the Institution of Mechanical Engineers, Part L: Journal of Materials: Design and ApplicationsVolume 237, Issue 8, Pages 1752 - 1770, DOI
10.1177/1464420723115576</t>
  </si>
  <si>
    <t>https://www.scopus.com/record/display.uri?eid=2-s2.0-85147781149&amp;citeCnt=3_DELIM_3_DELIM_CTODS_1696722914_DELIM_1&amp;origin=resultslist&amp;sort=plf-f&amp;refeid=2-s2.0-85051457933&amp;src=s&amp;imp=t&amp;sid=0278a4676a8cbda1b3e71ddf16b8c6a6&amp;sot=ctocbw&amp;sdt=a&amp;sl=42&amp;s=PUBYEAR+IS+2023+AND+NOT+AU-ID%2835193491700%29&amp;relpos=1&amp;citeCnt=1&amp;searchTerm=</t>
  </si>
  <si>
    <t>Tuninetti V., Oñate A., Valenzuela M., Sepúlveda H., Pincheira G., Medina C.,García-Herrera C., Duchêne L.,
Habraken A.M., Characterization approaches affect asymmetric load predictions of hexagonal close-packed alloy, Journal of Materials Research and TechnologyOpen AccessVolume 26, Pages 5028 - 5036, DOI
10.1016/j.jmrt.2023.08.255</t>
  </si>
  <si>
    <t>https://www.scopus.com/record/display.uri?eid=2-s2.0-85169978423&amp;citeCnt=3_DELIM_3_DELIM_CTODS_1696722914_DELIM_1&amp;origin=resultslist&amp;sort=plf-f&amp;refeid=2-s2.0-85051457933&amp;src=s&amp;imp=t&amp;sid=6fd1e8f3e35b44fd36a6a66781463e49&amp;sot=ctocbw&amp;sdt=a&amp;sl=42&amp;s=PUBYEAR+IS+2023+AND+NOT+AU-ID%2835193491700%29&amp;relpos=0&amp;citeCnt=0&amp;searchTerm=</t>
  </si>
  <si>
    <t>Yu Lei , Jin-Ling Zhu, Lina Zhang, Shun-Xin Liang, Jun Cheng, Liang-Yu Chen, Passivation Behavior of Water-Quenched and Heat-Treated Ti–6Al–4V in Hank's Solution, Advanced Engineering Materials, 08.2023 https://doi.org/10.1002/adem.202300754</t>
  </si>
  <si>
    <t>https://www.webofscience.com/wos/woscc/full-record/WOS:001050245400001</t>
  </si>
  <si>
    <t>Tera, M; Breaz, RE; Racz, SG; Girjob, CE</t>
  </si>
  <si>
    <t>Processing strategies for single point incremental forming-a CAM approach</t>
  </si>
  <si>
    <t>Wen, L.; Li, Y.; Zheng, S.; Xu, H.; Liu, Y.; Yuan, Q.; Zhang, Y.; Wu, H.; Shen, Y.; Kong, J.; et al. Study on Deformation Force of Hard Aluminum Alloy Incremental Forming. Coatings 2023, 13, 571. https://doi.org/10.3390/coatings13030571</t>
  </si>
  <si>
    <t>https://www.webofscience.com/wos/woscc/full-record/WOS:000955202300001</t>
  </si>
  <si>
    <t>Tera, Melania; Breaz, Radu-Eugen
; Racz, Sever-Gabriel; Girjob, Claudia-Emilia</t>
  </si>
  <si>
    <t>P Ginestra, A Piccininni, AG Demir, Conventional and Innovative Aspects of Bespoke Metal Implants Production, Lecture Notes in Mechanical Engineering
, Part F1351, pp. 179–217</t>
  </si>
  <si>
    <t>https://link.springer.com/chapter/10.1007/978-3-031-41163-2_11</t>
  </si>
  <si>
    <t>Springer, Scopus</t>
  </si>
  <si>
    <t>Wen, L., Li, Y., Zheng, S.
,Kong, J., Wei, H., 	
Study on Deformation Force of Hard Aluminum Alloy Incremental Forming, Coatings
, 13(3), 571</t>
  </si>
  <si>
    <t>https://www.scopus.com/record/display.uri?eid=2-s2.0-85152426559&amp;origin=resultslist&amp;sort=plf-f&amp;src=s&amp;sot=mulcite&amp;sdt=mulcite&amp;cluster=scopubyr%2C%222023%22%2Ct&amp;s=REFEID%282-s2.0-85060104304%29&amp;citeCnt=1&amp;sessionSearchId=e74efa1906547902d756294ea26ae890&amp;relpos=0</t>
  </si>
  <si>
    <r>
      <rPr>
        <rFont val="Arial Narrow"/>
        <color theme="1"/>
        <sz val="10.0"/>
      </rPr>
      <t xml:space="preserve">Allouzi M. A. </t>
    </r>
    <r>
      <rPr>
        <rFont val="Arial Narrow"/>
        <i/>
        <color theme="1"/>
        <sz val="10.0"/>
      </rPr>
      <t>et al</t>
    </r>
    <r>
      <rPr>
        <rFont val="Arial Narrow"/>
        <color theme="1"/>
        <sz val="10.0"/>
      </rPr>
      <t>., Design Changes, Saving Materials and Energy in Food Serving Robot Via Topology Optimization, </t>
    </r>
    <r>
      <rPr>
        <rFont val="Arial Narrow"/>
        <i/>
        <color theme="1"/>
        <sz val="10.0"/>
      </rPr>
      <t>2023 IEEE 19th International Conference on Automation Science and Engineering (CASE)</t>
    </r>
    <r>
      <rPr>
        <rFont val="Arial Narrow"/>
        <color theme="1"/>
        <sz val="10.0"/>
      </rPr>
      <t>, Auckland, New Zealand, 2023, pp. 1-6, doi: 10.1109/CASE56687.2023.10260438.</t>
    </r>
  </si>
  <si>
    <t>https://www.scopus.com/record/display.uri?eid=2-s2.0-85174393239&amp;origin=resultslist&amp;sort=plf-f&amp;src=s&amp;sid=9295953d58d9a2d1ff5dcf795f6fb32a&amp;sot=b&amp;sdt=b&amp;s=DOI%2810.1109%2FCASE56687.2023.10260438%29&amp;sl=106&amp;sessionSearchId=9295953d58d9a2d1ff5dcf795f6fb32a&amp;relpos=0</t>
  </si>
  <si>
    <t xml:space="preserve">Scopus </t>
  </si>
  <si>
    <t>https://www.scopus.com/record/display.uri?eid=2-s2.0-85183926961&amp;origin=resultslist&amp;sort=plf-f&amp;cite=2-s2.0-85174393239&amp;refeid=2-s2.0-85145357772&amp;src=s&amp;imp=t&amp;sid=daea1e91b4ae0af8cec846dbb1205fe9&amp;sot=cite&amp;sdt=a&amp;sl=0&amp;relpos=0&amp;citeCnt=0&amp;searchTerm=</t>
  </si>
  <si>
    <t>WoS, WOS:000875708100002</t>
  </si>
  <si>
    <t>CHICEA Radu (Faculty of Medicine, LBUS), BRATU Dan (Faculty of Medicine, LBUS), CHICEA Anca Lucia (Faculty of Medicine, LBUS), MIHETIU Alin (Faculty of Medicine, LBUS), PRELUCA Vlad (Faculty of Medicine, LBUS), TANTAR Cristian (Faculty of Medicine, LBUS), SAVA Mihai (Faculty of Medicine, LBUS)</t>
  </si>
  <si>
    <t>A comparative Histologic and Immunohistochemistry Evaluation
Between Normal Aponeurotic Tissue, Fibrotic Aponeurotic Scars and
Polypropylene Embedded Aponeurotic Scars</t>
  </si>
  <si>
    <t xml:space="preserve">Alius Catalin, Serban Dragos, Bratu Dan Georgian, Tribus Laura Carina, Vancea Geta, Stoica Paul Lorin, Motofei Ion, Tudor Corneliu, Serboiu Crenguta, Costea Daniel Ovidiu, Serban Bogdan, Dascalu Ana Maria, Tanasescu Ciprian, Geavlete Bogdan, Cristea Bogdan Mihai. When Critical View of Safety Fails: A Practical Perspective on Difficult Laparoscopic Cholecystectomy.  Medicina 2023, 59(8), 1491; https://doi.org/10.3390/medicina59081491 </t>
  </si>
  <si>
    <t>https://www.mdpi.com/1648-9144/59/8/1491</t>
  </si>
  <si>
    <t>Scilit</t>
  </si>
  <si>
    <t>DASCALU Ana Maria; CHERECHEANU Alina Popa; SERBAN, Dragos; ALEXANDRESCU Cristina; STANA Daniela; COSTEA Andreea Cristina; TRIBUS Laura Carina; TANASESCU Denisa; SMARANDACHE Catalin Gabriel; CRISTEA Bogdan Mihai; ALIUS Catalin; SERBOIU Crenguta; COMANDASU Meda; TUDOR Corneliu; MOROIANU Lavinia Alexandra; BRATU Dan Georgian. Combined anti-ANG2/TIE and ANTI-VEGF Intravitreal therapy in age-related macular degeneration - a systematic review. Farmacia, 2023, Vol 71, Issue 6, p1120; doi: 10.31925/farmacia.2023.6.2</t>
  </si>
  <si>
    <t>https://openurl.ebsco.com/EPDB%3Agcd%3A4%3A22774868/detailv2?sid=ebsco%3Aplink%3Ascholar&amp;id=ebsco%3Agcd%3A174700442&amp;crl=c</t>
  </si>
  <si>
    <t xml:space="preserve">Serban Dragos, Stoica Paul Lorin, Dascalu Ana Maria, Bratu Dan Georgian, Cristea Bogdan Mihai, Alius Catalin, Motofei Ion, Tudor Corneliu, Tribus Laura Carina, Serboiu Crenguta, Tudosie Mihail Silviu, Tanasescu Denisa, Vancea Geta, Costea Daniel Ovidiu. The Significance of Preoperative Neutrophil-to-Lymphocyte Ratio (NLR), Platelet-to-Lymphocyte Ratio (PLR), and Systemic Inflammatory Index (SII) in Predicting Severity and Adverse Outcomes in Acute Calculous Cholecystitis.  J. Clin. Med. 2023, 12(21), 6946; https://doi.org/10.3390/jcm12216946 </t>
  </si>
  <si>
    <t>https://www.mdpi.com/2077-0383/12/21/6946</t>
  </si>
  <si>
    <t>Constantin George (Faculty of Industrial Engineering and Robotics, University Politehnica of Bucharest), Marosan Iosif-Adrian (Engineering Faculty, LBUS), Crenganis Mihai (Engineering Faculty, LBUS), Botez Corina (Department of Engineering Graphics and Industrial Design, Faculty of Aerospace Engineering, University Politehnica of Bucharest), Girjob Claudia-Emilia (Engineering Faculty, LBUS), Biris Cristina-Maria (Engineering Faculty, LBUS), Chicea Anca Lucia (Engineering Faculty, LBUS), Barsan Alexandru (Engineering Faculty, LBUS)</t>
  </si>
  <si>
    <t xml:space="preserve">Monitoring the Current Provided by a Hall Sensor Integrated in a Drive Wheel Module of a Mobile Robot </t>
  </si>
  <si>
    <t xml:space="preserve">Sathian Pookkuttath, Povendhan Arthanaripalayam Palanisamy, Mohan Rajesh Elara. AI-Enabled Condition Monitoring Framework for Outdoor Mobile Robots Using 3D LiDAR Sensor.  Mathematics 2023, 11(16), 3594; https://doi.org/10.3390/math11163594 </t>
  </si>
  <si>
    <t xml:space="preserve">Sathian Pookkuttath, Raihan Enjikalayil Abdulkader, Mohan Rajesh Elara, Prabakaran Veerajagadheswar. AI-Enabled Vibrotactile Feedback-Based Condition Monitoring Framework for Outdoor Mobile Robots.  Mathematics 2023, 11(18), 3804; https://doi.org/10.3390/math11183804 </t>
  </si>
  <si>
    <t xml:space="preserve">Gou X, Tang Z, Gao Y, Chen K, Wang H. Current-Sensing Topology with Multi Resistors in Parallel and Its Protection Circuit.  Appl. Sci. 2023, 13(14), 8382; https://doi.org/10.3390/app13148382 </t>
  </si>
  <si>
    <t>CHICEA Radu (Lucian Blaga University of Sibiu, Faculty of Medicine), CHICEA Anca Lucia (Lucian Blaga University of Sibiu, Faculty of Medicine), MIHETIU Alin (Lucian Blaga University of Sibiu, Faculty of Medicine), TANTAR Cristian Alexandru (Lucian Blaga University of Sibiu, Faculty of Medicine), CERNUSCA MITARIU Mihaela Maria (Lucian Blaga University of Sibiu, Faculty of Medicine), CERNUSCA MITARIU Sebastian Ioan (Lucian Blaga University of Sibiu, Faculty of Medicine), ROMAN Corina (Lucian Blaga University of Sibiu, Faculty of Medicine), COMANEANU Raluca Monica (Titu Maiorescu University of Bucharest,Faculty of Dental Medicine), BRATU Dan (Lucian Blaga University of Sibiu, Faculty of Medicine), MANEA Marinela Minodora (UMF Iuliu Hatieganu Cluj Napoca)</t>
  </si>
  <si>
    <t>Comparative Study Between Tissues Induced Immunohistochemical
Changes of Thread Granulomas and Textile Allografts</t>
  </si>
  <si>
    <t>Dan Bratu, Alin Mihetiu, Alexandra Sandu, Crenguta Serboiu, Corneliu Tudor, Laurentiu Simion, Dragos Cretoiu, Florin Bobirca, Dragos Davitoiu, Bogdan Serban, Claudiu Eduard Nistor. Is open surgery still part of the current treatment of inguinal hernias? Journal of Mind and Medical Sciences: Vol. 10: Iss. 2, Article 19, 2023
DOI: https://doi.org/10.22543/2392-7674.1413</t>
  </si>
  <si>
    <t>https://scholar.valpo.edu/cgi/viewcontent.cgi?article=1413&amp;context=jmms</t>
  </si>
  <si>
    <t>Wos, Clarivate Analytics</t>
  </si>
  <si>
    <t xml:space="preserve">BOAIANU, P. V. H., TUTUIANU, F., RADOI, C., LADANYI, E., &amp; BOAIANU, A. M. V. (2023). Early Outcome after Sublay versus Onlay Polypropylene Mesh Repair for Ventral Midline Incisional Hernia - A Single Center Retrospective Analysis. Chirurgia, 118(6), 673-679. https://doi.org/10.21614/chirurgia.2023.v.118.i.6.p.673 </t>
  </si>
  <si>
    <t xml:space="preserve">https://doi.org/10.21614/chirurgia.2023.v.118.i.6.p.673 </t>
  </si>
  <si>
    <t>WOS:001171060600011</t>
  </si>
  <si>
    <t>Dobrota Dan (Faculty of Engineering, LBUS), Oleksik Mihaela (Faculty of Engineering, LBUS), Chicea Anca Lucia (Faculty of Engineering, LBUS)</t>
  </si>
  <si>
    <t xml:space="preserve">Ecodesign of the Aluminum Bronze Cutting Process </t>
  </si>
  <si>
    <t xml:space="preserve">Lazar Sergiu, Dobrota Dan, Breaz Radu-Eugen, Racz Sever-Gabriel. Eco-Design of Polymer Matrix Composite Parts: A Review.  Polymers 2023, 15(17), 3634; https://doi.org/10.3390/polym15173634 </t>
  </si>
  <si>
    <t>Wos, Scopus,Scilit</t>
  </si>
  <si>
    <t>Micu Romeo (Obstetrics and Gynecology, Mother and Child Department, “Iuliu Hatieganu” University of Medicine and Pharmacy
Cluj-Napoca), Chicea Anca Lucia (Department of Obstetrics and Gynecology,“Lucian Blaga” University Sibiu, Romania), Bratu Dan Georgian (Department of Obstetrics and Gynecology,“Lucian Blaga” University Sibiu, Romania), Nita Paula (Department of Obstetrics and Gynecology,“Lucian Blaga” University Sibiu, Romania), Nemeti Georgiana (Obstetrics and Gynecology, Mother and Child Department, “Iuliu Hatieganu” University of Medicine and Pharmacy
Cluj-Napoca), Chicea Radu (Department of Obstetrics and Gynecology,“Lucian Blaga” University Sibiu, Romania)</t>
  </si>
  <si>
    <t>Ultrasound and magnetic resonance imaging in the prenatal diagnosis
of open spina bifida</t>
  </si>
  <si>
    <t>Robin M. Bowman, Ji Yeoun Lee, Jeyul Yang, Kyung Hyun Kim &amp; Kyu-Chang Wang. Myelomeningocele: the evolution of care over the last 50 years. Child's Nervous System (2023) 39:2829–2845
https://doi.org/10.1007/s00381-023-06057-1</t>
  </si>
  <si>
    <t>https://link.springer.com/article/10.1007/s00381-023-06057-1</t>
  </si>
  <si>
    <t>Julia König, Anja Rahn, Jana Schätzel, Marcus Frank, Thomas Stahnke, Martin Witt, Angrit Stachs, Oliver Stachs, Inga Langner, Tobias Lindner, Ebba Beller, Dagmar-C. Fischer, Felix Streckenbach. Effects of prenatal Doppler ultrasound on the retina of the chick embryo in ovo.  Anatomia Histologia Embryologia; Volume52, Issue6, November 2023, Pages 1003-1009;
https://doi.org/10.1111/ahe.12960</t>
  </si>
  <si>
    <t>https://onlinelibrary.wiley.com/doi/10.1111/ahe.12960</t>
  </si>
  <si>
    <t>Wos, Scopus, Clarivate Analytics</t>
  </si>
  <si>
    <t xml:space="preserve">CACERES, A., JIMENEZ-CHAVERRI, A. L., ALPIZAR-QUIROS, P. A., &amp; WONG-MCCLURE, R. (2023). Pre and postnatal care characteristics and management features of children born with myelomeningocele in the post-folate fortification era of staple foods in Costa Rica (2004-2022). Childs Nervous System, 39(7), 1755-1764. https://doi.org/10.1007/s00381-023-05951-y </t>
  </si>
  <si>
    <t>https://link.springer.com/article/10.1007/s00381-023-05951-y</t>
  </si>
  <si>
    <t>WOS:000980356600001.</t>
  </si>
  <si>
    <t>Grigore Mihaela (Department of Obstetrics and Gynecology, “Grigore T. Popa” University of Medicine and Pharmacy Iasi), Micu Romeo (Department of Obstetrics and Gynecology, “Iuliu Hatieganu” University of Medicine and Pharmacy Cluj), Matasariu Roxana (Department of Obstetrics and Gynecology, “Grigore T. Popa” University of Medicine and Pharmacy Iasi), Duma Odetta (Department of Epide-
miology, “Grigore T. Popa” University of Medicine and Pharmacy Iasi), Chicea Anca Lucia (Department of Obstetrics and Gynecology,
University of Medicine “Lucian Blaga”, Sibiu, Romania), Chicea Radu (Department of Obstetrics and Gynecology, University of Medicine “Lucian Blaga”, Sibiu, Romania)</t>
  </si>
  <si>
    <t>Cantrell syndrome in the first trimester of pregnancy:
imagistic findings and literature review</t>
  </si>
  <si>
    <t>Jianyi Liao, Hongjuan Huang, Xin Li. Surgical treatment of neonatal Cantrell pentalogy: a case report and literature review. AME Case Rep. 2023; 7: 22.
Published online 2023 Jul 12. doi: 10.21037/acr-23-14</t>
  </si>
  <si>
    <t>https://www.webofscience.com/wos/woscc/full-record/WOS:001026131200001</t>
  </si>
  <si>
    <t>Wos , Scopus, PubMed, ESCI</t>
  </si>
  <si>
    <t xml:space="preserve">Wilmar Saldarriaga, Laura Ramírez, Juan E. Vidal, John C. Cleves. Cantrells pentalogy diagnosed in the first trimester: case report.Rev. chil. obstet. gincol. vol.88 no.4 Santiago ago. 2023
http://dx.doi.org/10.24875/rechog.22000050
</t>
  </si>
  <si>
    <t>https://www.scopus.com/record/display.uri?eid=2-s2.0-85173276710&amp;origin=resultslist&amp;sort=plf-f&amp;src=s&amp;sot=mulcite&amp;sdt=mulcite&amp;cluster=scopubyr%2C%222023%22%2Ct&amp;s=REFEID%282-s2.0-85084693074%29&amp;citeCnt=1&amp;sessionSearchId=e19f17c5d348bdcc34e9ba8f463933bd&amp;relpos=0</t>
  </si>
  <si>
    <t>Wos, Scopus SciELO, Google Scholar</t>
  </si>
  <si>
    <t>Parikh, P., Sharma, A., 
Trivedi, R., Roy, D.,
Joshi, K.,  Performance evaluation of an indigenously-designed high performance dynamic feeding robotic structure using advanced additive manufacturing technology, machine learning and robot kinematics.” International Journal on Interactive Design and Manufacturing (IJIDeM), 2023, DOI:10.1007/s12008-023-01513-3, WOS:001077399400002</t>
  </si>
  <si>
    <t xml:space="preserve">	Nugroho, E.A., Setiawan, J.D., Munadi, M., Handling Four DOF Robot to Move Objects Based on Color and Weight using Fuzzy Logic Control, Journal of Robotics and Control (JRC), Volume 4, Issue 6, Pages 769 - 779, 2023, DOI
10.18196/jrc.v4i6.20087</t>
  </si>
  <si>
    <t>Rusu D.M., Mândru S.D. , Biriș C.M. , Petrașcu O.L. , Morariu F., Ianosi- Andreeva-Dimitrova A.</t>
  </si>
  <si>
    <r>
      <rPr>
        <rFont val="Arial Narrow"/>
        <color theme="1"/>
        <sz val="10.0"/>
      </rPr>
      <t>Petrașcu, R.M.; Racz, S.-G.; Rusu, D.-M. Mapping Smart Materials’ Literature: An Insight between 1990 and 2022. </t>
    </r>
    <r>
      <rPr>
        <rFont val="Arial Narrow"/>
        <i/>
        <color theme="1"/>
        <sz val="10.0"/>
      </rPr>
      <t>Sustainability</t>
    </r>
    <r>
      <rPr>
        <rFont val="Arial Narrow"/>
        <color theme="1"/>
        <sz val="10.0"/>
      </rPr>
      <t> 2023, </t>
    </r>
    <r>
      <rPr>
        <rFont val="Arial Narrow"/>
        <i/>
        <color theme="1"/>
        <sz val="10.0"/>
      </rPr>
      <t>15</t>
    </r>
    <r>
      <rPr>
        <rFont val="Arial Narrow"/>
        <color theme="1"/>
        <sz val="10.0"/>
      </rPr>
      <t>, 15143. https://doi.org/10.3390/su152015143</t>
    </r>
  </si>
  <si>
    <t>Nguyen, V.P.; Dhyan, S.B.; Mai, V.; Han, B.S.; Chow, W.T. Bioinspiration and Biomimetic Art in Robotic Grippers. Micromachines 2023, 14, 1772. https://doi.org/10.3390/mi14091772</t>
  </si>
  <si>
    <t>https://www.webofscience.com/wos/woscc/full-record/WOS:001078457700001</t>
  </si>
  <si>
    <t>WoS,Scopus</t>
  </si>
  <si>
    <t>Usman Fahad , Kamarul Hawari Ghazali, Razali Muda, Nasrul Hadi Johari, John Ojur Dennis, Nissren Tamam, Abdelmoneim Sulieman, Yuanfa Ji, Magnetoresistance and magneto-plasmonic sensors for the detection of cancer biomarkers: A bibliometric analysis and recent advances, Sensors and Actuators Reports, Article number 100172, DOI
10.1016/j.snr.2023.100172</t>
  </si>
  <si>
    <t>https://www.webofscience.com/wos/woscc/full-record/WOS:001078277300001</t>
  </si>
  <si>
    <t xml:space="preserve"> Wos, Scopus, Elsevier</t>
  </si>
  <si>
    <t>Roh Yeonwook, Youngseok Lee, Daseul Lim, Dohyeon Gong, Suhyeon Hwang, Minji Kang, Dohyung Kim, Junggwang Cho, Gibeom Kwon, Daeshik Kang, Seungyong Han, Seung Hwan Ko, Nature's Blueprint in Bioinspired Materials for Robotics, Advanced Functional Materials, DOI
10.1002/adfm.202306079</t>
  </si>
  <si>
    <t>https://www.webofscience.com/wos/woscc/full-record/WOS:001051665200001</t>
  </si>
  <si>
    <t>Rusu D.M., Petrașcu O.L. , Pascu A.M. Mândru S.D.,  The Influence of Industrial Environmental Factors on Soft Robot Materials, Materials, Vol.16 (8), art.no. 2948, 2023, WOS:000983142400001</t>
  </si>
  <si>
    <t>Bo, Y., Wang, H., Niu, H., (...), Yang, H., Niu, F., Advancements in materials, manufacturing, propulsion and localization: propelling soft robotics for medical applications, Frontiers in Bioengineering and Biotechnology
11,1327441, DOI
10.3389/fbioe.2023.1327441</t>
  </si>
  <si>
    <t>https://www.webofscience.com/wos/woscc/full-record/WOS:001147763300001</t>
  </si>
  <si>
    <t>Caceres-Suazo, M.A., Reyes-Duke, A.M., Design and Development of Soft Actuator for Handling Chemical Laboratory Instrumentation and IoT Monitoring, Proceedings of 2023 IEEE Central America and Panama Student Conference, CONESCAPAN 2023
pp. 139-144,, DOI
10.1109/CONESCAPAN60431.2023.10328432</t>
  </si>
  <si>
    <t>https://ieeexplore.ieee.org/document/10328432</t>
  </si>
  <si>
    <t>Scopus, IEEE Xplore</t>
  </si>
  <si>
    <t>Zakaryan, N., Harutyunyan, M., Sargsyan, Y., , Conceptual Mechanical Design and Control of Novel Human Spine Inspired Multi-articular Robotic Manipulators, Mechanisms and Machine Science
148, pp. 448-457, DOI
10.1007/978-3-031-45770-8_45</t>
  </si>
  <si>
    <t>https://link.springer.com/chapter/10.1007/978-3-031-45770-8_45</t>
  </si>
  <si>
    <t>Scopus, Springer</t>
  </si>
  <si>
    <t>https://www.webofscience.com/wos/woscc/full-record/WOS:001074003700001</t>
  </si>
  <si>
    <t xml:space="preserve">Tera M., Biris C. </t>
  </si>
  <si>
    <t>Comparison between deep-drawing and incremental forming processes from an environmental point of view, Materials Science ForumVolume 957 MSF, Pages 120 - 1292019, DOI
10.4028/www.scientific.net/MSF.957.120</t>
  </si>
  <si>
    <t>Bhaskerr R.S.;
Kumar Y., Process capabilities and future scope of Incremental Sheet Forming (ISF), Materials Today: ProceedingsVolume 72, Pages 1014 - 1019, DOI
10.1016/j.matpr.2022.09.120</t>
  </si>
  <si>
    <t>https://www.scopus.com/record/display.uri?eid=2-s2.0-85138144718&amp;citeCnt=2_DELIM_2_DELIM_CTODS_1696722914_DELIM_1&amp;origin=resultslist&amp;sort=plf-f&amp;refeid=2-s2.0-85070978574&amp;src=s&amp;imp=t&amp;sid=26f279b3f2f3114746a88c48f1184e46&amp;sot=ctocbw&amp;sdt=a&amp;sl=42&amp;s=PUBYEAR+IS+2023+AND+NOT+AU-ID%2835193491700%29&amp;relpos=1&amp;citeCnt=3&amp;searchTerm=</t>
  </si>
  <si>
    <t>Agrawal Manoj Kumar, Pavitra Singh, Pawan Mishra, Rupak Kumar Deb, Kahtan A. Mohammed, Sandeep Kumar &amp; Gaurav Kumar (2023) A brief review on the perspective of a newer incremental sheet forming technique and its usefulness, Advances in Materials and Processing Technologies, DOI: 10.1080/2374068X.2023.2168288</t>
  </si>
  <si>
    <t>https://www.scopus.com/record/display.uri?eid=2-s2.0-85147013358&amp;citeCnt=2_DELIM_2_DELIM_CTODS_1696722914_DELIM_1&amp;origin=resultslist&amp;sort=plf-f&amp;refeid=2-s2.0-85070978574&amp;src=s&amp;imp=t&amp;sid=26f279b3f2f3114746a88c48f1184e46&amp;sot=ctocbw&amp;sdt=a&amp;sl=42&amp;s=PUBYEAR+IS+2023+AND+NOT+AU-ID%2835193491700%29&amp;relpos=0&amp;citeCnt=0&amp;searchTerm=</t>
  </si>
  <si>
    <t>Popp M.O., Rusu G.P., Oleksik V., Biris C.</t>
  </si>
  <si>
    <t xml:space="preserve">Influence of vertical step on forces and dimensional accuracy of SPIF parts - A numerical investigation, IOP Conference Series: Materials Science and Engineering, </t>
  </si>
  <si>
    <t>Bârsan, A., Racz, S.-G., Breaz, R., Crenganis, M., Evaluation of the dimensional accuracy through 3D optical scanning in incremental sheet forming, Materials Today: Proceedings
93, pp. 594-598, DOI
10.1016/j.matpr.2023.03.175</t>
  </si>
  <si>
    <t>https://www.sciencedirect.com/science/article/pii/S2214785323012178?pes=vor</t>
  </si>
  <si>
    <r>
      <rPr>
        <rFont val="Arial Narrow"/>
        <color theme="1"/>
        <sz val="10.0"/>
      </rPr>
      <t xml:space="preserve">Allouzi M. A. </t>
    </r>
    <r>
      <rPr>
        <rFont val="Arial Narrow"/>
        <i/>
        <color theme="1"/>
        <sz val="10.0"/>
      </rPr>
      <t>et al</t>
    </r>
    <r>
      <rPr>
        <rFont val="Arial Narrow"/>
        <color theme="1"/>
        <sz val="10.0"/>
      </rPr>
      <t>., Design Changes, Saving Materials and Energy in Food Serving Robot Via Topology Optimization, </t>
    </r>
    <r>
      <rPr>
        <rFont val="Arial Narrow"/>
        <i/>
        <color theme="1"/>
        <sz val="10.0"/>
      </rPr>
      <t>2023 IEEE 19th International Conference on Automation Science and Engineering (CASE)</t>
    </r>
    <r>
      <rPr>
        <rFont val="Arial Narrow"/>
        <color theme="1"/>
        <sz val="10.0"/>
      </rPr>
      <t>, Auckland, New Zealand, 2023, pp. 1-6, doi: 10.1109/CASE56687.2023.10260438.</t>
    </r>
  </si>
  <si>
    <t>Matran, IM (UMFST TG. MUREȘ); Matran, C (ULBS); Tarcea, M (UMFST TG. MUREȘ)</t>
  </si>
  <si>
    <r>
      <rPr>
        <rFont val="Arial Narrow"/>
        <color theme="1"/>
        <sz val="10.0"/>
      </rPr>
      <t xml:space="preserve">Seo, SJ; Das, G; Shin, HS; Patra, JK - </t>
    </r>
    <r>
      <rPr>
        <rFont val="Arial Narrow"/>
        <i/>
        <color theme="1"/>
        <sz val="10.0"/>
      </rPr>
      <t>Silk Sericin Protein Materials: Characteristics and Applications in Food</t>
    </r>
    <r>
      <rPr>
        <rFont val="Arial Narrow"/>
        <color theme="1"/>
        <sz val="10.0"/>
      </rPr>
      <t>-</t>
    </r>
    <r>
      <rPr>
        <rFont val="Arial Narrow"/>
        <i/>
        <color theme="1"/>
        <sz val="10.0"/>
      </rPr>
      <t>Sector Industries</t>
    </r>
    <r>
      <rPr>
        <rFont val="Arial Narrow"/>
        <color theme="1"/>
        <sz val="10.0"/>
      </rPr>
      <t xml:space="preserve">, INTERNATIONAL JOURNAL OF MOLECULAR SCIENCES </t>
    </r>
  </si>
  <si>
    <t>https://www.webofscience.com/wos/woscc/full-record/WOS:000947996800001</t>
  </si>
  <si>
    <t>WoS
https://www.webofscience.com/wos/woscc/full-record/WOS:000947996800001</t>
  </si>
  <si>
    <t>Matran, IM; Tarcea, M; Rus, DC; Voda, R; Muntean, DL; Cirnatu, D - Research and Development of a New Sustainable Functional Food under the Scope of Nutrivigilance,</t>
  </si>
  <si>
    <t>https://www.webofscience.com/wos/woscc/full-record/WOS:000987820600001</t>
  </si>
  <si>
    <t>WoS
https://www.webofscience.com/wos/woscc/full-record/WOS:000987820600001</t>
  </si>
  <si>
    <t>Cosmin Preda, Bleotu Robert Marian</t>
  </si>
  <si>
    <t>Modeling and Analysis of Thermal Behaviour for Brake Discs</t>
  </si>
  <si>
    <t xml:space="preserve">	
Kayıran, H.F., 	
Rotating brake discs with carbon laminated composite and e-glass epoxy material: a mathematical modeling, Iranian Polymer Journal (English Edition)
, 32(4), pp. 457–468, DOI
10.1007/s13726-022-01138-5, </t>
  </si>
  <si>
    <t>Scopus - Document details - Rotating brake discs with carbon laminated composite and e-glass epoxy material: a mathematical modeling | Signed in</t>
  </si>
  <si>
    <t>Pasqualotto, R (Consorzio RFX); Tojo, H (Natl Inst Quantum &amp; Radiol Sci &amp; Technol QST); Nardino, V. (Natl Res Council CNR, Inst Appl Phys Nello Carrara, IFAC); Soare, S ()Univ Lucian Blaga Sibiu</t>
  </si>
  <si>
    <t>Conceptual design of JT-60SA edge Thomson scattering diagnostic</t>
  </si>
  <si>
    <t>Performance of JT-60SA Thomson Scattering data analysis system</t>
  </si>
  <si>
    <t>https://www.webofscience.com/wos/woscc/full-record/WOS:001197246000001</t>
  </si>
  <si>
    <t>Design and characterization of the polychromators for JT-60SA Thomson scattering systems</t>
  </si>
  <si>
    <t>https://www.webofscience.com/wos/woscc/full-record/WOS:000948826200001</t>
  </si>
  <si>
    <t>A Bucur (ULBS), G Dobrotă (Constantin Brâncusi University of Târgu-Jiu), O Dumitraşcu (ULBS)</t>
  </si>
  <si>
    <t>Implications of fiscal pressure on the sustainability of the equilibrium and performance of companies. Evidences in the rubber and plastic industry from Romania</t>
  </si>
  <si>
    <t>Ümit Şengel, Merve Işkın, Mustafa Çevrimkaya, Gökhan Genç, Fiscal and monetary policies supporting the tourism industry during COVID-19,  Journal of Hospitality and Tourism Insights, Vol. 6 No. 4, pp. 1485-1501.</t>
  </si>
  <si>
    <t>https://doi.org/10.1108/JHTI-08-2021-0209</t>
  </si>
  <si>
    <t>CM HILA (ULBS), O DUMITRAŞCU (ULBS)</t>
  </si>
  <si>
    <t>Outsourcing within a supply chain management framework</t>
  </si>
  <si>
    <t>Mohammed Alkahtani, Lofti Hidri and Mehdi Mrad, Multi-Stage Production and Process Outsourcing in Automobile-Part Supply Chain Considering a Carbon Tax Strategy Using Sequential Quadratic Optimization Technique,  Mathematics 2023, 11(5), 1191</t>
  </si>
  <si>
    <t>https://doi.org/10.3390/math11051191</t>
  </si>
  <si>
    <t>Dumitrascu, O. (ULBS); Dumitrascu, M. (ULBS); Dobrotǎ, D. (ULBS)</t>
  </si>
  <si>
    <t>Performance Evaluation for a Sustainable Supply Chain Management System in the Automotive Industry Using Artificial Intelligence. Processes 2020, 8, 1384. https://doi.org/10.3390/pr8111384</t>
  </si>
  <si>
    <t>Ali S.I., Kalaivaani P.T., Ambigaipriya S., Rafeeq M.D. Evaluation of AI model performance,  Toward Artificial General Intelligence: Deep Learning, Neural Networks, Generative AI, pp. 125-144.</t>
  </si>
  <si>
    <t>https://www.degruyter.com/document/doi/10.1515/9783111323749-006/html</t>
  </si>
  <si>
    <t>Chauhan, S.; Singh, R.; Gehlot, A.; Akram, S.V.; Twala, B.; Priyadarshi, N. Digitalization of Supply Chain Management with Industry 4.0 Enabling Technologies: A Sustainable Perspective. Processes 2023, 11, 96. https://doi.org/10.3390/pr11010096</t>
  </si>
  <si>
    <t>https://www.mdpi.com/2227-9717/11/1/96</t>
  </si>
  <si>
    <t>wos</t>
  </si>
  <si>
    <t>Eisha Mehta Sharma and Bikram Jit Singh, Unleashing a DMAIC-roadmap for sustainable deployment of 'AI' in Indian automobile supply chains, International Journal of Internet Manufacturing and Services, Volume 9, Issue 2-3, 2023</t>
  </si>
  <si>
    <t>https://www.inderscienceonline.com/doi/abs/10.1504/IJIMS.2023.132744</t>
  </si>
  <si>
    <t>Guzman, Luis Amador, et al. "Description of Artificial Intelligence Models in Sustainable Water Resource Management." Management, Technology, and Economic Growth in Smart and Sustainable Cities, edited by Jorge A. Ruiz-Vanoye, IGI Global, 2023, pp. 191-217. https://doi.org/10.4018/979-8-3693-0373-3.ch012</t>
  </si>
  <si>
    <t>https://www.igi-global.com/chapter/description-of-artificial-intelligence-models-in-sustainable-water-resource-management/332901
https://www.igi-global.com/gateway/chapter/332901</t>
  </si>
  <si>
    <t>Kazancoglu, I., Ozbiltekin-Pala, M., Mangla, S.K. et al. Using emerging technologies to improve the sustainability and resilience of supply chains in a fuzzy environment in the context of COVID-19. Ann Oper Res 322, 217–240 (2023). https://doi.org/10.1007/s10479-022-04775-4</t>
  </si>
  <si>
    <t>https://link.springer.com/article/10.1007/s10479-022-04775-4#citeas</t>
  </si>
  <si>
    <t>Kumar, Pramendra, Widjaja, Gunawan, Patankar, Nikhil S. and Suresh Kumar, B.. "19 A novel blockchain-based artificial intelligence application for healthcare automation". Toward Artificial General Intelligence: Deep Learning, Neural Networks, Generative AI, edited by Victor Hugo C. de Albuquerque, Pethuru Raj and Satya Prakash Yadav, Berlin, Boston: De Gruyter, 2024, pp. 373-386. https://doi.org/10.1515/9783111323749-019</t>
  </si>
  <si>
    <t>https://www.degruyter.com/document/doi/10.1515/9783111323749-019/html, https://www.degruyter.com/document/doi/10.1515/9783111323749/html</t>
  </si>
  <si>
    <t xml:space="preserve">Prashant K. Ambadekar,Sarita Ambadekar,C. M. Choudhari, Satish A. Patil &amp;S.H. Gawande, Artificial intelligence and its relevance in mechanical engineering from Industry 4.0 perspective, Australian Journal of Mechanical Engineering, 2023, https://doi.org/10.1080/14484846.2023.2249144
</t>
  </si>
  <si>
    <t>https://www.tandfonline.com/doi/full/10.1080/14484846.2023.2249144</t>
  </si>
  <si>
    <t>Rini Setiawati, Darjat Sudarjat, Hasri Nirmala and Ira Setiawati, Improving Performance through TQM and SCM with Human Resources Competence as mediation variable on Banana’s Plantation Company, E3S Web of Conf., 388 (2023) 03010
DOI: https://doi.org/10.1051/e3sconf/202338803010</t>
  </si>
  <si>
    <t>https://www.e3s-conferences.org/articles/e3sconf/abs/2023/25/e3sconf_icobar2023_03010/e3sconf_icobar2023_03010.html</t>
  </si>
  <si>
    <t xml:space="preserve">Sachin B. Khot&amp;S. Thiagarajan, Developing a resilient and sustainable non-linear closed-loop supply chain management framework for the automotive sector industry using a gaussian fuzzy optimization based non-linear model predictive control approach, Journal of Industrial and Production Engineering, 01 nov 2023, doi: 10.1080/21681015.2023.2269926
</t>
  </si>
  <si>
    <t>https://www.tandfonline.com/doi/abs/10.1080/21681015.2023.2269926</t>
  </si>
  <si>
    <t>Sindhwani, R., Hasteer, N., Behl, A. et al. Analysis of sustainable supply chain and industry 4.0 enablers: a step towards decarbonization of supply chains. Ann Oper Res (2023). https://doi.org/10.1007/s10479-023-05598-7</t>
  </si>
  <si>
    <t>https://link.springer.com/article/10.1007/s10479-023-05598-7</t>
  </si>
  <si>
    <t>Viktorija Varaniute, Ineta Zickute, Giedre Vecerskiene, Grazvidas Zaukas, Performance Management Framework for Circular Economy Strategies, Inzinerine Ekonomika-Engineering Economics, 2023, 34(5), 579–592</t>
  </si>
  <si>
    <t>https://inzeko.ktu.lt/index.php/EE/article/view/35001</t>
  </si>
  <si>
    <t>Dumitrascu, O. (ULBS); Dumitrascu, M.(ULBS); Dobrotǎ, D. (ULBS)</t>
  </si>
  <si>
    <t>Performance Evaluation for a Sustainable Supply Chain Management System in the Automotive Industry Using Artificial Intelligence. Processes 2020, 8, 1384.</t>
  </si>
  <si>
    <t>Teplická, K.; Khouri, S.; Mudarri, T.; Freňáková, M. Improving the Quality of Automotive Components through the Effective Management of Complaints in Industry 4.0. Appl. Sci. 2023, 13, 8402. https://doi.org/10.3390/app13148402</t>
  </si>
  <si>
    <t>https://www.mdpi.com/2076-3417/13/14/8402</t>
  </si>
  <si>
    <t>Dumitrascu, O.(ULBS), Dumitrascu, M.(ULBS), Dobrotǎ, D.(ULBS)</t>
  </si>
  <si>
    <t>Performance evaluation for a sustainable supply chain management system in the automotive industry using artificial intelligence. Processes 8(11), 1384 (2020)</t>
  </si>
  <si>
    <t>Ali, A.A.A., Mohamed Udin, Z., Abualrejal, H.M.E. (2023). The impact of humanitarian supply chain on non-government organizations performance moderated by Organisation Culture. International Journal of Sustainable Development and Planning, Vol. 18, No. 3, pp. 763-772. https://doi.org/10.18280/ijsdp.180312</t>
  </si>
  <si>
    <t>https://www.iieta.org/journals/ijsdp/paper/10.18280/ijsdp.180312</t>
  </si>
  <si>
    <t>Detwal, P.K., Agrawal, R., Samadhiya, A., Kumar, A. and Garza-Reyes, J.A. (2023), "Research developments in sustainable supply chain management considering optimization and industry 4.0 techniques: a systematic review", Benchmarking: An International Journal, Vol. ahead-of-print No. ahead-of-print. https://doi.org/10.1108/BIJ-01-2023-0055</t>
  </si>
  <si>
    <t>https://www.emerald.com/insight/content/doi/10.1108/BIJ-01-2023-0055/full/html</t>
  </si>
  <si>
    <t>Marinagi, C.; Reklitis, P.; Trivellas, P.; Sakas, D. The Impact of Industry 4.0 Technologies on Key Performance Indicators for a Resilient Supply Chain 4.0. Sustainability 2023, 15, 5185. https://doi.org/10.3390/su15065185</t>
  </si>
  <si>
    <t>https://www.mdpi.com/2071-1050/15/6/5185</t>
  </si>
  <si>
    <t>Mita Febianah, Novi Sofia Fitriasari, Luthfi Anzani, ANALISIS SUPPLY CHAIN MANAGEMENT KOMODITAS RAJUNGAN DI KECAMATAN GEBANG
KABUPATEN CIREBON, Jurnal Ilmu Perikanan dan Kelautan, Vol. 5(1): 46-59, Februari 2023</t>
  </si>
  <si>
    <t>file:///C:/Users/ASUS%20VivoBook/Downloads/2392-Article%20Text-10341-1-10-20230210%20(1).pdf</t>
  </si>
  <si>
    <t>R. Paul Jayender, Dibyajyoti Gosh, Intelligent Decision Support System of Big Data and IOT Analytics Interoperability with ERP Promoting SCM Sustainability in Automotive, Lecture Notes in Networks and Systems book series (LNNS,volume 624)</t>
  </si>
  <si>
    <t>https://link.springer.com/chapter/10.1007/978-3-031-25344-7_47</t>
  </si>
  <si>
    <t>Saad, N. Ah., Kac, S. M., &amp; Elgazzar, S. (2023). Linking Supply Chain Management Practices of Micro, Small, and Medium-Sized Enterprises to Customer Relationship Management Objectives: A Proposed Framework. Business Perspectives and Research, 0(0).</t>
  </si>
  <si>
    <t>https://journals.sagepub.com/doi/10.1177/22785337221148891</t>
  </si>
  <si>
    <t>Iulia Dumitrascu-Baldau (ULBS), Oana Dumitrascu (ULBS)</t>
  </si>
  <si>
    <t>Research on the Behavior of Factors That Influence the International Virtual Project Team Performance, Using Data Modeling Techniques</t>
  </si>
  <si>
    <t>Franco Muleya, Chipozya Kosta Tembo, Emmanuellie Phiri, Sambo Zulu, Deciphering cultural differences between local and foreign contracting firms using Hofstede’s national culture model in the construction industry.  Elsevier, Social Sciences &amp; Humanities Open
Volume 8, Issue 1, 2023, 100728</t>
  </si>
  <si>
    <t>https://doi.org/10.1016/j.ssaho.2023.100728 
https://www.scopus.com/record/display.uri?eid=2-s2.0-85176088318&amp;origin=resultslist&amp;sort=plf-f&amp;src=s&amp;sid=307defb6af8648d00139fad88ca4db6e&amp;sot=b&amp;sdt=b&amp;s=DOI%2810.1016%2Fj.ssaho.2023.100728%29&amp;sl=32&amp;sessionSearchId=307defb6af8648d00139fad88ca4db6e&amp;relpos=0</t>
  </si>
  <si>
    <t>O Dumitrascu (ULBS), R Ciudin (ULBS)</t>
  </si>
  <si>
    <t>Modeling factors with influence on sustainable university management</t>
  </si>
  <si>
    <t>Saefi, M.; Fauzi, A.; Kristiana, E.; Adi, W.C.; Islami, N.N.; Ikhsan, M.A.; Ramadhani, M.; Ningrum, D.E.A.F.; Setiawan, M.E.; Muchson, M. Theory of planned behavior to analyze students’ intentions in consuming tap water. Eurasia Journal of Mathematics, Science and Technology Education 2023, 19, em2236.</t>
  </si>
  <si>
    <t>https://doi.org/10.29333/ejmste/12976</t>
  </si>
  <si>
    <t>Yadav, R., Shiva, A. and Narula, S. (2024), "Exploring private university attractiveness from students’ perspective to ensure sustainable institutes: an empirical investigation from Indian perspective", Asia-Pacific Journal of Business Administration, Vol. 16 No. 1, pp. 170-203. https://doi.org/10.1108/APJBA-04-2021-0165</t>
  </si>
  <si>
    <t>https://doi.org/10.1108/APJBA-04-2021-0165</t>
  </si>
  <si>
    <t>Coman Diana, Oancea Simona, Vrînceanu Narcisa (ULBS)</t>
  </si>
  <si>
    <t xml:space="preserve">Biofunctionalization of textile materials by antimicrobial treatments: a critical overview </t>
  </si>
  <si>
    <t>Abdouramane, N.; Sibiescu, D.; Efeze, ND. ; Noah, PMA. ; Betene, FE. ; Valery, HG., Analysis of bio-based antimicrobial textiles: A review, ENVIRONMENTAL ENGINEERING AND MANAGEMENT JOURNAL, 2023.</t>
  </si>
  <si>
    <t>https://www.webofscience.com/wos/woscc/full-record/WOS:001106062400015</t>
  </si>
  <si>
    <t>Prorokova, NP. ; Odintsova, OI..; Rumyantseva, VE.; Rumyantsev, EV.; Konovalova, VS., Giving Improved and New Properties to Fibrous Materials by Surface Modification, COATINGS, 2023.</t>
  </si>
  <si>
    <t>https://www.webofscience.com/wos/woscc/full-record/WOS:000914428300001</t>
  </si>
  <si>
    <t>Coman Diana, Oancea Simona, Vrînceanu Narcisa, Stoia Mihaela (ULBS)</t>
  </si>
  <si>
    <r>
      <rPr>
        <rFont val="Arial Narrow"/>
        <color theme="1"/>
        <sz val="10.0"/>
      </rPr>
      <t xml:space="preserve">Sonication and conventional dyeing procedures of flax fibres with </t>
    </r>
    <r>
      <rPr>
        <rFont val="Arial Narrow"/>
        <i/>
        <color theme="1"/>
        <sz val="10.0"/>
      </rPr>
      <t>Allium cepa</t>
    </r>
    <r>
      <rPr>
        <rFont val="Arial Narrow"/>
        <color theme="1"/>
        <sz val="10.0"/>
      </rPr>
      <t xml:space="preserve"> anthocyanin extract </t>
    </r>
  </si>
  <si>
    <t>Hassan, MM; Saifullah, K., Ultrasound-assisted sustainable and energy efficient pre- treatments, dyeing, and finishing of textiles-A comprehensive review, SUSTAINABLE CHEMISTRY AND PHARMACY, 2023.</t>
  </si>
  <si>
    <t>https://www.webofscience.com/wos/woscc/full-record/WOS:001042209800001</t>
  </si>
  <si>
    <t>Oancea Simona, Perju Mirabela, Coman Diana, Olosutean Horea (ULBS)</t>
  </si>
  <si>
    <t>Optimization of conventional and ultrasound assisted extraction of Paeonia officinalis
anthocyanins, as natural alternative for a green
technology of cotton dyeing</t>
  </si>
  <si>
    <t xml:space="preserve">López-Cruz, R.;Sandoval-Contreras, T.; Iñiguez-Moreno, M. , Plant Pigments: Classification, Extraction, and Challenge of Their Application in the Food Industry, FOOD AND BIOPROCESS TECHNOLOGY,2023. </t>
  </si>
  <si>
    <t>https://www.webofscience.com/wos/woscc/full-record/WOS:000969736100001</t>
  </si>
  <si>
    <t>Mughilmathi, J. Mary Isabella Sonali, P. Senthil Kumar, K. M. Archana, Revathy Rajagopal, K. Veena Gayathri, Application of copper iodide (CuI) and natural dye extracted
from Hibiscus rosa‑sinensis onto cotton fabric: an integrated approach, APPLIED NANOSCIENCE, 2023.</t>
  </si>
  <si>
    <t>https://www.scopus.com/record/display.uri?eid=2-s2.0-85143311729&amp;origin=resultslist&amp;sort=plf-f&amp;src=s&amp;sid=0b3ed5073e84ff23c5e67e08069f052c&amp;sot=b&amp;sdt=b&amp;s=AUTH%28Mughilmathi%2C++j.%29&amp;sl=146&amp;sessionSearchId=0b3ed5073e84ff23c5e67e08069f052c&amp;relpos=0</t>
  </si>
  <si>
    <t>Oancea Simona, Stoia Mihaela, Coman Diana (ULBS)</t>
  </si>
  <si>
    <t>Effects of extraction conditions on bioactive anthocyanin content of Vaccinium corymbosum, in the perspective of food applications</t>
  </si>
  <si>
    <t>Boateng, I.D., Mustapha, A., Kuehnel, L., (...), Wan, C., Somavat, P., From purple corn waste (pericarp) to polyphenol-rich extract with higher bioactive contents and superior product qualities using two-step optimization techniques, INDUSTRIAL CROPS AND PRODUCTS, 2023.</t>
  </si>
  <si>
    <t>https://www.webofscience.com/wos/woscc/full-record/WOS:001008779500001</t>
  </si>
  <si>
    <t>Elez Garofulić, I., Repajić, M., Zorić, Z., Jurendić, T., Dragović-Uzelac, V., Evaluation of Microwave- and Ultrasound-Assisted Extraction Techniques for Revalorization of Black Chokeberry (Aronia melanocarpa) Fruit Pomace Anthocyanins, SUSTAINABILITY (Switzerland), 2023.</t>
  </si>
  <si>
    <t>https://www.webofscience.com/wos/woscc/full-record/WOS:000988114900001</t>
  </si>
  <si>
    <t xml:space="preserve">Naharwal, P.,Meena, M., Somani, C.,Kumari, N.,Yadav, D.K., Isolation and chemistry of plant pigments, PIGMENT AND RESIN TECHNOLOGY, 2023.
</t>
  </si>
  <si>
    <t>https://www.webofscience.com/wos/woscc/full-record/WOS:001052896800001</t>
  </si>
  <si>
    <t>Pirayesh, H., Park, B.-D., Khanjanzadeh, H., Park, H.-J., Cho, Y.-J.,Nanocellulose-based ammonia sensitive smart colorimetric hydrogels integrated with anthocyanins to monitor pork freshness, Food Control, 2023.</t>
  </si>
  <si>
    <t>https://www.webofscience.com/wos/woscc/full-record/WOS:000973360500001</t>
  </si>
  <si>
    <t xml:space="preserve"> WoS</t>
  </si>
  <si>
    <t>Roshanpour, S., Tavakoli, J., Beigmohammadi, F., Alaei, S., Mousavi Khaneghah, A.,  Extraction of phenol compound from Mentha piperita by ultrasonic waves based on a response surface methodology, Food Science and Nutrition, 2023.</t>
  </si>
  <si>
    <t>https://www.webofscience.com/wos/woscc/full-record/WOS:000674285200001</t>
  </si>
  <si>
    <t>Senapati, M.R., Behera, P.C., Novel extraction conditions for phytochemicals, Recent Frontiers of Phytochemicals: Applications in Food, Pharmacy, Cosmetics, and Biotechnology, 2023.</t>
  </si>
  <si>
    <t>https://www.scopus.com/record/display.uri?eid=2-s2.0-85160782679&amp;origin=resultslist&amp;sort=plf-f&amp;cite=2-s2.0-84891707567&amp;src=s&amp;imp=t&amp;sid=3f0e8620980b09615c6fb5f68aefc85a&amp;sot=cite&amp;sdt=a&amp;sl=0&amp;relpos=10&amp;citeCnt=1&amp;searchTerm=</t>
  </si>
  <si>
    <t>Yue, G.-L., Chang, Y.-H., Yu, L., (...), Zhang, Y., Fu, Y.-J., Extraction and separation characteristic stilbene compounds from pigeon pea leaves using V-type thymol-based natural deep eutectic solvent systems, CHEMICAL ENGINEERING RESEARCH AND DESIGN, 2023.</t>
  </si>
  <si>
    <t>https://www.webofscience.com/wos/woscc/full-record/WOS:000980515600001</t>
  </si>
  <si>
    <t>Orlandin Andrea (University of Padova), Dolcet Paolo (University of Padova), Biondi Barbara (University of Padova), Hilma Geta, Coman Diana (ULBS), Oancea Simona (ULBS), Formaggio Fernando (University of Padova), Peggion Cristina (University of Padova)</t>
  </si>
  <si>
    <t>Covalent graft of lipopeptides and peptide dendrimers to cellulose fibres</t>
  </si>
  <si>
    <t>Liu, M. ; Liu, X. ; Liu, H. ; Han, MM. ; Ji, SX.,  Nonleaching Antimicrobial Cotton Fabrics Finished with Hyperbranched Polylysine, ACS APPLIED MATERIALS &amp; INTERFACES, 2023.</t>
  </si>
  <si>
    <t>https://www.webofscience.com/wos/woscc/full-record/WOS:001078946100001</t>
  </si>
  <si>
    <t>Ouerfelli Noureddine (University of Tunis El Manar,Tunisia), Vrînceanu Narcisa (ULBS), Coman Diana (ULBS), Cioca Adriana Lavinia (CMI)</t>
  </si>
  <si>
    <t>Empirical Modeling of COVID-19 Evolution with High/Direct Impact on Public Health and Risk Assessment</t>
  </si>
  <si>
    <t>Vorozheykina, T.M., Shchetinin, A.Y., Semenova, G.N., Vakhrushina, M.A., Analysis of the Risks for Russian IT Companies Amid the COVID-19 Crisis, RISKS, 2023.</t>
  </si>
  <si>
    <t>https://www.scopus.com/record/display.uri?eid=2-s2.0-85166424685&amp;origin=resultslist&amp;sort=plf-f&amp;cite=2-s2.0-85126547190&amp;src=s&amp;imp=t&amp;sid=81518090a52b5bc4f141163bad71a39a&amp;sot=cite&amp;sdt=a&amp;sl=0&amp;relpos=1&amp;citeCnt=0&amp;searchTerm=</t>
  </si>
  <si>
    <t>Tanasa Diana (Al.I.Cuza Univ.Iasi),  Vrinceanu Narcisa  (ULBS),  Nistor Alexandra,  Hristodor Claudia Mihaela (AI.I.Cuza Univ Iasi),  Popovici Eveline (AI.I.Cuza Univ Iasi), Bistricianu Ionut Lucian (Gh. Asachi Tech Univ, Iasi),  Brinza Florin (Al.I.Cuza Univ.Iasi), Chicet Daniela-Lucia  (Gh. Asachi Tech Univ, Iasi), Coman Diana  (ULBS), Pui Aurel (Gh.Asachi Tech Univ, Iasi), Grigoriu Ana Maria (Gh. Asachi Tech Univ, Iasi), Broasca Gianina (Gh. Asachi Tech Univ. Iasi)</t>
  </si>
  <si>
    <t xml:space="preserve">Kang, JC.; Hu, CS.; Dichiara, A.; Guan, LT.; Yun, H.; Gu, J., Facile preparation of cellulose nanocrystals/ZnO hybrids using acidified ZnCl2 as cellulose hydrolytic media and ZnO precursor, INTERNATIONAL JOURNAL OF BIOLOGICAL MACROMOLECULES, 2023. </t>
  </si>
  <si>
    <t>https://www.webofscience.com/wos/woscc/full-record/WOS:000910452700001</t>
  </si>
  <si>
    <t>Vrinceanu Narcisa (ULBS), Iorgoaiea Guignard Mirela, Campagne Christine (University of Lille France), Giraud Stephane (ENSAIT, Lab Genie Mat Text Gemtex, Roubaix, France), Prepelita Raluca Ioana,  Coman Diana (ULBS), Petrescu Valentin Dan (ULBS), Dumitrascu Dan Dumitru (ULBS),  Ouerfelli Noureddine (University of Tunis El Manar,Tunisia), Suchea Mirela Petruta (IMT-Bucharest)</t>
  </si>
  <si>
    <t>Correlation between surface engineering and deformation response of some natural polymer fibrous systems</t>
  </si>
  <si>
    <t>Arwa,E., Adel, G., Hamza, A., Characterization of Natural Tow Fibers, SPRINGER PROCEEDINGS IN MATERIALS, 2023.</t>
  </si>
  <si>
    <t>https://www.scopus.com/record/display.uri?eid=2-s2.0-85163689796&amp;origin=resultslist&amp;sort=plf-f&amp;cite=2-s2.0-85047917917&amp;src=s&amp;imp=t&amp;sid=925487a045a2b0267de3930230220bec&amp;sot=cite&amp;sdt=a&amp;sl=0&amp;relpos=0&amp;citeCnt=0&amp;searchTerm=</t>
  </si>
  <si>
    <t>Vrinceanu Narcisa (ULBS), Iorgoaiea Guignard Mirela, Campagne Christine (University of Lille France), Giraud Stephane (ENSAIT, Lab Genie Mat Text Gemtex, Roubaix, France), Prepelita Raluca Ioana,  Coman Diana (ULBS), Petrescu Valentin Dan (ULBS), Dumitrascu Dan Dumitru (ULBS),  Ouerfelli Noureddine (University of Tunis El Manar,Tunisia), Suchea Mirela Petruta (IMT- Bucharest)</t>
  </si>
  <si>
    <t>Elaissi, A. ; Jabli, M. ; Ghith, A., A non-woven waste cellulosic fibers-iron shavings abrasive composite: synthesis, characterization, and evaluation of its wear mechanism, BIOMASS CONVERSION AND BIOREFINERY, 2023</t>
  </si>
  <si>
    <t>https://www.webofscience.com/wos/woscc/full-record/WOS:000964369400003</t>
  </si>
  <si>
    <t>Vrinceanu Narcisa (ULBS), Petre Alina Brîndușa (Al.I.Cuza Univ.Iasi), Hristodor Claudia Mihaela,  Popovici Eveline, Pui Aurel (Al.I.Cuza Univ.Iasi), Coman Diana (ULBS), Tanasa Diana (Al.I.Cuza Univ.Iasi)</t>
  </si>
  <si>
    <t>Zinc Oxide—Linen Fibrous Composites: Morphological, Structural, Chemical, Humidity Adsorptive and Thermal Barrier Attributes</t>
  </si>
  <si>
    <t>Yago S. Chaves, Pedro Henrique P.M. da Silveira, Lucas de M. Neuba, Raí Felipe P. Junio, Matheus P. Ribeiro, Sergio N. Monteiro, Lucio Fabio C. Nascimento, Evaluation of the density, mechanical, thermal and chemical properties of babassu fibers (Attalea speciosa.) for potential composite reinforcement, JOURNAL OF MATERIALS RESEARCH AND TECHNOLOGY, 2023.</t>
  </si>
  <si>
    <t>https://www.webofscience.com/wos/woscc/full-record/WOS:000963868100001</t>
  </si>
  <si>
    <t>Maniu, I. (ULBS), Costache, C.(ULBS), &amp; Dumitraşcu, D.-D. (ULBS)</t>
  </si>
  <si>
    <t>Adoption of green environmental practices in small and medium-sized enterprises: Entrepreneur and business policies patterns in Romania.</t>
  </si>
  <si>
    <t>S Mondal, S Singh, A bibliometric and thematic analysis of green entrepreneurship in business research: Current status and future research directions, Environment, Development and Sustainability, 2023 - Springer, DOI: 10.1007/s10668-023-03905-7</t>
  </si>
  <si>
    <t>https://link.springer.com/article/10.1007/s10668-023-03905-7 https://www.researchgate.net/publication/374167720_A_bibliometric_and_thematic_analysis_of_green_entrepreneurship_in_business_research_current_status_and_future_research_directions</t>
  </si>
  <si>
    <t>Voda, A.D. (ULBS); Dobrota, G. (U C. Brancuși Târgu Jiu); Țirca, D.M.(U C. Brancuși Târgu Jiu); Dumitrașcu, D.D. (ULBS); Dobrota, D. (ULBS)</t>
  </si>
  <si>
    <t xml:space="preserve"> Corporate bankruptcy and insolvency prediction model. </t>
  </si>
  <si>
    <t>Mokrišová, M.; Horváthová, J. Domain Knowledge Features versus LASSO Features in Predicting Risk of Corporate Bankruptcy—DEA Approach. Risks 2023, 11, 199. https://doi.org/10.3390/risks1111019</t>
  </si>
  <si>
    <t>https://www.mdpi.com/2227-9091/11/11/199</t>
  </si>
  <si>
    <t>10.00</t>
  </si>
  <si>
    <t xml:space="preserve">Corporate bankruptcy and insolvency prediction model (2021) Technological and Economic Development of Economy, 27 (5), pp. 1039-1056. </t>
  </si>
  <si>
    <t>Jianhua Pei, The Impact of Proactive Environmental Strategies on Ecological Sustainability of Chinese High-Tech Industry, Engineering Economics, Volume 34, Issue 1, Pages 75 - 882023</t>
  </si>
  <si>
    <t>https://www.inzeko.ktu.lt/index.php/EE/article/view/32834</t>
  </si>
  <si>
    <t xml:space="preserve">Gajdosikova, D.; Lăzăroiu, G.; Valaskova, K. How Particular Firm-Specific Features Influence Corporate Debt Level: A Case Study of Slovak Enterprises. Axioms 2023, 12, 183. https://doi.org/10.3390/axioms12020183, </t>
  </si>
  <si>
    <t>https://www.mdpi.com/2075-1680/12/2/183</t>
  </si>
  <si>
    <t>Voda, A. D., Dobrota, G., Tirca, D. M., Dumitrascu, D. D., &amp; Dobrota, D.</t>
  </si>
  <si>
    <t>Corporate bankruptcy and insolvency prediction model. Technological and Economic Development of Economy, 27(5),2021, 1039?1056. doi: 10.3846/tede.2021.15106.</t>
  </si>
  <si>
    <t>Valaskova, K., Gajdosikova, D., &amp; Belas, J. (2023). Bankruptcy prediction in the post-pandemic period: A case study of Visegrad Group countries. Oeconomia Copernicana, 14(1), 253–293. https://doi.org/10.24136/oc.2023.007</t>
  </si>
  <si>
    <t>http://economic-research.pl/Journals/index.php/oc/article/view/2264</t>
  </si>
  <si>
    <t>Voda A. D.(UTBV), Dobrotă G. (UCB), Dobrotă D. (ULBS), Dumitrașcu D. D. (ULBS)</t>
  </si>
  <si>
    <t xml:space="preserve"> Error correction model for analysis of influence of fiscal policy on economic growth in EU. Journal of Business Economics &amp; Management. 2022;23(3):586–605. DOI:
10.3846/jbem.2022.16242</t>
  </si>
  <si>
    <t>Восканян М.А., Галстян А.Г. Оценка воздействия налогово-бюджетной политики на экономический рост в Республике Армения. Финансы: теория и практика/Finance: Theory and Practice. 2023;27(4):104-117. https://doi.org/10.26794/2587-5671-2023-27-4-104-117</t>
  </si>
  <si>
    <t>https://financetp.fa.ru/jour/article/view/2306/1233</t>
  </si>
  <si>
    <t>Voda, A.D., (UTBV). Dobrotă, G., (UCB), Dobrotă D. (ULBS) &amp; Dumitrașcu, D.(ULBS)</t>
  </si>
  <si>
    <t xml:space="preserve"> Error correction model for analysis of influence of fiscal, policy on economic growth in Eu. Journal of Business Economics and Management, 2022, 23(3): 586–605.</t>
  </si>
  <si>
    <t>Kinyua, D. M., Ocharo, K. N., &amp; Ochenge, R. O. (2023). Effectiveness of Fiscal Policy in Stimulating GDP Growth. Jurnal Ekonomi Malaysia, 57, –. http://dx.doi.org/10.17576/JEM-2023-5702-03</t>
  </si>
  <si>
    <t>https://www.ukm.my/jem/wp-content/uploads/2023/08/jem_572-3.pdf</t>
  </si>
  <si>
    <t>Iulia Dumitrascu, Danut Dumitru Dumitrascu</t>
  </si>
  <si>
    <t>CREATING EFFECTIVE INTERNATIONAL VIRTUAL PROJECT TEAM</t>
  </si>
  <si>
    <t>Roberto Sabukdalao Ybañez, Arvin Roxas De La Cruz, Related Literature Review 5D Model for Project and Operation/Maintenance Remote Monitoring of Equipment and Piping System, Journal Europeean des Systemes Automatises, Vol 56, N0 3, June 2023, pp 355-364, DOI: 10.18280/jesa.560301</t>
  </si>
  <si>
    <t>https://www.iieta.org/journals/jesa/paper/10.18280/jesa.560301</t>
  </si>
  <si>
    <t>Levente-Attila Bakos (ULBS), Danut Dunitru Dumitrascu</t>
  </si>
  <si>
    <t>Decentralized Enterprise Risk Management Issues under Rapidly Changing Environments</t>
  </si>
  <si>
    <t>Kuděj, M., Civelek, M., Erben, M., Masárová, J., Kubálek, J.Navigating global markets: The role of enterprise risk management and human resource management in SME international expansions, Equilibrium. Quarterly Journal of Economics and Economic Policy, 2023</t>
  </si>
  <si>
    <t>https://journals.economic-research.pl/eq/article/view/2735</t>
  </si>
  <si>
    <t>Shan, Z., ul Haq, A., Butt, U.J., (...), Jamal, A., Khan, M.F., Investigating the influence of blockchain in building trust network-Smart transport networks in a smart city  (  Book Chapter), Technology and Talent Strategies for Sustainable Smart Cities: Digital Futures, 2023, DOI: 10.1108/978-1-83753-022-920231009</t>
  </si>
  <si>
    <t>https://www.emerald.com/insight/content/doi/10.1108/978-1-83753-022-920231009/full/html</t>
  </si>
  <si>
    <t>Dobrota, G (Dobrota, Gabriela) [Constantin Brancusi Univ Targu Jiu, Fac Econ, Targu Jiu, Romania] ; Voda, AD (Voda, Alina Daniela) [Lucian Blaga Univ Sibiu, Fac Econ, Sibiu, Romania] ; Dumitrascu, DD (Dumitrascu, Danut Dumitru) [Lucian Blaga Univ Sibiu, Fac Engn, Sibiu, Romania]</t>
  </si>
  <si>
    <t>THE EFFECTS OF FISCAL POLICY SHOCKS ON THE BUSINESS ENVIRONMENT,</t>
  </si>
  <si>
    <t>Dorcas Moyanga, Lekan Damilola Ojo, Oluseyi Alabi Awodele, Deji Rufus Ogunsemi, Prioritizing the survival determinants of quantity surveying firms in economic contraction, Engineering, Construction and Architectural Management, https://doi.org/10.1108/ECAM-01-2023-0024
ISSN: 0969-9988</t>
  </si>
  <si>
    <t>https://www.emerald.com/insight/content/doi/10.1108/ECAM-01-2023-0024/full/html</t>
  </si>
  <si>
    <t>Ibukun Oluwadara Famakin, Dorcas Titilayo Moyanga, Ajoke Aminat Agboola , Effect of innovative practices on the growth of quantity surveying firms in Nigeria, Journal of Engineering, Design and Technology, ISSN: 1726-0531</t>
  </si>
  <si>
    <t>https://www.emerald.com/insight/content/doi/10.1108/JEDT-01-2022-0016/full/html</t>
  </si>
  <si>
    <t>Catalina Costache (ULBS), Danut Dumitru Dumitrascu(ULBS), Maniu Ionela (ULBS)</t>
  </si>
  <si>
    <t>Facilitators of and Barriers to Sustainable Development in Small and Medium-Sized Enterprises: A Descriptive Exploratory Study in Romania</t>
  </si>
  <si>
    <t>Jiang, Y., Ni, H., Guo, X., Ni, Y., Integrating ESG practices and natural resources management for sustainable economic development in SMEs under the double-carbon target of China, Resources Policy, 2023</t>
  </si>
  <si>
    <t>https://www.sciencedirect.com/science/article/abs/pii/S0301420723010590</t>
  </si>
  <si>
    <t>Chang, A.-Y., Lai, P.-Y., Research on Key Barriers and Drivers for Bicycle Industry to Implement Reverse Logistics, Journal of Quality, 2023</t>
  </si>
  <si>
    <t>https://www.scopus.com/results/citedbyresults.uri?sort=plf-f&amp;cite=2-s2.0-85103092559&amp;src=s&amp;imp=t&amp;sid=b3dd035000935253614f7e0247f03b60&amp;sot=cite&amp;sdt=a&amp;sl=0&amp;origin=inward&amp;editSaveSearch=&amp;txGid=33e9d92adcfbb03cd05454489f143112</t>
  </si>
  <si>
    <t>Liang, C., Abdela, R., Meng, Z., Assessing the Sustainability Level of European Cultural and Creative Industries Based on Entropy Method, Applied Mathematics and Nonlinear Sciences, 2023</t>
  </si>
  <si>
    <t>https://sciendo.com/article/10.2478/amns.2023.2.00751</t>
  </si>
  <si>
    <t>Costache, C (Costache, Catalina) [1] ; Dumitrascu, DD (Dumitrascu, Danut-Dumitru) [2] ; Maniu, I (Maniu, Ionela) [3]</t>
  </si>
  <si>
    <t>Facilitators of and Barriers to Sustainable Development in Small and Medium-Sized Enterprises: A Descriptive, Exploratory Study in Romania</t>
  </si>
  <si>
    <t>An-Yuan Chang;Po-Yen Lai, Study on the Key Drivers to Improve the Circular Economy of Manufacturing Industry - An Application of Fuzzy Delphi Method &amp; Grey Relational Analysis., International Journal of Information &amp; Management Sciences,Jun2023, Vol. 34 Issue 2, p117-133</t>
  </si>
  <si>
    <t>https://research.ebsco.com/c/ylm4lv/search/details/6khrubix6j?q=Study%20on%20the%20Key%20Drivers%20to%20Improve%20the%20Circular%20Economy%20of%20Manufacturing%20Industry%20-%20An%20Application%20of%20Fuzzy%20Delphi%20Method%20%26amp%3B%20Grey%20Relational%20Analysis.</t>
  </si>
  <si>
    <t>A Furdui, L Lupu-Dima, E Edelhauser, Implications of entrepreneurial intentions of Romanian secondary education students, over the Romanian business market development, Processes 2021, 9(4), 665; https://doi.org/10.3390/pr9040665</t>
  </si>
  <si>
    <t>https://www.mdpi.com/2227-9717/9/4/665</t>
  </si>
  <si>
    <t>Solari, E., Sebastián, M., &amp; Mollo Brisco, Análisis de prácticas sustentables en empresas de La Plata, provincia de Buenos Aires, Contabilidad Y Negocios, 18(36), 115-138. https://doi.org/10.18800/contabilidad.202302.009</t>
  </si>
  <si>
    <t>https://revistas.pucp.edu.pe/index.php/contabilidadyNegocios/article/view/27009</t>
  </si>
  <si>
    <t>Wu, C.-W. The Empirical Research of Women Entrepreneurship and Sustainability Performance in the Entrepreneurship Policy Context. Preprints 2023, 2023071687. https://doi.org/10.20944/preprints202307.1687.v3</t>
  </si>
  <si>
    <t>https://www.preprints.org/manuscript/202307.1687/v3</t>
  </si>
  <si>
    <t>L Bakos, DD Dumitrașcu, K Harangus</t>
  </si>
  <si>
    <t>Human factor preparedness for decentralized crisis management and communication in cyber-physical systems
 - Sustainability, 2019</t>
  </si>
  <si>
    <t>Andrea Russo, Organised Firestorm as strategy for business cyber-attacks, Computers and Society (cs.CY); Physics and Society (physics.soc-ph), Cornell University, 
https://doi.org/10.48550/arXiv.2301.01518</t>
  </si>
  <si>
    <t>https://arxiv.org/abs/2301.01518</t>
  </si>
  <si>
    <t xml:space="preserve"> Iulia Dumitrașcu-Băldău, Dănuț-Dumitru Dumitrașcu and Gabriela Dobrotă</t>
  </si>
  <si>
    <t>Predictive Model for the Factors Influencing International Project Success: A Data Mining Approach</t>
  </si>
  <si>
    <t>G Blak Bernat, EL Qualharini, MS Castro, AB Barcaui, Sustainability in Project Management and Project Success with Virtual Teams: A Quantitative Analysis Considering Stakeholder Engagement and Knowledge Management in Virtual Team Environment, Sustainability 2023</t>
  </si>
  <si>
    <t>https://www.mdpi.com/2071-1050/15/12/9834</t>
  </si>
  <si>
    <t>G Blak Bernat, EL Qualharini, MS Castro, Enhancing Sustainability in Project Management: The Role of Stakeholder Engagement and Knowledge Management in Virtual Team Environments, Sustainability 2023</t>
  </si>
  <si>
    <t>https://www.mdpi.com/2071-1050/15/6/4896</t>
  </si>
  <si>
    <t>Dumitraşcu, Iulia (ULBS), Dumitraşcu, Dănuţ, Dumitru (ULBS)</t>
  </si>
  <si>
    <t>Intercultural Communication and its challenges within the international virtual project team</t>
  </si>
  <si>
    <t xml:space="preserve">Vipin K Sharma, Kiran Kumar Kalapala, S. Sreejana, Narasimha Murthy SV, Using Literary Texts in Developing Intercultural Competence of Foreign English Language Learners in Virtual Space, Arab World English Journals, Special Issue on CALL Number 9. July 2023, </t>
  </si>
  <si>
    <t>https://papers.ssrn.com/sol3/papers.cfm?abstract_id=4534647</t>
  </si>
  <si>
    <t>Oana Georgiana Andronic, Danut Dumitrascu</t>
  </si>
  <si>
    <t xml:space="preserve">The Relationship between Leadership and Employees, </t>
  </si>
  <si>
    <t>Mohammed A Aldoghan, Ahmad ZakariyaHUMAN RESOURCE ECONOMICS: IMPACT OF SOCIAL AND ECONOMIC FACTORS ON EMPLOYER-EMPLOYEE RELATIONSHIP, International Journal of Economics and Finance Studies, 13(2):490-509, Online ISSN: 1309-8055</t>
  </si>
  <si>
    <t>https://www.researchgate.net/publication/371307022_HUMAN_RESOURCE_ECONOMICS_IMPACT_OF_SOCIAL_AND_ECONOMIC_FACTORS_ON_EMPLOYER-EMPLOYEE_RELATIONSHIP</t>
  </si>
  <si>
    <t>Occupational emerging risks affecting international virtual project Team Results</t>
  </si>
  <si>
    <t xml:space="preserve"> Germán Arana-Landín, Iker Laskurain-Iturbe, Mikel Iturrate, Beñat Landeta-Manzano, Assessing the influence of industry 4.0 technologies on occupational health and safety, Heliyon, VOLUME 9, ISSUE 3, E13720, MARCH 2023, 2023DOI:https://doi.org/10.1016/j.heliyon.2023.e13720</t>
  </si>
  <si>
    <t>https://www.cell.com/heliyon/fulltext/S2405-8440(23)00927-1?_returnURL=https%3A%2F%2Flinkinghub.elsevier.com%2Fretrieve%2Fpii%2FS2405844023009271%3Fshowall%3Dtrue</t>
  </si>
  <si>
    <t>PATRYCJA KOKOT-STĘPIEŃ, Risk identification in managing small
and medium-sized enterprises in Poland, EKONOMIA I PRAWO. ECONOMICS AND LAW
Volume 22, Issue 3, September 2023
p-ISSN 1898-2255, e-ISSN 2392-1625,  579–597.
www.apcz.umk.pl/EiP,  https://doi.org/10.12775/EiP.2023.031</t>
  </si>
  <si>
    <t>https://apcz.umk.pl/EiP/article/view/44433</t>
  </si>
  <si>
    <t> Emerging Sources Citation Index (Web of Science Core Collection).Akademicka Platforma Czasopism Uniwersytetu Mikołaja Kopernika,
Arianta,
BazEkon,
Cambridge Scientific Abstracts (CSA, ProQuest),
Central and Eastern European Online Library (CEEOL),
Directory of Open Access Journals (DOAJ),
EBSCO,
ECONBIZ,
Elektronische Zeitschriftenbibliothek,
Emerging Sources Citation Index (Web of Science Core Collection),
ERIH PLUS,
Google Scholar,
Index Copernicus International,
Polish Scholary Bibliography (PBN),
POL-Index,
RePEc - Research Papers in Economics,
SHERPA/RoMEO,
WorldCat.</t>
  </si>
  <si>
    <t>Moraru, Gina Maria ; Popa Daniela</t>
  </si>
  <si>
    <t>Proposals for a more creative education system</t>
  </si>
  <si>
    <t>Chiriac Monalisa , Iațu Corneliu, What do secondary school students in North-East Romania know and think about sustainable development?, International Research in Geographical and Environmental EducationVolume 32, Issue 4, Pages 305 - 322, DOI
10.1080/10382046.2023.2183548</t>
  </si>
  <si>
    <t>https://www.scopus.com/record/display.uri?eid=2-s2.0-85153337717&amp;origin=resultslist&amp;sort=plf-f&amp;src=s&amp;sot=mulcite&amp;sdt=mulcite&amp;s=REFEID%282-s2.0-85109054440%29&amp;citeCnt=1&amp;sessionSearchId=887f379cee35b2c20cd1bd77f2900c32&amp;relpos=0</t>
  </si>
  <si>
    <t>SCOPUS, WOS</t>
  </si>
  <si>
    <t>Popa Daniela</t>
  </si>
  <si>
    <t>Olha, M  ; Pozdniakova, ; Voroniuk, I  ; Shchurova, V; Chumak, T., THE FORMATION OF PROFESSIONAL COMPETENCIES OF A HIGHER EDUCATION INSTITUTION GRADUATE IN THE CONDITIONS OF THE UNIVERSITY 3.0 PARADIGM FORMATION, AD ALTA-JOURNAL OF INTERDISCIPLINARY RESEARCH, [14:29, 16.05.2024] Biris Cristina: AD ALTA-JOURNAL OF INTERDISCIPLINARY RESEARCH
[14:29, 16.05.2024] Biris Cristina: Volume13Issue2Page90-96Special IssueSI</t>
  </si>
  <si>
    <t>https://www.webofscience.com/wos/woscc/full-record/WOS:001143675300016</t>
  </si>
  <si>
    <t>Moraru Gina Maria, Popa Daniela</t>
  </si>
  <si>
    <t>Potential resistance of employees to change in the transition to Industry 5.0</t>
  </si>
  <si>
    <t>Mariia Golovianko, Vagan Terziyan, Vladyslav Branytskyi, Diana Malyk, Industry 4.0 vs. Industry 5.0: Co-existence, Transition, or a Hybrid, Procedia Computer Science
Volume 217, 2023, Pages 102-113, https://doi.org/10.1016/j.procs.2022.12.206</t>
  </si>
  <si>
    <t>https://www.sciencedirect.com/science/article/pii/S1877050922022840</t>
  </si>
  <si>
    <t>Elsevier, SCOPUS</t>
  </si>
  <si>
    <t>Kifor, CV (ULBS); Savescu, RF (ULBS); Danut, R (ULBS)</t>
  </si>
  <si>
    <t>Work from Home during the COVID-19 Pandemic-The Impact on Employees' Self-Assessed Job Performance</t>
  </si>
  <si>
    <t>Juras-Darowny, M; Król, M; (...); Talarowska, ME, The level of depression, anxiety and job satisfaction among young Contact Centre employees during the COVID-19 pandemic, ARCHIVES OF PSYCHIATRY AND PSYCHOTHERAPY</t>
  </si>
  <si>
    <t>https://1510qkc2b-y-https-www-webofscience-com.z.e-nformation.ro/wos/woscc/full-record/WOS:001128094300004</t>
  </si>
  <si>
    <t>Michulek, J; Gajanova, L; (...); Nadanyiova, M, Determinants of improving the relationship between corporate culture and work performance: Illusion or reality of serial mediation of leadership and work engagement in a crisis period?FRONTIERS IN PSYCHOLOGY</t>
  </si>
  <si>
    <t>https://1510qkc2b-y-https-www-webofscience-com.z.e-nformation.ro/wos/woscc/full-record/WOS:000960243600001</t>
  </si>
  <si>
    <t>Fauziyah, N.N., Priharsari, D., Setiawan, B.D., Pinandito, A.., Optimizing Work-From-Anywhere Employee Productivity: A Comprehensive Investigation of the Most Influential Factors Using Factor Analysis and Analytical Hierarchy Process Method, ACM International Conference Proceeding Series
pp. 409-416</t>
  </si>
  <si>
    <t>https://15109kdck-y-https-www-scopus-com.z.e-nformation.ro/results/citedbyresults.uri?sort=plf-f&amp;cite=2-s2.0-85137581183&amp;src=s&amp;imp=t&amp;sid=335d0ebbbe45f8100b04b5de3cd68a48&amp;sot=cite&amp;sdt=a&amp;sl=0&amp;origin=resultslist&amp;editSaveSearch=&amp;txGid=9605c55f8f0c1e7a1b6a1f7d27de88fa</t>
  </si>
  <si>
    <t>Zhang, W., Gu, D., Xie, Y., Khakimova, A., Zolotarev, O., How Do COVID-19 Risk, Life-Safety Risk, Job Insecurity, and Work–Family Conflict Affect Miner Performance? Health-Anxiety and Job-Anxiety Perspectives, International Journal of Environmental Research and Public Health</t>
  </si>
  <si>
    <t>de Souza, L.A., Costa, H.G., CLUSTERING MEMBERS OF PROJECT TEAMS ACCORDING THEIR PERCEPTIONS ABOUT THE IMPACT OF REMOTE WORK ON PROJECT SUCCESS: A COMPARATIVE ANALYSIS, Pesquisa Operacional
43,e276911</t>
  </si>
  <si>
    <t>Koutroukis, T., Chatzinikolaou, D., Vlados, C., Pistikou, V., The Post-COVID-19 Era, Fourth Industrial Revolution, and New Globalization: Restructured Labor Relations and Organizational Adaptation, Societies
12(6),187</t>
  </si>
  <si>
    <t>https://15109kdck-y-https-www-scopus-com.z.e-nformation.ro/record/display.uri?eid=2-s2.0-85144561200&amp;origin=resultslist&amp;sort=plf-f&amp;cite=2-s2.0-85137581183&amp;src=s&amp;imp=t&amp;sid=335d0ebbbe45f8100b04b5de3cd68a48&amp;sot=cite&amp;sdt=a&amp;sl=0&amp;relpos=5&amp;citeCnt=5&amp;searchTerm=</t>
  </si>
  <si>
    <t>Kifor, CV; Olteanu, A and Zerbes, M</t>
  </si>
  <si>
    <t>Wyrwicka, MK; Wiecek-Janka, E and Brzezinski, L, Transition to Sustainable Energy System for Smart Cities-Literature Review, Energies</t>
  </si>
  <si>
    <t>https://1510qkd3u-y-https-www-webofscience-com.z.e-nformation.ro/wos/woscc/full-record/WOS:001100207300001</t>
  </si>
  <si>
    <t>Özcan, KA., Sustainability Ranking of Turkish Universities with Different Weighting Approaches and the TOPSIS Method, Sustainability</t>
  </si>
  <si>
    <t>https://1510qkd3u-y-https-www-webofscience-com.z.e-nformation.ro/wos/woscc/full-record/WOS:001056822000001</t>
  </si>
  <si>
    <t>Camui, C., Petre, V., Obtaining Hydrogen Using PWM Controlled Constant Current Source, 13th International Symposium on Advanced Topics in Electrical Engineering, ATEE 2023</t>
  </si>
  <si>
    <t>https://15109kdck-y-https-www-scopus-com.z.e-nformation.ro/record/display.uri?eid=2-s2.0-85159122333&amp;origin=resultslist&amp;sort=plf-f&amp;cite=2-s2.0-85147956840&amp;src=s&amp;imp=t&amp;sid=83108aab0cdc3a1b6318d744f9228458&amp;sot=cite&amp;sdt=a&amp;sl=0&amp;relpos=2&amp;citeCnt=0&amp;searchTerm=</t>
  </si>
  <si>
    <t>Kifor, CV (ULBS); Teodorescu, D (Clark Atlanta Univ) ; Andrei, T (ASE); Savescu, R (ULBS)</t>
  </si>
  <si>
    <t>Research Production and International Visibility in Higher Education: The Evolution of Romanian Universities from 2011 to 2019</t>
  </si>
  <si>
    <t>Wang, RJ and Shih, YH, What are universities pursuing? A review of the Quacquarelli Symonds world university rankings of Taiwanese universities (2021-2023), FRONTIERS IN EDUCATION</t>
  </si>
  <si>
    <t>https://1510qkc2b-y-https-www-webofscience-com.z.e-nformation.ro/wos/woscc/full-record/WOS:001002913600001</t>
  </si>
  <si>
    <t>Owusu-Ansah, S., Donkor, A.B., Asamoah, C., Impact of the Global University Ranking Systems on Higher Education in Ghana With Special Focus on the Role of Academic Libraries (   Book Chapter), Impact of Global University Ranking Systems on Developing Countries</t>
  </si>
  <si>
    <t>https://15109kdck-y-https-www-scopus-com.z.e-nformation.ro/results/citedbyresults.uri?sort=plf-f&amp;cite=2-s2.0-85120807573&amp;src=s&amp;imp=t&amp;sid=58b649bfc93ccb314255fba26f16f561&amp;sot=cite&amp;sdt=a&amp;sl=0&amp;origin=resultslist&amp;editSaveSearch=&amp;txGid=8f583876f86ec49e5a1343a9be9586c0</t>
  </si>
  <si>
    <t>Kifor, CV (ULBS); Nicolaescu, SS (ULBS); Florea, A (ULBS); Savescu, RF (ULBS); Receu, I (ULBS); Tirlea, AV (ULBS); Danut, RE (ULBS).</t>
  </si>
  <si>
    <t>Workforce Analytics in Teleworking</t>
  </si>
  <si>
    <t>Lee, JY and Lee, YS, Integrative Literature Review on People Analytics and Implications From the Perspective of Human Resource Development, HUMAN RESOURCE DEVELOPMENT REVIEW, https://1510qkd3u-y-https-www-webofscience-com.z.e-nformation.ro/wos/woscc/full-record/WOS:001112412700001</t>
  </si>
  <si>
    <t>https://1510qkd3u-y-https-www-webofscience-com.z.e-nformation.ro/wos/woscc/full-record/WOS:001112412700001</t>
  </si>
  <si>
    <t>Morea, D; Basile, G; (...); Mazzitelli, A, Smart working as an organisational process or as a social change? An Italian pandemic experience, EMPLOYEE RELATIONS</t>
  </si>
  <si>
    <t>https://1510qkd3u-y-https-www-webofscience-com.z.e-nformation.ro/wos/woscc/full-record/WOS:000919958200001</t>
  </si>
  <si>
    <t>Belizón, MJ; Majarín, D and Aguado, D., Human resources analytics in practice: A knowledge discovery process, EUROPEAN MANAGEMENT REVIEW</t>
  </si>
  <si>
    <t>https://1510qkd3u-y-https-www-webofscience-com.z.e-nformation.ro/wos/woscc/full-record/WOS:001065491400001</t>
  </si>
  <si>
    <t>Upadhyayula, S.M., Shruti, A., Narayanan, S., Workforce Data Analysis, 2023 2nd International Conference on Smart Technologies for Smart Nation, SmartTechCon 2023</t>
  </si>
  <si>
    <t>https://15109kdck-y-https-www-scopus-com.z.e-nformation.ro/results/citedbyresults.uri?sort=plf-f&amp;cite=2-s2.0-85120072931&amp;src=s&amp;imp=t&amp;sid=cdd92ab774e99a7be0e05cb863f0bb03&amp;sot=cite&amp;sdt=a&amp;sl=0&amp;origin=resultslist&amp;editSaveSearch=&amp;txGid=df4a4ed37d5b4f35d0c18991afd09722</t>
  </si>
  <si>
    <t>Nicolaescu, S. (ULBS) ; Florea, A (ULBS) ; Kifor, CV; Fiore, U (Parthenope Univ, Dept Management &amp; Quantitat Studies, I-80132 Naples, Italy); Cocan, N (ULBS) ; Receu, I (ULBS) ; Zanetti, P (Parthenope Univ, Dept Management &amp; Quantitat Studies, I-80132 Naples, Italy))</t>
  </si>
  <si>
    <t>Human capital evaluation in knowledge-based organizations based on big data analytics</t>
  </si>
  <si>
    <t>Espegren, Y and Hugosson, M, HR analytics-as-practice: a systematic literature review, JOURNAL OF ORGANIZATIONAL EFFECTIVENESS-PEOPLE AND PERFORMANCE</t>
  </si>
  <si>
    <t>https://1510qkd3u-y-https-www-webofscience-com.z.e-nformation.ro/wos/woscc/full-record/WOS:001127520200001</t>
  </si>
  <si>
    <t>Cao, RH, A data and knowledge-jointly driven multimodal intelligent system for enterprise culture assessment, ALEXANDRIA ENGINEERING JOURNAL</t>
  </si>
  <si>
    <t>https://1510qkd3u-y-https-www-webofscience-com.z.e-nformation.ro/wos/woscc/full-record/WOS:001102297500001</t>
  </si>
  <si>
    <t>Belizón, MJ; Majarín, D and Aguado, D, Human resources analytics in practice: A knowledge discovery process, EUROPEAN MANAGEMENT REVIEW</t>
  </si>
  <si>
    <t>Prince, M and Prathap, PMJ, A Novel Approach to Design Distribution Preserving Framework for Big Data, INTELLIGENT AUTOMATION AND SOFT COMPUTING</t>
  </si>
  <si>
    <t>https://1510qkd3u-y-https-www-webofscience-com.z.e-nformation.ro/wos/woscc/full-record/WOS:000863173000003</t>
  </si>
  <si>
    <t>Dadd, D., Hinton, M., Performance measurement and evaluation: applying return on investment (ROI) to human capital investments, International Journal of Productivity and Performance Management</t>
  </si>
  <si>
    <t>https://15109kdck-y-https-www-scopus-com.z.e-nformation.ro/results/citedbyresults.uri?sort=plf-f&amp;cite=2-s2.0-85073054173&amp;src=s&amp;imp=t&amp;sid=84aa8a5baa122eb0c9481e00a701b2b8&amp;sot=cite&amp;sdt=a&amp;sl=0&amp;origin=resultslist&amp;editSaveSearch=&amp;txGid=10a459fd0d03680b9712cd57cd845e56</t>
  </si>
  <si>
    <t>Graczyk-Kucharska, M., Olszewski, R., Weber, G.-W.., The use of spatial data mining methods for modeling HR challenges of generation Z in greater Poland Region, Central European Journal of Operations Research</t>
  </si>
  <si>
    <t>Stoliarova, V., Tulupyeva, T., Abramov, M., Salakhova, V., IDENTIFICATION OF CHARACTERISTICS OF EMPLOYEE’S INDIVIDUAL HUMAN CAPITAL WITH DATA ON SELF-REPORTS OF PROFESSIONAL SKILLS AND PERSONAL CHARACTERISTICS, Informatics and Automation</t>
  </si>
  <si>
    <t>Polevoi, D.V., Pronichkin, S.V., Chernyshova, Y.S., Applying Verbal Decision Analysis for Public Research and Technology Advancement, Lecture Notes in Networks and Systems</t>
  </si>
  <si>
    <t>Huzu, A (ULBS); Kifor, CV (ULBS); Savescu, RF (ULBS); Lup, G (Lup, Gianina) (ULBS)</t>
  </si>
  <si>
    <t>LEAN, SIX SIGMA IN HEALTHCARE: A LITERATURE REVIEW</t>
  </si>
  <si>
    <t>Samanta, AK; Varaprasad, G; (...); Antony, J, Implementing Lean Six Sigma in a multispecialty hospital through a change management approach, TQM JOURNAL,</t>
  </si>
  <si>
    <t>https://1510qkd3u-y-https-www-webofscience-com.z.e-nformation.ro/wos/woscc/full-record/WOS:001050304000001</t>
  </si>
  <si>
    <t>Iuga, MV  (ULBS)and Kifor, CV</t>
  </si>
  <si>
    <t>Lean Manufacturing and its Transfer to Non-Japanese Organizations</t>
  </si>
  <si>
    <t>Araújo, A; Alves, AC and Romero, F, A conceptual model for pull implementation based on the dimensions leadership, organization, operation and people, INTERNATIONAL JOURNAL OF LEAN SIX SIGMA</t>
  </si>
  <si>
    <t>https://1510qkd3u-y-https-www-webofscience-com.z.e-nformation.ro/wos/woscc/full-record/WOS:001044957400001</t>
  </si>
  <si>
    <t>Kifor, CV and Grigore, NA (ULBS)</t>
  </si>
  <si>
    <t>Chirumalla, K; Kulkov, I; (...); Stefan, I., Enabling battery circularity: Unlocking circular business model archetypes and collaboration forms in the electric vehicle battery ecosystem, TECHNOLOGICAL FORECASTING AND SOCIAL CHANGE</t>
  </si>
  <si>
    <t>https://1510qkd3u-y-https-www-webofscience-com.z.e-nformation.ro/wos/woscc/full-record/WOS:001132740900001</t>
  </si>
  <si>
    <t>Chiliban, B; Baral, LM () and Kifor, CV</t>
  </si>
  <si>
    <t>Review of Knowledge Management Models for Implementation within Advanced Product Quality Planning</t>
  </si>
  <si>
    <t>Al-Hemyari, ZA and Al-Sarmi, AM., A New Information Management Model for Measuring the Institutional Performance, JOURNAL OF INFORMATION &amp; KNOWLEDGE MANAGEMENT</t>
  </si>
  <si>
    <t>https://1510qkd3u-y-https-www-webofscience-com.z.e-nformation.ro/wos/woscc/full-record/WOS:000964426300001</t>
  </si>
  <si>
    <t>Fiore, U. (Parthenope Univ, Dept Management &amp; Quantitat Studies, I-80132 Naples, Italy) ; Florea, A (ULBS) ; Kifor, CV. ; Zanetti, P (Parthenope Univ, Dept Management &amp; Quantitat Studies, I-80132 Naples, Italy)</t>
  </si>
  <si>
    <t>Digitization, Epistemic Proximity, and the Education System: Insights from a Bibliometric Analysis</t>
  </si>
  <si>
    <t>Maniu, I; Maniu, GC; (...); Totan, M., SARS-CoV-2 Antibody Responses in Pediatric Patients: A Bibliometric Analysis, Biomedicines</t>
  </si>
  <si>
    <t>https://1510qkd3u-y-https-www-webofscience-com.z.e-nformation.ro/wos/woscc/full-record/WOS:001009246600001</t>
  </si>
  <si>
    <t>Bin, L., Cognitive Web Service-Based Learning Analytics in Education Systems Using Big Data Analytics., INTERNATIONAL JOURNAL OF E-COLLABORATION</t>
  </si>
  <si>
    <t>https://1510qkd3u-y-https-www-webofscience-com.z.e-nformation.ro/wos/woscc/full-record/WOS:001052661200005</t>
  </si>
  <si>
    <t>Ratiu, A; Maniu, I and Pop, EL, EntreComp Framework: A Bibliometric Review and Research Trends, Sustainability</t>
  </si>
  <si>
    <t>https://1510qkd3u-y-https-www-webofscience-com.z.e-nformation.ro/wos/woscc/full-record/WOS:000927222900001</t>
  </si>
  <si>
    <t>Teaching methodology for Design for Six Sigma and Quality techniques-an approach that combines theory and practice</t>
  </si>
  <si>
    <t>Guo, X., Yan, C., Xie, Y., Gao, B., Construction and application of medical waste management system in operating room based on Six Sigma theory, Asian Journal of Surgery</t>
  </si>
  <si>
    <t>https://15109kdck-y-https-www-scopus-com.z.e-nformation.ro/results/citedbyresults.uri?sort=plf-f&amp;cite=2-s2.0-85041098727&amp;src=s&amp;imp=t&amp;sid=85b143af466f436d6e7beade7e634a19&amp;sot=cite&amp;sdt=a&amp;sl=0&amp;origin=resultslist&amp;editSaveSearch=&amp;txGid=83afba91dae6d8c0b5b9159c93bcb8a6</t>
  </si>
  <si>
    <t>Rodríguez-Martín, M., Rodríguez-Gonzálvez, P., del Rosario Domingo, M., Software Alternatives to Design Learning Activities for Lean Six Sigma in e-learning, Lecture Notes in Educational Technology</t>
  </si>
  <si>
    <t>V Iuga, CV Kifor</t>
  </si>
  <si>
    <t>INFORMATION AND KNOWLEDGE MANAGEMENT AND THEIR INTERRELATIONSHIP WITHIN LEAN ORGANIZATIONS.</t>
  </si>
  <si>
    <t>Capolupo, N.
Rosa, A.
Adinolfi, P., 	
The liaison between performance, strategic knowledge management, and lean six sigma. Insights from healthcare organizations, Knowledge Management Research and Practice</t>
  </si>
  <si>
    <t>https://15109ke7n-y-https-www-scopus-com.z.e-nformation.ro/results/results.uri?sort=plf-f&amp;src=s&amp;st1=The+liaison+between+performance%2C+strategic+knowledge+management%2C+and+lean+six+sigma&amp;sid=28abf9b931288321570fa9262bde979f&amp;sot=b&amp;sdt=b&amp;sl=90&amp;s=TITLE%28The+liaison+between+performance%2C+strategic+knowledge+management%2C+and+lean+six+sigma%29&amp;origin=searchbasic&amp;editSaveSearch=&amp;yearFrom=Before+1960&amp;yearTo=Present&amp;sessionSearchId=28abf9b931288321570fa9262bde979f&amp;limit=10</t>
  </si>
  <si>
    <t>Bucur, A (ULBS); Kifor, CV and Marginean, SC (ULBS)</t>
  </si>
  <si>
    <t>Evaluation of the quality and quantity of research results in higher education</t>
  </si>
  <si>
    <t>Berlian, L; Taufik, AN; (...); Juansah, DE, Validity of Research-Oriented General Physiology Learning Tools to Support Science Process Skills, JURNAL PENELITIAN DAN PEMBELAJARAN IPA</t>
  </si>
  <si>
    <t>https://1510qkd3u-y-https-www-webofscience-com.z.e-nformation.ro/wos/woscc/full-record/WOS:001007605800008</t>
  </si>
  <si>
    <t>Adot, E., Akhmedova, A., Alvelos, H., (...), Torrents, D., Xambre, A.R., SMART-QUAL: a dashboard for quality measurement in higher education institutions, International Journal of Quality and Reliability Management</t>
  </si>
  <si>
    <t>https://15109kdck-y-https-www-scopus-com.z.e-nformation.ro/results/citedbyresults.uri?sort=plf-f&amp;cite=2-s2.0-84994417678&amp;src=s&amp;imp=t&amp;sid=cff879ebbd5f396dae3e9afa03784797&amp;sot=cite&amp;sdt=a&amp;sl=0&amp;origin=resultslist&amp;editSaveSearch=&amp;txGid=0a36b3611c17b9bf773fa0aff7b98664</t>
  </si>
  <si>
    <t>An Ontology to Support Semantic Management of FMEA Knowledge</t>
  </si>
  <si>
    <t xml:space="preserve">Okazaki, S; Shirafuji, S; (...); Ota, J, A Framework to Support Failure Cause Identification in Manufacturing Systems through Generalization of Past FMEAs, EEE/ASME International Conference on Advanced Intelligent Mechatronics (AIM)
4th Iberoamerican Conference and 3rd Indo-American Conference Knowledge Graphs and Semantic Web Conference (KGSWC)
2022 </t>
  </si>
  <si>
    <t>https://1510qkd3u-y-https-www-webofscience-com.z.e-nformation.ro/wos/woscc/summary/b24aa4df-5327-4908-b179-fab95e59b9d3-e684e2be/date-descending/1</t>
  </si>
  <si>
    <t>Kropatschek, S., Kurniawan, K., Boshale, P., (...), Kiesling, E., Winkler, D., Towards A Knowledge Graph-based Framework for Integrated Security and Safety Analysis in Digital Production Systems., CEUR Workshop Proceedings</t>
  </si>
  <si>
    <t>https://15109kdwr-y-https-www-scopus-com.z.e-nformation.ro/results/citedbyresults.uri?sort=plf-f&amp;cite=2-s2.0-84981289567&amp;src=s&amp;imp=t&amp;sid=7f6ac09c8d2826a59be17ba6534d7a6d&amp;sot=cite&amp;sdt=a&amp;sl=0&amp;origin=resultslist&amp;editSaveSearch=&amp;txGid=101eeb6336400317ac876607a8ead6db</t>
  </si>
  <si>
    <t>Hoffmann, D., Nowacki, N., Biffl, S., (...), Meixner, K., Lüder, A., Interdisciplinary Production Risk Exploration: A Grounded Approach to Integrate Data- and Knowledge-Driven Analytics, Procedia CIRP</t>
  </si>
  <si>
    <t>Țîțu, A.M., Doicin, C.V., Ionescu, N., Gusan, V., Application of the PFMEA Methodology in a Production Flow with Collaborative Robots., Lecture Notes in Networks and Systems</t>
  </si>
  <si>
    <t>Rehman Z. (COMSATS University Islamabad, Islamabad, Pakistan), Kifor C.V., Jabeen F. (COMSATS University Islamabad, Islamabad, Pakistan), Naz S. (COMSATS University Islamabad, Islamabad, Pakistan), Waqar M. (COMSATS University Islamabad, Islamabad, Pakistan)</t>
  </si>
  <si>
    <t xml:space="preserve">Automatic acquisition of failure mode and effect analysis ontology for sustainable risk management
</t>
  </si>
  <si>
    <t>Bai, Y., Yu, T., Zhang, T., Wang, T., Research of FMEA Method Based on Ontology, ET Conference Proceedings</t>
  </si>
  <si>
    <t>https://15109kdck-y-https-www-scopus-com.z.e-nformation.ro/results/citedbyresults.uri?sort=plf-f&amp;cite=2-s2.0-85097434749&amp;src=s&amp;imp=t&amp;sid=085b6ff264773fb26a16bb1ecf46939a&amp;sot=cite&amp;sdt=a&amp;sl=0&amp;origin=resultslist&amp;editSaveSearch=&amp;txGid=baf78d2853c4c456e2c594f7a2ab35ea</t>
  </si>
  <si>
    <t>Iuga M.V. (ULBS), Kifor C.V., Rosca L.I. (ULBS)</t>
  </si>
  <si>
    <t xml:space="preserve">Shop floor key performance indicators in automotive organizations
</t>
  </si>
  <si>
    <t>Liew, C.F., Prakash, J., Ong, K.S., Development and validation of an equipment cost efficiency framework for integrating financial and operational performance assessment in manufacturing: a case study, International Journal of Productivity and Quality Management</t>
  </si>
  <si>
    <t>https://15109kdwr-y-https-www-scopus-com.z.e-nformation.ro/results/citedbyresults.uri?sort=plf-f&amp;cite=2-s2.0-84941800315&amp;src=s&amp;imp=t&amp;sid=c7cc2fcc7852219eafbc31e9ce0c88b6&amp;sot=cite&amp;sdt=a&amp;sl=0&amp;origin=resultslist&amp;editSaveSearch=&amp;txGid=366885ad7124d0b5f26e8c6211344b1d</t>
  </si>
  <si>
    <t xml:space="preserve">	
Lean information management: Selecting criteria for key performance indicators at shop floor</t>
  </si>
  <si>
    <t>Pan, J., Liu, S., Tuck, S., Ong, A., A Lean Knowledge Management Processes Framework for Improving the Performance of Manufacturing Supply Chain Decisions in an Uncertain World, Lecture Notes in Business Information Processing</t>
  </si>
  <si>
    <t>https://15109kdwr-y-https-www-scopus-com.z.e-nformation.ro/results/citedbyresults.uri?sort=plf-f&amp;cite=2-s2.0-84941764282&amp;src=s&amp;imp=t&amp;sid=e7c8883662fca426bad58c9592ae13c8&amp;sot=cite&amp;sdt=a&amp;sl=0&amp;origin=resultslist&amp;editSaveSearch=&amp;txGid=ba2e88576176109158069c8635e5bfe1</t>
  </si>
  <si>
    <t>Grigore, N.A. (ULBS) and Kifor, C.V.</t>
  </si>
  <si>
    <t xml:space="preserve">Are electric vehicles eco-friendly products? A review from life cycle and sustainability perspective
</t>
  </si>
  <si>
    <t xml:space="preserve">Enhancing firms' green innovation and sustainable performance through the mediating role of green product innovation and moderating role of employees' green behavior
Li, H; Li, YY; (...); Ozturk, I
Oct 2022 ( </t>
  </si>
  <si>
    <t>https://1510q6cqw-y-https-www-webofscience-com.z.e-nformation.ro/wos/woscc/full-record/WOS:000882909300001</t>
  </si>
  <si>
    <t>SS Nicolaescu, HC Palade, CV Kifor, A Florea</t>
  </si>
  <si>
    <t>Collaborative platform for transferring knowledge from university to industry-a bridge grant case study</t>
  </si>
  <si>
    <t>Khan, S., Liu, X., Ali, S.A., Alam, M., 	
Bivariate, cluster, and suitability analysis of NoSQL solutions for big graph applications, Advances in Computers
, 128, pp. 39–105</t>
  </si>
  <si>
    <t>https://15109keh5-y-https-www-scopus-com.z.e-nformation.ro/results/results.uri?sort=plf-f&amp;src=s&amp;st1=Enabling+knowledge+sharing+in+a+production+context+in+China&amp;sid=bb6d12f7ae918caea0c8ec8292edb120&amp;sot=b&amp;sdt=b&amp;sl=66&amp;s=TITLE%28Bivariate%2C+cluster%2C+and+suitability+analysis+of+NoSQL+solutions+for+big+graph+applications%29&amp;origin=searchbasic&amp;editSaveSearch=&amp;yearFrom=Before+1960&amp;yearTo=Present&amp;sessionSearchId=bb6d12f7ae918caea0c8ec8292edb120&amp;limit=10</t>
  </si>
  <si>
    <t>M DUMITRAȘCU, CV KIFOR, L LOBONȚ</t>
  </si>
  <si>
    <t>cta Technica Napocensis-Series: Applied Mathematics, Mechanics</t>
  </si>
  <si>
    <t>Davoudabadi, R.
Mousavi, S.M.,
Zavadskas, E.K.
Dorfeshan, Y., 	
Introducing MOWSCER Method for Multiple Criteria Group Decision-Making: A New Method of Weighting in the Structure of Cause and Effect Relationships, International Journal of Information Technology and Decision Making</t>
  </si>
  <si>
    <t>https://15109keh5-y-https-www-scopus-com.z.e-nformation.ro/results/results.uri?sort=plf-f&amp;src=s&amp;st1=Enabling+knowledge+sharing+in+a+production+context+in+China&amp;sid=bb6d12f7ae918caea0c8ec8292edb120&amp;sot=b&amp;sdt=b&amp;sl=66&amp;s=TITLE%28Introducing+MOWSCER+Method+for+Multiple+Criteria+Group+Decision-Making%3A+A+New+Method+of+Weighting+in+the+Structure+of+Cause+and+Effect+Relationships%29&amp;origin=searchbasic&amp;editSaveSearch=&amp;yearFrom=Before+1960&amp;yearTo=Present&amp;sessionSearchId=bb6d12f7ae918caea0c8ec8292edb120&amp;limit=10</t>
  </si>
  <si>
    <t>LM Baral (Ayasanulah Univ, Bangladesh), R Muhammad (Ayasanulah Univ, Bangladesh), CV Kifor, I Bondrea (ULBS)</t>
  </si>
  <si>
    <t>Evaluating the effectiveness of Problem-Based Learning (PBL) implemented in the textile engineering course-a case study on Ahsanullah University of Science and Technology …
Balkan Region Conference on Engineering and Business Education 1 (1), 111-114</t>
  </si>
  <si>
    <t>Jamison, CSE; Fuher, J; (...); Huang-Saad, A
Nov 2 2022 | Feb 2022 (Early Access) | 
 47 (6) , pp.1356-1379</t>
  </si>
  <si>
    <t>https://1510q6d2m-y-https-www-webofscience-com.z.e-nformation.ro/wos/woscc/summary/e2dd1c3d-eb4d-4093-bbfa-f21c59d4bb80-92c29707/relevance/1</t>
  </si>
  <si>
    <t>MV Iuga (ULBS), CV Kifor</t>
  </si>
  <si>
    <t>Lean manufacturing: The when, the where, the who,
Revista Academiei Fortelor Terestre 18 (4), 404-410</t>
  </si>
  <si>
    <t xml:space="preserve">	
Özköse, H.
Güney, G., 	
The effects of industry 4.0 on productivity: A scientific mapping study, Technology in Society
, 75, 102368</t>
  </si>
  <si>
    <t>https://15109ke0x-y-https-www-scopus-com.z.e-nformation.ro/results/results.uri?sort=plf-f&amp;src=s&amp;st1=The+effects+of+industry+4.0+on+productivity%3A+A+scientific+mapping+study&amp;sid=aac003ac23c9f5f1d4669af2cd376120&amp;sot=b&amp;sdt=b&amp;sl=81&amp;s=TITLE%28the+AND+effects+AND+of+AND+industry+4.0+on+AND+productivity%3A+AND+a+AND+scientific+AND+mapping+AND+study%29&amp;origin=searchbasic&amp;editSaveSearch=&amp;yearFrom=Before+1960&amp;yearTo=Present&amp;sessionSearchId=aac003ac23c9f5f1d4669af2cd376120&amp;limit=10</t>
  </si>
  <si>
    <t>Ferrer, M., Calvo, E., Santa, R., 	
The key success factors to adopting lean practices: the case of South American manufacturing firms, TQM Journal
, 35(7), pp. 2068–2091</t>
  </si>
  <si>
    <t>https://15109ke0x-y-https-www-scopus-com.z.e-nformation.ro/results/results.uri?sort=plf-f&amp;src=s&amp;st1=The+effects+of+industry+4.0+on+productivity%3A+A+scientific+mapping+study&amp;sid=aac003ac23c9f5f1d4669af2cd376120&amp;sot=b&amp;sdt=b&amp;sl=81&amp;s=TITLE%28The+key+success+factors+to+adopting+lean+practices%3A+the+case+of+South+American+manufacturing+firms%29&amp;origin=searchbasic&amp;editSaveSearch=&amp;yearFrom=Before+1960&amp;yearTo=Present&amp;sessionSearchId=aac003ac23c9f5f1d4669af2cd376120&amp;limit=10</t>
  </si>
  <si>
    <t>Singh, C., Singh, D.
Khamba, J.S., Assessing Lean Practices in Manufacturing Industries Through an Extensive Literature Review, Lecture Notes in Mechanical Engineering</t>
  </si>
  <si>
    <t>https://15109ke0x-y-https-www-scopus-com.z.e-nformation.ro/record/display.uri?eid=2-s2.0-85148025894&amp;origin=resultslist&amp;sort=plf-f&amp;src=s&amp;sid=aac003ac23c9f5f1d4669af2cd376120&amp;sot=b&amp;sdt=b&amp;s=TITLE%28Assessing+Lean+Practices+in+Manufacturing+Industries+Through+an+Extensive+Literature+Review%29&amp;sl=81&amp;sessionSearchId=aac003ac23c9f5f1d4669af2cd376120&amp;relpos=0</t>
  </si>
  <si>
    <t>Wyrwicka Magdalena Krystyna, Wiecek-Janka Ewa, Brzezinski Lukasz, Transition to Sustainable Energy System for Smart Cities-Literature Review, ENERGIES</t>
  </si>
  <si>
    <t>https://www.webofscience.com/wos/woscc/full-record/WOS:001100207300001</t>
  </si>
  <si>
    <t>Ozcan Kuebra Akyol, Sustainability Ranking of Turkish Universities with Different Weighting Approaches and the TOPSIS Method, SUSTAINABILITY</t>
  </si>
  <si>
    <t>https://www.webofscience.com/wos/woscc/full-record/WOS:001056822000001</t>
  </si>
  <si>
    <t>Rupesh Surwade, Kanwaljit Singh Khas, Abhishek Bangre, Model-Making and Its Practices Improve Design Process for Beginners Students of Architecture &amp;Product Desig, JOURNAL FOR REATTACH THERAPY AND DEVELOPMENTAL DIVERSITIES</t>
  </si>
  <si>
    <t>https://jrtdd.com/index.php/journal/article/view/2602</t>
  </si>
  <si>
    <t>Camui Cerasela, Petre Viorel, Obtaining Hydrogen Using PWM Controlled Constant Current Source, Conference Proceedings of 13th International Symposium on Advanced Topics in Electrical Engineering, ATEE 2023Bucharest23 March 2023through 25 March 2023Code 188327</t>
  </si>
  <si>
    <t>https://www.scopus.com/record/display.uri?eid=2-s2.0-85159122333&amp;origin=resultslist&amp;sort=plf-f&amp;cite=2-s2.0-85147956840&amp;src=s&amp;imp=t&amp;sid=a8bf8141b93f5e004932baf32ad25c5e&amp;sot=cite&amp;sdt=a&amp;sl=0&amp;relpos=2&amp;citeCnt=0&amp;searchTerm=</t>
  </si>
  <si>
    <t>Sanskar Chaturvedi, Ar. Nidhi Chadda, Integration Of Smart Techniques For Achieving Energy Efficiency At Campuses, JOURNAL FOR REATTACH THERAPY AND DEVELOPMENTAL DIVERSITIES</t>
  </si>
  <si>
    <t>https://jrtdd.com/index.php/journal/article/view/2617</t>
  </si>
  <si>
    <t>Dobrotă, D. (ULBS), Racz, S.G. (ULBS), Oleksik, M. (ULBS), Rotaru, I. (ULBS), Tomescu, M. (ULBS), Simion, C.M. (ULBS)</t>
  </si>
  <si>
    <t>Pimenov, D.Y., Kiran, M., Khanna, N. et al. Review of improvement of machinability and surface integrity in machining on aluminum alloys. Int J Adv Manuf Technol 129, 4743–4779 (2023). https://doi.org/10.1007/s00170-023-12630-4, WOS:001104262100002</t>
  </si>
  <si>
    <t>https://www.webofscience.com/wos/woscc/full-record/WOS:001104262100002</t>
  </si>
  <si>
    <t>Simion Carmen</t>
  </si>
  <si>
    <r>
      <rPr>
        <rFont val="Arial Narrow"/>
        <color rgb="FF000000"/>
        <sz val="10.0"/>
      </rPr>
      <t xml:space="preserve">Serrano, E., López-Sánchez, J., García-Galván, F., Serrano, A., de la Fuente, O., Barranco, V., Galván, J., Carmona, N., Evaluation of Low-Toxic Hybrid Sol-Gel Coatings with Organic pH-Sensitive Inhibitors for Corrosion Protection of AA2024 Aluminium Alloy. Gels, volume 9, issue 4, ISSN 23102861, DOI: </t>
    </r>
    <r>
      <rPr>
        <rFont val="Arial Narrow"/>
        <color rgb="FF2E2E2E"/>
        <sz val="10.0"/>
      </rPr>
      <t>10.3390/gels9040294</t>
    </r>
    <r>
      <rPr>
        <rFont val="Arial Narrow"/>
        <color rgb="FF000000"/>
        <sz val="10.0"/>
      </rPr>
      <t>, 2023</t>
    </r>
  </si>
  <si>
    <t>https://www.webofscience.com/wos/woscc/full-record/WOS:000984049200001</t>
  </si>
  <si>
    <t>Cofaru, N.F.(ULBS), Oleksik, V. (ULBS), Cofaru, I.I (ULBS)., Simion, C.M. (ULBS), Roman, M. (ULBS), Lebădă, I.C (ULBS)., Fleacă, R. (ULBS)</t>
  </si>
  <si>
    <t>Geometrical Planning of the Medial Opening Wedge High Tibial Osteotomy—An Experimental Approach</t>
  </si>
  <si>
    <r>
      <rPr>
        <rFont val="Arial Narrow"/>
        <color rgb="FF000000"/>
        <sz val="10.0"/>
      </rPr>
      <t>Zhong, R., Yu, G., Wang, YM., Fang, C., Lu, S., Liu, ZL., Gao, JY., Yan, CY., Zhao, QC.</t>
    </r>
    <r>
      <rPr>
        <rFont val="Arial Narrow"/>
        <color theme="1"/>
        <sz val="10.0"/>
      </rPr>
      <t xml:space="preserve">, Research on the Influence of the Allogeneic Bone Graft in Postoperative Recovery After MOWHTO: A Retrospective Study. </t>
    </r>
    <r>
      <rPr>
        <rFont val="Arial Narrow"/>
        <color rgb="FF000000"/>
        <sz val="10.0"/>
      </rPr>
      <t>Therapeutics and Clinical Risk Management</t>
    </r>
    <r>
      <rPr>
        <rFont val="Arial Narrow"/>
        <color theme="1"/>
        <sz val="10.0"/>
      </rPr>
      <t xml:space="preserve">, volume 19, pp. 193-205, 2023, DOI: </t>
    </r>
    <r>
      <rPr>
        <rFont val="Arial Narrow"/>
        <color rgb="FF000000"/>
        <sz val="10.0"/>
      </rPr>
      <t>https://doi.org/10.2147/TCRM.S400354, WOS:000937234100001</t>
    </r>
  </si>
  <si>
    <t>https://www.webofscience.com/wos/woscc/full-record/WOS:000937234100001</t>
  </si>
  <si>
    <t>Simion, C. (ULBS)</t>
  </si>
  <si>
    <t>Capability studies, helpful tools in process quality improvement.</t>
  </si>
  <si>
    <r>
      <rPr>
        <rFont val="Arial Narrow"/>
        <color rgb="FF000000"/>
        <sz val="10.0"/>
      </rPr>
      <t>Dian, M., Vysloužilová, D.</t>
    </r>
    <r>
      <rPr>
        <rFont val="Arial Narrow"/>
        <color theme="1"/>
        <sz val="10.0"/>
      </rPr>
      <t xml:space="preserve">, Capability Studies as a Key Driver for Product and Process Quality Assurance in Industrialization Process. </t>
    </r>
    <r>
      <rPr>
        <rFont val="Arial Narrow"/>
        <color rgb="FF000000"/>
        <sz val="10.0"/>
      </rPr>
      <t xml:space="preserve">System Safety: Human - Technical Facility – Environment, </t>
    </r>
    <r>
      <rPr>
        <rFont val="Arial Narrow"/>
        <color theme="1"/>
        <sz val="10.0"/>
      </rPr>
      <t>Volume 5, Issue 1, pp. 332-341, DOI: </t>
    </r>
    <r>
      <rPr>
        <rFont val="Arial Narrow"/>
        <color rgb="FF000000"/>
        <sz val="10.0"/>
      </rPr>
      <t>https://doi.org/10.2478/czoto-2023-0036</t>
    </r>
    <r>
      <rPr>
        <rFont val="Arial Narrow"/>
        <color theme="1"/>
        <sz val="10.0"/>
      </rPr>
      <t>, 2023</t>
    </r>
  </si>
  <si>
    <t>https://www.scopus.com/record/display.uri?eid=2-s2.0-85182953235&amp;origin=resultslist&amp;sort=plf-f&amp;cite=2-s2.0-85028378919&amp;src=s&amp;imp=t&amp;sid=7c95069a7c1dd696a41bdda7e2990b02&amp;sot=cite&amp;sdt=a&amp;sl=0&amp;relpos=0&amp;citeCnt=0&amp;searchTerm=</t>
  </si>
  <si>
    <t xml:space="preserve">Assessment of Visual Examination for Wire Rope Slings Using the Attributive Measurement System Analysis. </t>
  </si>
  <si>
    <r>
      <rPr>
        <rFont val="Arial Narrow"/>
        <color rgb="FF000000"/>
        <sz val="10.0"/>
      </rPr>
      <t>Sanchez-Marquez, R., Gerhorst, F., Schindler, D., Effectiveness of quality inspections of attributive characteristics – A novel and practical method for estimating the “intrinsic” value of kappa based on alpha and beta statistics</t>
    </r>
    <r>
      <rPr>
        <rFont val="Arial Narrow"/>
        <color rgb="FF1F3763"/>
        <sz val="10.0"/>
      </rPr>
      <t xml:space="preserve">. </t>
    </r>
    <r>
      <rPr>
        <rFont val="Arial Narrow"/>
        <color rgb="FF000000"/>
        <sz val="10.0"/>
      </rPr>
      <t xml:space="preserve">Computers &amp; Industrial Engineering, Volume 176, ISSN 0360-8352, </t>
    </r>
    <r>
      <rPr>
        <rFont val="Arial Narrow"/>
        <color rgb="FF1F3763"/>
        <sz val="10.0"/>
      </rPr>
      <t>eISSN 1879-0550,</t>
    </r>
    <r>
      <rPr>
        <rFont val="Arial Narrow"/>
        <color rgb="FF000000"/>
        <sz val="10.0"/>
      </rPr>
      <t> DOI 10.1016/j.cie.2023.1090062023.</t>
    </r>
  </si>
  <si>
    <t>https://www.webofscience.com/wos/woscc/full-record/WOS:000925457000001</t>
  </si>
  <si>
    <t xml:space="preserve">Borza, S. (ULBS), Bondrea, I. (ULBS), Simion, C. (ULBS) </t>
  </si>
  <si>
    <t xml:space="preserve">Create tutorials with multimedia elements, used in the education process in higher education. </t>
  </si>
  <si>
    <t>Ghaith, Y., Ghosh, U., Guerra, M., Hammouri, Q., Alkhuzaie, Y &amp; Ghaith, M. (2023). Quality management application and educational performance in higher education institutions: A bibliometric analysis.Uncertain Supply Chain Management, 11(4), ISSN 2291-6830 (online), ISSN 2291-6822 (print), p. 1657-1666, DOI: 10.5267/j.uscm.2023.7.003, 2023.</t>
  </si>
  <si>
    <t>https://www.scopus.com/record/display.uri?eid=2-s2.0-85168947325&amp;origin=resultslist&amp;sort=plf-f&amp;src=s&amp;sid=91a4558018759f09dc88758c59dafa16&amp;sot=b&amp;sdt=b&amp;s=TITLE%28Quality+management+application+and+educational+performance+in+higher+education+institutions%3A+A+bibliometric+analysis.*%29&amp;sl=125&amp;sessionSearchId=91a4558018759f09dc88758c59dafa16&amp;relpos=0</t>
  </si>
  <si>
    <t xml:space="preserve">Assessment of process stability and capability in a manufacturing organization: a case study. </t>
  </si>
  <si>
    <t>Baro, M., Piña, M., Reyes, A., 6 Sigma and DMAIC Method: Basic Tool Teaching and Application for Beginning Practitioners in Automotive Assembly. Journal of Optimization in Industrial Engineering, 16(1), ISSN 22519904, pp. 89–96, DOI: 10.22094/JOIE.2023.1976488.2029, 2023</t>
  </si>
  <si>
    <t>https://www.scopus.com/record/display.uri?eid=2-s2.0-85164782780&amp;origin=resultslist&amp;sort=plf-f&amp;src=s&amp;sid=ca909225ffe495892a85df8a2a9a1566&amp;sot=b&amp;sdt=b&amp;s=TITLE%286+Sigma+and+DMAIC+Method%3A+Basic+Tool+Teaching+and+Application+for+Beginning+Practitioners+in+Automotive+Assembly*%29&amp;sl=120&amp;sessionSearchId=ca909225ffe495892a85df8a2a9a1566&amp;relpos=0</t>
  </si>
  <si>
    <t xml:space="preserve">Ciora, R. (ULBS), Simion., C., M. (ULBS) </t>
  </si>
  <si>
    <t>Industrial applications of image processing</t>
  </si>
  <si>
    <t>Maiti, C., Muthuswamy, S., Classification of materials in cylindrical workpieces using image processing and machine learning technique., International Journal of Production Research, ISSN 00207543, 62 (7), 2566-2583, DOI: 10.1080/00207543.2023.2219344, 2023</t>
  </si>
  <si>
    <t>https://www.webofscience.com/wos/woscc/summary/a48debb5-58e0-4dd7-9788-d9803255d8ba-d1b3777b/relevance/1</t>
  </si>
  <si>
    <r>
      <rPr>
        <rFont val="Arial Narrow"/>
        <color rgb="FF000000"/>
        <sz val="10.0"/>
      </rPr>
      <t xml:space="preserve">Cheng, P.D.C., Indri, M., Maresca, F., Ragazzo, A., Sibona, F., </t>
    </r>
    <r>
      <rPr>
        <rFont val="Arial Narrow"/>
        <color rgb="FF333333"/>
        <sz val="10.0"/>
      </rPr>
      <t xml:space="preserve">Dynamic path planning in human-shared environments for low-resource mobile agents. </t>
    </r>
    <r>
      <rPr>
        <rFont val="Arial Narrow"/>
        <i/>
        <color rgb="FF333333"/>
        <sz val="10.0"/>
      </rPr>
      <t>2023 IEEE 32nd International Symposium on Industrial Electronics (ISIE)</t>
    </r>
    <r>
      <rPr>
        <rFont val="Arial Narrow"/>
        <color rgb="FF333333"/>
        <sz val="10.0"/>
      </rPr>
      <t>, Helsinki, Finland, 2023, pp. 1-6, doi: 10.1109/ISIE51358.2023.10228018, 2023</t>
    </r>
  </si>
  <si>
    <t>https://www.scopus.com/results/results.uri?sort=plf-f&amp;src=s&amp;st1=10.3901%2FJME.2023.19.429&amp;sid=9f4b1ee373bfeee64e8f14de4194de18&amp;sot=b&amp;sdt=b&amp;sl=28&amp;s=DOI%2810.1109%2FISIE51358.2023.10228018%29&amp;origin=searchbasic&amp;editSaveSearch=&amp;yearFrom=Before+1960&amp;yearTo=Present&amp;sessionSearchId=9f4b1ee373bfeee64e8f14de4194de18&amp;limit=10</t>
  </si>
  <si>
    <t>Lissassi, K.C., Dossou, PE., Sabourin, C., Using Computer Vision to Improve SME Performance. In: Silva, F.J.G., Pereira, A.B., Campilho, R.D.S.G. (eds) Flexible Automation and Intelligent Manufacturing: Establishing Bridges for More Sustainable Manufacturing Systems. FAIM 2023. Lecture Notes in Mechanical Engineering. Springer, Cham, Online ISBN978-3-031-38241-3, https://doi.org/10.1007/978-3-031-38241-3_13, 2023</t>
  </si>
  <si>
    <t>https://www.scopus.com/record/display.uri?eid=2-s2.0-85171563914&amp;origin=resultslist&amp;sort=plf-f&amp;src=s&amp;sid=9f4b1ee373bfeee64e8f14de4194de18&amp;sot=b&amp;sdt=b&amp;s=DOI%2810.1007%2F978-3-031-38241-3_13*%29&amp;sl=28&amp;sessionSearchId=9f4b1ee373bfeee64e8f14de4194de18&amp;relpos=0</t>
  </si>
  <si>
    <r>
      <rPr>
        <rFont val="Arial Narrow"/>
        <color rgb="FF333333"/>
        <sz val="10.0"/>
      </rPr>
      <t xml:space="preserve">Arora, M., Enhancing Quality Control in Industry 4.0: Advanced Image Processing for Automated Defect Detection, </t>
    </r>
    <r>
      <rPr>
        <rFont val="Arial Narrow"/>
        <i/>
        <color rgb="FF333333"/>
        <sz val="10.0"/>
      </rPr>
      <t>2023 First International Conference on Cyber Physical Systems, Power Electronics and Electric Vehicles (ICPEEV)</t>
    </r>
    <r>
      <rPr>
        <rFont val="Arial Narrow"/>
        <color rgb="FF333333"/>
        <sz val="10.0"/>
      </rPr>
      <t>, Hyderabad, India, 2023, pp. 1-8, doi: 10.1109/ICPEEV58650.2023.10391889, 2023</t>
    </r>
  </si>
  <si>
    <t>https://www.scopus.com/record/display.uri?eid=2-s2.0-85184663093&amp;origin=resultslist&amp;sort=plf-f&amp;src=s&amp;sid=9f4b1ee373bfeee64e8f14de4194de18&amp;sot=b&amp;sdt=b&amp;s=DOI%2810.1109%2FICPEEV58650.2023.10391889*%29&amp;sl=28&amp;sessionSearchId=9f4b1ee373bfeee64e8f14de4194de18&amp;relpos=0</t>
  </si>
  <si>
    <t>Human resources analytics in practice: A knowledge discovery process, Belizón, MJ (Belizon, Maria Jesus) [1] , [2] ; Majarín, D (Majarin, Delia) [3] ; Aguado, D (Aguado, David) [4] , [5], EUROPEAN MANAGEMENT REVIEW</t>
  </si>
  <si>
    <t>https://1510qaiwy-y-https-www-webofscience-com.z.e-nformation.ro/wos/woscc/full-record/WOS:001065491400001</t>
  </si>
  <si>
    <t>Smart working as an organisational process or as a social change? An Italian pandemic experience, Morea, D (Morea, Donato) [1] ; Basile, G (Basile, Gianpaolo) [2] ; Bonacci, I (Bonacci, Isabella) [2] ; Mazzitelli, A (Mazzitelli, Andrea) [2], EMPLOYEE RELATIONS</t>
  </si>
  <si>
    <t>https://1510qaiwy-y-https-www-webofscience-com.z.e-nformation.ro/wos/woscc/full-record/WOS:000919958200001</t>
  </si>
  <si>
    <t>Integrative Literature Review on People Analytics and Implications From the Perspective of Human Resource Development
By
Lee, JY (Lee, Jae Young) [1] ; Lee, YS (Lee, Yunsoo) [2] , [3], HUMAN RESOURCE DEVELOPMENT REVIEW</t>
  </si>
  <si>
    <t>https://1510qibbs-y-https-www-webofscience-com.z.e-nformation.ro/wos/woscc/full-record/WOS:001112412700001</t>
  </si>
  <si>
    <t>Workforce Data Analysis, Upadhyayula, S.M., Shruti, A., Narayanan, S.2023 2nd International Conference on Smart Technologies for Smart Nation, SmartTechCon 2023
pp. 819-824</t>
  </si>
  <si>
    <t>https://15109ibgj-y-https-www-scopus-com.z.e-nformation.ro/record/display.uri?eid=2-s2.0-85184829894&amp;citeCnt=3_DELIM_3_DELIM_CTODS_1766280744_DELIM_1&amp;origin=resultslist&amp;sort=plf-f&amp;refeid=2-s2.0-85120072931&amp;src=s&amp;imp=t&amp;sid=7fab23df470164e38f4d74c77d46000f&amp;sot=ctocbw&amp;sdt=a&amp;sl=15&amp;s=PUBYEAR+IS+2023&amp;relpos=1&amp;citeCnt=0&amp;searchTerm=</t>
  </si>
  <si>
    <t xml:space="preserve">SĂVESCU, R (ULBS).; Kifor, CV (ULBS).; Dănuț, R (ULBS).; Rusu, R (AFT). </t>
  </si>
  <si>
    <t xml:space="preserve">Transition from Office to Home Office: Lessons from Romania during COVID-19 Pandemic. </t>
  </si>
  <si>
    <t>Electricity Market Dynamics and Regional Interdependence in the Face of Pandemic Restrictions and the Russian-Ukrainian Conflict, Szeberenyi, A (Szeberenyi, Andras) [1] ; Bako, F (Bako, Ferenc) [2], ENERGIES</t>
  </si>
  <si>
    <t>https://1510qaiwy-y-https-www-webofscience-com.z.e-nformation.ro/wos/woscc/full-record/WOS:001073556100001</t>
  </si>
  <si>
    <t>Navigating Uncharted Waters: Exploring Leaders' Challenges in the Era of COVID-19 and the Rise of Telework, Edvardsson, IR (Edvardsson, Ingi Runar) [1] ; Gardarsdottir, J (Gardarsdottir, Johanna), SUSTAINABILITY</t>
  </si>
  <si>
    <t>https://1510qibbs-y-https-www-webofscience-com.z.e-nformation.ro/wos/woscc/full-record/WOS:001116640900001</t>
  </si>
  <si>
    <t>AN INVESTIGATION ON THE INFLUENCE OF MEDIATORS ON IMPROVING ORGANIZATIONAL COMMUNICATION, JOB SATISFACTION, AND PERFORMANCE IN THE SOFTWARE INDUSTRYPrabakaran, N., Patrick, H.A.2023 Community Practitioner
20(12), pp. 238-253</t>
  </si>
  <si>
    <t>https://15109ibgj-y-https-www-scopus-com.z.e-nformation.ro/record/display.uri?eid=2-s2.0-85182158246&amp;citeCnt=3_DELIM_3_DELIM_CTODS_1766295878_DELIM_1&amp;origin=resultslist&amp;sort=plf-f&amp;refeid=2-s2.0-85130406724&amp;src=s&amp;imp=t&amp;sid=cf169d701278e0879c46da2466a9e73a&amp;sot=ctocbw&amp;sdt=a&amp;sl=15&amp;s=PUBYEAR+IS+2023&amp;relpos=0&amp;citeCnt=0&amp;searchTerm=</t>
  </si>
  <si>
    <t>Impact of COVID-19 on Productivity of Software Engineers: A Comparative Analysis of work from home (WFH) and work from office (WFO) environment using Machine LearningRehan, F.A., Bukhari, F., Iqbal, W.2023</t>
  </si>
  <si>
    <t>https://15109ibgj-y-https-www-scopus-com.z.e-nformation.ro/record/display.uri?eid=2-s2.0-85184850551&amp;citeCnt=3_DELIM_3_DELIM_CTODS_1766295878_DELIM_1&amp;origin=resultslist&amp;sort=plf-f&amp;refeid=2-s2.0-85130406724&amp;src=s&amp;imp=t&amp;sid=cf169d701278e0879c46da2466a9e73a&amp;sot=ctocbw&amp;sdt=a&amp;sl=15&amp;s=PUBYEAR+IS+2023&amp;relpos=2&amp;citeCnt=0&amp;searchTerm=</t>
  </si>
  <si>
    <t>Savescu, RF (ULBS) and Laba, M (Comisia Clasificare)</t>
  </si>
  <si>
    <t xml:space="preserve">Multivariate regression analysis applied to the calibration of equipment used in pig meat classification in Romania.
</t>
  </si>
  <si>
    <t>Classification of pig carcasses in the European Union: historical overview and harmonization challenges
By
Daumas, G (Daumas, Gerard) [1]
Source
INRAE PRODUCTIONS ANIMALES</t>
  </si>
  <si>
    <t>https://1510qibbs-y-https-www-webofscience-com.z.e-nformation.ro/wos/woscc/full-record/WOS:001157415400003</t>
  </si>
  <si>
    <t>What are universities pursuing? A review of the Quacquarelli Symonds world university rankings of Taiwanese universities (2021-2023)
Wang, RJ and Shih, YH
May 25 2023 |, FRONTIERS IN EDUCATION</t>
  </si>
  <si>
    <t>https://1510qaiwy-y-https-www-webofscience-com.z.e-nformation.ro/wos/woscc/full-record/WOS:001002913600001</t>
  </si>
  <si>
    <t>Impact of the Global University Ranking Systems on Higher Education in Ghana With Special Focus on the Role of Academic Libraries (  Book Chapter)	Owusu-Ansah, S., Donkor, A.B., Asamoah, C.	2023	Impact of Global University Ranking Systems on Developing Countries
pp. 171-189</t>
  </si>
  <si>
    <t>https://15109aixn-y-https-www-scopus-com.z.e-nformation.ro/record/display.uri?eid=2-s2.0-85167762791&amp;origin=resultslist&amp;sort=plf-f&amp;cite=2-s2.0-85120807573&amp;src=s&amp;imp=t&amp;sid=4973b281d72f76baa054d40a9d99477b&amp;sot=cite&amp;sdt=a&amp;sl=0&amp;relpos=1&amp;citeCnt=0&amp;searchTerm=</t>
  </si>
  <si>
    <t>CLUSTERING MEMBERS OF PROJECT TEAMS ACCORDING THEIR PERCEPTIONS ABOUT THE IMPACT OF REMOTE WORK ON PROJECT SUCCESS: A COMPARATIVE ANALYSIS
Open Access
de Souza, L.A., Costa, H.G.	2023	Pesquisa Operacional
43,e276911</t>
  </si>
  <si>
    <t>https://15109ibgj-y-https-www-scopus-com.z.e-nformation.ro/record/display.uri?eid=2-s2.0-85179738075&amp;citeCnt=5_DELIM_5_DELIM_CTODS_1766295878_DELIM_1&amp;origin=resultslist&amp;sort=plf-f&amp;refeid=2-s2.0-85137581183&amp;src=s&amp;imp=t&amp;sid=59657bb409386603ac3fa96d83f560d6&amp;sot=ctocbw&amp;sdt=a&amp;sl=15&amp;s=PUBYEAR+IS+2023&amp;relpos=3&amp;citeCnt=0&amp;searchTerm=</t>
  </si>
  <si>
    <t>Determinants of improving the relationship between corporate culture and work performance: Illusion or reality of serial mediation of leadership and work engagement in a crisis period?
Michulek, J; Gajanova, L; (...); Nadanyiova, M
Mar 15 2023 | FRONTIERS IN PSYCHOLOGY</t>
  </si>
  <si>
    <t>https://1510qaiwy-y-https-www-webofscience-com.z.e-nformation.ro/wos/woscc/full-record/WOS:000960243600001</t>
  </si>
  <si>
    <t>The level of depression, anxiety and job satisfaction among young Contact Centre employees during the COVID-19 pandemic
By
Juras-Darowny, M (Juras-Darowny, Malgorzata) [1] ; Król, M (Krol, Magdalena) [1] ; Chodkiewicz, J (Chodkiewicz, Jan) [1] ; Talarowska, ME (Talarowska, Monika E.) [1], ARCHIVES OF PSYCHIATRY AND PSYCHOTHERAPY</t>
  </si>
  <si>
    <t>https://1510qibbs-y-https-www-webofscience-com.z.e-nformation.ro/wos/woscc/full-record/WOS:001128094300004</t>
  </si>
  <si>
    <t xml:space="preserve">	How Do COVID-19 Risk, Life-Safety Risk, Job Insecurity, and Work–Family Conflict Affect Miner Performance? Health-Anxiety and Job-Anxiety Perspectives
Open Access
Zhang, W., Gu, D., Xie, Y., Khakimova, A., Zolotarev, O.	2023	International Journal of Environmental Research and Public Health
20(6),5138</t>
  </si>
  <si>
    <t>https://15109aixn-y-https-www-scopus-com.z.e-nformation.ro/record/display.uri?eid=2-s2.0-85151113520&amp;origin=resultslist&amp;sort=plf-f&amp;cite=2-s2.0-85137581183&amp;src=s&amp;imp=t&amp;sid=9fd341902859ff480a17773c30e30852&amp;sot=cite&amp;sdt=a&amp;sl=0&amp;relpos=0&amp;citeCnt=0&amp;searchTerm=</t>
  </si>
  <si>
    <t>Optimizing Work-From-Anywhere Employee Productivity: A Comprehensive Investigation of the Most Influential Factors Using Factor Analysis and Analytical Hierarchy Process Method	Fauziyah, N.N., Priharsari, D., Setiawan, B.D., Pinandito, A.	2023</t>
  </si>
  <si>
    <t>https://15109ibgj-y-https-www-scopus-com.z.e-nformation.ro/record/display.uri?eid=2-s2.0-85182393145&amp;citeCnt=5_DELIM_5_DELIM_CTODS_1766295878_DELIM_1&amp;origin=resultslist&amp;sort=plf-f&amp;refeid=2-s2.0-85137581183&amp;src=s&amp;imp=t&amp;sid=59657bb409386603ac3fa96d83f560d6&amp;sot=ctocbw&amp;sdt=a&amp;sl=15&amp;s=PUBYEAR+IS+2023&amp;relpos=0&amp;citeCnt=0&amp;searchTerm=</t>
  </si>
  <si>
    <t xml:space="preserve">	The Post-COVID-19 Era, Fourth Industrial Revolution, and New Globalization: Restructured Labor Relations and Organizational Adaptation
Open Access
Koutroukis, T., Chatzinikolaou, D., Vlados, C., Pistikou, V.	2022	Societies
12(6),187</t>
  </si>
  <si>
    <t>https://15109aixn-y-https-www-scopus-com.z.e-nformation.ro/record/display.uri?eid=2-s2.0-85144561200&amp;origin=resultslist&amp;sort=plf-f&amp;cite=2-s2.0-85137581183&amp;src=s&amp;imp=t&amp;sid=9fd341902859ff480a17773c30e30852&amp;sot=cite&amp;sdt=a&amp;sl=0&amp;relpos=2&amp;citeCnt=2&amp;searchTerm=</t>
  </si>
  <si>
    <t>Implementing Lean Six Sigma in a multispecialty hospital through a change management approach
Samanta, AK; Varaprasad, G; (...); Antony, J
Aug 2023 (Early Access) | 
TQM JOURNAL</t>
  </si>
  <si>
    <t>https://1510qaiwy-y-https-www-webofscience-com.z.e-nformation.ro/wos/woscc/full-record/WOS:001050304000001</t>
  </si>
  <si>
    <r>
      <rPr>
        <rFont val="Arial Narrow"/>
        <color theme="1"/>
        <sz val="10.0"/>
      </rPr>
      <t>Sǎvescu, R. (ULBS)</t>
    </r>
    <r>
      <rPr>
        <rFont val="Arial Narrow"/>
        <color rgb="FF323232"/>
        <sz val="10.0"/>
      </rPr>
      <t>, Rotaru, M. (ULBS)</t>
    </r>
  </si>
  <si>
    <t>Market Analysis in the Romanian Agricultural Sector: Statistics Explained</t>
  </si>
  <si>
    <t>Study of regional agricultural production using multivariate analysis techniques
Open Access
Salimova, G., Zalilova, Z., Lukyanova, M.	2023	E3S Web of Conferences
371,03043</t>
  </si>
  <si>
    <t>https://15109aixn-y-https-www-scopus-com.z.e-nformation.ro/record/display.uri?eid=2-s2.0-85149638913&amp;origin=resultslist&amp;sort=plf-f&amp;cite=2-s2.0-85124038969&amp;src=s&amp;imp=t&amp;sid=117fec2590018c0024bdfb82220fb8ad&amp;sot=cite&amp;sdt=a&amp;sl=0&amp;relpos=0&amp;citeCnt=0&amp;searchTerm=</t>
  </si>
  <si>
    <t>Savescu, RF (ULBS) and Laba, M (CCC)</t>
  </si>
  <si>
    <t xml:space="preserve">Multivariate regression analysis applied to the calibration of equipment used in pig meat 
 classification in Romania.
</t>
  </si>
  <si>
    <t xml:space="preserve">Classification of pig carcasses in the European Union: historical overview and harmonization challenges
Daumas, G
2023
INRAE PRODUCTIONS ANIMALES 36 </t>
  </si>
  <si>
    <t>https://15109k718-y-https-www-scopus-com.z.e-nformation.ro/record/display.uri?eid=2-s2.0-85184903146&amp;origin=resultslist&amp;sort=plf-f&amp;cite=2-s2.0-84955610218&amp;src=s&amp;imp=t&amp;sid=be3c1f064116357f076e5292aa909043&amp;sot=cite&amp;sdt=a&amp;sl=0&amp;relpos=0&amp;citeCnt=0&amp;searchTerm=</t>
  </si>
  <si>
    <t>Implementing Lean Six Sigma in health care: a review of case studies
Alok Kumar Samanta, Varaprasad G., Anand Gurumurthy 
International Journal of Lean Six Sigma</t>
  </si>
  <si>
    <t>https://www.emerald.com/insight/content/doi/10.1108/IJLSS-08-2021-0133/full/html</t>
  </si>
  <si>
    <t xml:space="preserve">Cofaru, N.F.; Roman, M.D.; Cofaru, I.I.; Oleksik, V.S.; Fleaca, S.R. </t>
  </si>
  <si>
    <t>Medial Opening Wedge High Tibial Osteotomy in KneeOsteoarthritis—A Biomechanical Approach.Appl. Sci2020,10, 8972.</t>
  </si>
  <si>
    <t xml:space="preserve">Ravandi, M. R. M., Dezianian, S., Ahmad, M. T., Ghoddosian, A., &amp; Azadi, M. (2023). Compressive strength of metamaterial bones fabricated by 3D printing with different porosities in cubic cells. Materials Chemistry and Physics, 299, 127515. </t>
  </si>
  <si>
    <t>https://www.sciencedirect.com/science/article/abs/pii/S0254058423002237</t>
  </si>
  <si>
    <r>
      <rPr>
        <rFont val="Arial Narrow"/>
        <color theme="1"/>
        <sz val="10.0"/>
      </rPr>
      <t xml:space="preserve">Mederake, M., Eleftherakis, G., Schüll, D., Springer, F., Maffulli, N., Migliorini, F., &amp; Konrads, C. (2023). The gap height in open wedge high tibial osteotomy is not affected by the starting point of the osteotomy. </t>
    </r>
    <r>
      <rPr>
        <rFont val="Arial Narrow"/>
        <i/>
        <color theme="1"/>
        <sz val="10.0"/>
      </rPr>
      <t>BMC Musculoskeletal Disorders</t>
    </r>
    <r>
      <rPr>
        <rFont val="Arial Narrow"/>
        <color theme="1"/>
        <sz val="10.0"/>
      </rPr>
      <t xml:space="preserve">, </t>
    </r>
    <r>
      <rPr>
        <rFont val="Arial Narrow"/>
        <i/>
        <color theme="1"/>
        <sz val="10.0"/>
      </rPr>
      <t>24</t>
    </r>
    <r>
      <rPr>
        <rFont val="Arial Narrow"/>
        <color theme="1"/>
        <sz val="10.0"/>
      </rPr>
      <t>(1), 373.</t>
    </r>
  </si>
  <si>
    <t>https://link.springer.com/article/10.1186/s12891-023-06478-8</t>
  </si>
  <si>
    <r>
      <rPr>
        <rFont val="Arial Narrow"/>
        <color theme="1"/>
        <sz val="10.0"/>
      </rPr>
      <t xml:space="preserve">Przystalski, K., Paleczek, A., Szustakowski, K., Wawryka, P., Jungiewicz, M., Zalewski, M., ... &amp; Miśkowiec, K. (2023). Automated correction angle calculation in high tibial osteotomy planning. </t>
    </r>
    <r>
      <rPr>
        <rFont val="Arial Narrow"/>
        <i/>
        <color theme="1"/>
        <sz val="10.0"/>
      </rPr>
      <t>Scientific Reports</t>
    </r>
    <r>
      <rPr>
        <rFont val="Arial Narrow"/>
        <color theme="1"/>
        <sz val="10.0"/>
      </rPr>
      <t xml:space="preserve">, </t>
    </r>
    <r>
      <rPr>
        <rFont val="Arial Narrow"/>
        <i/>
        <color theme="1"/>
        <sz val="10.0"/>
      </rPr>
      <t>13</t>
    </r>
    <r>
      <rPr>
        <rFont val="Arial Narrow"/>
        <color theme="1"/>
        <sz val="10.0"/>
      </rPr>
      <t>(1), 12876.</t>
    </r>
  </si>
  <si>
    <r>
      <rPr>
        <rFont val="Arial Narrow"/>
        <color theme="1"/>
        <sz val="10.0"/>
      </rPr>
      <t xml:space="preserve">Mustamsir, E., &amp; Sukmajaya, W. P. (2023). High Tibial Osteotomy: State of the art. </t>
    </r>
    <r>
      <rPr>
        <rFont val="Arial Narrow"/>
        <i/>
        <color theme="1"/>
        <sz val="10.0"/>
      </rPr>
      <t>The Hip and Knee Journal</t>
    </r>
    <r>
      <rPr>
        <rFont val="Arial Narrow"/>
        <color theme="1"/>
        <sz val="10.0"/>
      </rPr>
      <t xml:space="preserve">, </t>
    </r>
    <r>
      <rPr>
        <rFont val="Arial Narrow"/>
        <i/>
        <color theme="1"/>
        <sz val="10.0"/>
      </rPr>
      <t>4</t>
    </r>
    <r>
      <rPr>
        <rFont val="Arial Narrow"/>
        <color theme="1"/>
        <sz val="10.0"/>
      </rPr>
      <t>(2), 51-66.</t>
    </r>
  </si>
  <si>
    <t>https://scholar.valpo.edu/jmms/vol9/iss1/15/</t>
  </si>
  <si>
    <t>Cofaru, Ileana Ioana; Oleksik, Mihaela; Cofaru, Nicolae Florin; Branescu, Andrei Horia; Hasegan, Adrian; Roman, Mihai Dan; Fleaca, Sorin Radu; Dobrota, Robert Daniel</t>
  </si>
  <si>
    <t>A Computer-Assisted Approach Regarding the Optimization of the Geometrical Planning of Medial Opening Wedge High Tibial Osteotomy</t>
  </si>
  <si>
    <t>Zhong, R., Yu, G., Wang, Y., Fang, C., Lu, S., Liu, Z., ... &amp; Zhao, Q. (2023). Research on the Influence of the Allogeneic Bone Graft in Postoperative Recovery After MOWHTO: A Retrospective Study. Therapeutics and Clinical Risk Management, 193-205.</t>
  </si>
  <si>
    <t>https://www.tandfonline.com/doi/full/10.2147/TCRM.S400354</t>
  </si>
  <si>
    <t xml:space="preserve">Cofaru, N.F.; Oleksik, V.; Cofaru, I.I.; Simion, C.M.; Roman, M.D.; Lebada, I.C.; Fleaca, S.R. </t>
  </si>
  <si>
    <t>Geometrical Planning of the Medial Opening Wedge High Tibial Osteotomy—An Experimental Approach. Appl. Sci. 2022, 12, 2475. https://doi.org/10.3390/app12052475</t>
  </si>
  <si>
    <r>
      <rPr>
        <rFont val="Arial Narrow"/>
        <color theme="1"/>
        <sz val="10.0"/>
      </rPr>
      <t xml:space="preserve">Zhong, R., Yu, G., Wang, Y., Fang, C., Lu, S., Liu, Z., ... &amp; Zhao, Q. (2023). Research on the Influence of the Allogeneic Bone Graft in Postoperative Recovery After MOWHTO: A Retrospective Study. </t>
    </r>
    <r>
      <rPr>
        <rFont val="Arial Narrow"/>
        <i/>
        <color theme="1"/>
        <sz val="10.0"/>
      </rPr>
      <t>Therapeutics and Clinical Risk Management</t>
    </r>
    <r>
      <rPr>
        <rFont val="Arial Narrow"/>
        <color theme="1"/>
        <sz val="10.0"/>
      </rPr>
      <t>, 193-205.</t>
    </r>
  </si>
  <si>
    <t xml:space="preserve">Florea, A., Cofaru, I. I., ROMAN, L., &amp; Cofaru, N. (2016). </t>
  </si>
  <si>
    <t>Applying the Multi-objective Optimization Techniques in the Design of Suspension Systems. Journal of Digital Information Management, 14(6).</t>
  </si>
  <si>
    <r>
      <rPr>
        <rFont val="Arial Narrow"/>
        <color theme="1"/>
        <sz val="10.0"/>
      </rPr>
      <t xml:space="preserve">Kiburi, F. G., Ronoh, E. K., Kanali, C. L., Kituu, G. M., &amp; Ajwang, P. O. (2023). Exergetic optimisation of a solar-biomass hybrid greenhouse dryer in drying banana slices. </t>
    </r>
    <r>
      <rPr>
        <rFont val="Arial Narrow"/>
        <i/>
        <color theme="1"/>
        <sz val="10.0"/>
      </rPr>
      <t>International Journal of Exergy</t>
    </r>
    <r>
      <rPr>
        <rFont val="Arial Narrow"/>
        <color theme="1"/>
        <sz val="10.0"/>
      </rPr>
      <t xml:space="preserve">, </t>
    </r>
    <r>
      <rPr>
        <rFont val="Arial Narrow"/>
        <i/>
        <color theme="1"/>
        <sz val="10.0"/>
      </rPr>
      <t>41</t>
    </r>
    <r>
      <rPr>
        <rFont val="Arial Narrow"/>
        <color theme="1"/>
        <sz val="10.0"/>
      </rPr>
      <t>(1), 41-59.</t>
    </r>
  </si>
  <si>
    <t>https://15109l04m-y-https-www-scopus-com.z.e-nformation.ro/record/display.uri?eid=2-s2.0-85010992362&amp;origin=resultslist&amp;sort=plf-f&amp;src=s&amp;sid=26903e2347240bb84aaa797e0721b195&amp;sot=b&amp;sdt=b&amp;s=AUTH%28cofaru+i*%29&amp;sl=15&amp;sessionSearchId=26903e2347240bb84aaa797e0721b195&amp;relpos=25</t>
  </si>
  <si>
    <t xml:space="preserve">Cofaru, N. F., Pascu, A., Oleksik, M., &amp; Petruse, R. </t>
  </si>
  <si>
    <t>Tensile properties of 3D-printed continuous-Fiber-Reinforced Plastics. Mater. Plast, 58(4), 271-282.</t>
  </si>
  <si>
    <r>
      <rPr>
        <rFont val="Arial Narrow"/>
        <color theme="1"/>
        <sz val="10.0"/>
      </rPr>
      <t xml:space="preserve">Šančić, T., Brčić, M., Kotarski, D., &amp; Łukaszewicz, A. (2023). Experimental characterization of composite-printed materials for the production of multirotor UAV airframe parts. </t>
    </r>
    <r>
      <rPr>
        <rFont val="Arial Narrow"/>
        <i/>
        <color theme="1"/>
        <sz val="10.0"/>
      </rPr>
      <t>Materials</t>
    </r>
    <r>
      <rPr>
        <rFont val="Arial Narrow"/>
        <color theme="1"/>
        <sz val="10.0"/>
      </rPr>
      <t xml:space="preserve">, </t>
    </r>
    <r>
      <rPr>
        <rFont val="Arial Narrow"/>
        <i/>
        <color theme="1"/>
        <sz val="10.0"/>
      </rPr>
      <t>16</t>
    </r>
    <r>
      <rPr>
        <rFont val="Arial Narrow"/>
        <color theme="1"/>
        <sz val="10.0"/>
      </rPr>
      <t>(14), 5060.</t>
    </r>
  </si>
  <si>
    <r>
      <rPr>
        <rFont val="Arial Narrow"/>
        <color theme="1"/>
        <sz val="10.0"/>
      </rPr>
      <t xml:space="preserve">Moreno-Núñez, B. A., Abarca-Vidal, C. G., Treviño-Quintanilla, C. D., Sánchez-Santana, U., Cuan-Urquizo, E., &amp; Uribe-Lam, E. (2023). Experimental analysis of fiber reinforcement rings’ effect on tensile and flexural properties of Onyx™–Kevlar® composites manufactured by continuous fiber reinforcement. </t>
    </r>
    <r>
      <rPr>
        <rFont val="Arial Narrow"/>
        <i/>
        <color theme="1"/>
        <sz val="10.0"/>
      </rPr>
      <t>Polymers</t>
    </r>
    <r>
      <rPr>
        <rFont val="Arial Narrow"/>
        <color theme="1"/>
        <sz val="10.0"/>
      </rPr>
      <t xml:space="preserve">, </t>
    </r>
    <r>
      <rPr>
        <rFont val="Arial Narrow"/>
        <i/>
        <color theme="1"/>
        <sz val="10.0"/>
      </rPr>
      <t>15</t>
    </r>
    <r>
      <rPr>
        <rFont val="Arial Narrow"/>
        <color theme="1"/>
        <sz val="10.0"/>
      </rPr>
      <t>(5), 1252.</t>
    </r>
  </si>
  <si>
    <r>
      <rPr>
        <rFont val="Arial Narrow"/>
        <color theme="1"/>
        <sz val="10.0"/>
      </rPr>
      <t xml:space="preserve">Lee, G. W., Kim, T. H., Yun, J. H., Kim, N. J., Ahn, K. H., &amp; Kang, M. S. (2023). Strength of Onyx-based composite 3D printing materials according to fiber reinforcement. </t>
    </r>
    <r>
      <rPr>
        <rFont val="Arial Narrow"/>
        <i/>
        <color theme="1"/>
        <sz val="10.0"/>
      </rPr>
      <t>Frontiers in Materials</t>
    </r>
    <r>
      <rPr>
        <rFont val="Arial Narrow"/>
        <color theme="1"/>
        <sz val="10.0"/>
      </rPr>
      <t xml:space="preserve">, </t>
    </r>
    <r>
      <rPr>
        <rFont val="Arial Narrow"/>
        <i/>
        <color theme="1"/>
        <sz val="10.0"/>
      </rPr>
      <t>10</t>
    </r>
    <r>
      <rPr>
        <rFont val="Arial Narrow"/>
        <color theme="1"/>
        <sz val="10.0"/>
      </rPr>
      <t>, 1183816.</t>
    </r>
  </si>
  <si>
    <r>
      <rPr>
        <rFont val="Arial Narrow"/>
        <color theme="1"/>
        <sz val="10.0"/>
      </rPr>
      <t xml:space="preserve">Sofia, J., Kumar, K. C., Ethiraj, N., &amp; Nikolova, M. P. (2023). CHARACTERISATION OF PLA-PMMA LAMINATE WITHOUT RESIN FABRICATED BY FDM. </t>
    </r>
    <r>
      <rPr>
        <rFont val="Arial Narrow"/>
        <i/>
        <color theme="1"/>
        <sz val="10.0"/>
      </rPr>
      <t>Academic Journal of Manufacturing Engineering</t>
    </r>
    <r>
      <rPr>
        <rFont val="Arial Narrow"/>
        <color theme="1"/>
        <sz val="10.0"/>
      </rPr>
      <t xml:space="preserve">, </t>
    </r>
    <r>
      <rPr>
        <rFont val="Arial Narrow"/>
        <i/>
        <color theme="1"/>
        <sz val="10.0"/>
      </rPr>
      <t>21</t>
    </r>
    <r>
      <rPr>
        <rFont val="Arial Narrow"/>
        <color theme="1"/>
        <sz val="10.0"/>
      </rPr>
      <t>(3).</t>
    </r>
  </si>
  <si>
    <t>https://www.ajme.ro/PDF_AJME_2023_3/L7.pdf</t>
  </si>
  <si>
    <r>
      <rPr>
        <rFont val="Arial Narrow"/>
        <color theme="1"/>
        <sz val="10.0"/>
      </rPr>
      <t xml:space="preserve">Nikiema, D., Sène, N. A., Balland, P., &amp; Sergent, A. (2023). Study of walls’ influence on the mechanical properties of 3D printed onyx parts: Experimental, analytical and numerical investigations. </t>
    </r>
    <r>
      <rPr>
        <rFont val="Arial Narrow"/>
        <i/>
        <color theme="1"/>
        <sz val="10.0"/>
      </rPr>
      <t>Heliyon</t>
    </r>
    <r>
      <rPr>
        <rFont val="Arial Narrow"/>
        <color theme="1"/>
        <sz val="10.0"/>
      </rPr>
      <t xml:space="preserve">, </t>
    </r>
    <r>
      <rPr>
        <rFont val="Arial Narrow"/>
        <i/>
        <color theme="1"/>
        <sz val="10.0"/>
      </rPr>
      <t>9</t>
    </r>
    <r>
      <rPr>
        <rFont val="Arial Narrow"/>
        <color theme="1"/>
        <sz val="10.0"/>
      </rPr>
      <t>(8).</t>
    </r>
  </si>
  <si>
    <t>https://www.cell.com/heliyon/pdf/S2405-8440(23)06395-8.pdf</t>
  </si>
  <si>
    <r>
      <rPr>
        <rFont val="Arial Narrow"/>
        <color theme="1"/>
        <sz val="10.0"/>
      </rPr>
      <t xml:space="preserve">Wang, J., Wu, J., Miao, J. T., &amp; Wong, T. W. (Eds.). (2023). </t>
    </r>
    <r>
      <rPr>
        <rFont val="Arial Narrow"/>
        <i/>
        <color theme="1"/>
        <sz val="10.0"/>
      </rPr>
      <t>Additive Manufacturing for Polymers</t>
    </r>
    <r>
      <rPr>
        <rFont val="Arial Narrow"/>
        <color theme="1"/>
        <sz val="10.0"/>
      </rPr>
      <t>. Frontiers Media SA.</t>
    </r>
  </si>
  <si>
    <t>https://books.google.ro/books?hl=ro&amp;lr=&amp;id=GRTdEAAAQBAJ&amp;oi=fnd&amp;pg=PP1&amp;ots=sTbkGrWGiI&amp;sig=JV3lEIvJ9tINb6g4Jhuiu7xQBG8&amp;redir_esc=y#v=onepage&amp;q&amp;f=false</t>
  </si>
  <si>
    <r>
      <rPr>
        <rFont val="Arial Narrow"/>
        <color theme="1"/>
        <sz val="10.0"/>
      </rPr>
      <t xml:space="preserve">Kokner, Y., Delpierre, A., Couzis, J. P., Ardebili, M., &amp; Delale, F. (2023, October). A Study on the Effect of Fiber Orientation on the Strength and Failure of 3D-Printed Carbon Fiber Reinforced Polymers. In </t>
    </r>
    <r>
      <rPr>
        <rFont val="Arial Narrow"/>
        <i/>
        <color theme="1"/>
        <sz val="10.0"/>
      </rPr>
      <t>ASME International Mechanical Engineering Congress and Exposition</t>
    </r>
    <r>
      <rPr>
        <rFont val="Arial Narrow"/>
        <color theme="1"/>
        <sz val="10.0"/>
      </rPr>
      <t xml:space="preserve"> (Vol. 87615, p. V004T04A068). American Society of Mechanical Engineers.</t>
    </r>
  </si>
  <si>
    <t>https://asmedigitalcollection.asme.org/IMECE/proceedings-abstract/IMECE2023/87615/1195728</t>
  </si>
  <si>
    <t xml:space="preserve">Sopon, M., Oleksik, V., Roman, M., Cofaru, N., Oleksik, M., Mohor, C., ... &amp; Fleaca, R. </t>
  </si>
  <si>
    <t>Biomechanical study of the osteoporotic spine fracture: optical approach. Journal of Personalized Medicine, 11(9), 907.</t>
  </si>
  <si>
    <r>
      <rPr>
        <rFont val="Arial Narrow"/>
        <color theme="1"/>
        <sz val="10.0"/>
      </rPr>
      <t xml:space="preserve">Wang, F., Sun, R., Zhang, S. D., &amp; Wu, X. T. (2023). Comparison of thoracolumbar versus non-thoracolumbar osteoporotic vertebral compression fractures in risk factors, vertebral compression degree and pre-hospital back pain. </t>
    </r>
    <r>
      <rPr>
        <rFont val="Arial Narrow"/>
        <i/>
        <color theme="1"/>
        <sz val="10.0"/>
      </rPr>
      <t>Journal of Orthopaedic Surgery and Research</t>
    </r>
    <r>
      <rPr>
        <rFont val="Arial Narrow"/>
        <color theme="1"/>
        <sz val="10.0"/>
      </rPr>
      <t xml:space="preserve">, </t>
    </r>
    <r>
      <rPr>
        <rFont val="Arial Narrow"/>
        <i/>
        <color theme="1"/>
        <sz val="10.0"/>
      </rPr>
      <t>18</t>
    </r>
    <r>
      <rPr>
        <rFont val="Arial Narrow"/>
        <color theme="1"/>
        <sz val="10.0"/>
      </rPr>
      <t>(1), 643.</t>
    </r>
  </si>
  <si>
    <t>https://link.springer.com/article/10.1186/s13018-023-04140-6</t>
  </si>
  <si>
    <t xml:space="preserve">Rackov, M., Kuzmanović, S., Knežević, I., Čavić, M., Penčić, M., Čavić, D., &amp; Cofaru, N. F. (2019). </t>
  </si>
  <si>
    <t>Analysis of possible concept solutions of chain drives. In MATEC Web of Conferences (Vol. 290, p. 01018). EDP Sciences.</t>
  </si>
  <si>
    <r>
      <rPr>
        <rFont val="Arial Narrow"/>
        <color theme="1"/>
        <sz val="10.0"/>
      </rPr>
      <t xml:space="preserve">Sun, P., Zhou, S., Cao, H., Cai, G., Zhang, S., Gao, Q., ... &amp; Yang, H. (2023). Design and Implementation of a Chain-Type Direct Push Drilling Rig for Contaminated Sites. </t>
    </r>
    <r>
      <rPr>
        <rFont val="Arial Narrow"/>
        <i/>
        <color theme="1"/>
        <sz val="10.0"/>
      </rPr>
      <t>International Journal of Environmental Research and Public Health</t>
    </r>
    <r>
      <rPr>
        <rFont val="Arial Narrow"/>
        <color theme="1"/>
        <sz val="10.0"/>
      </rPr>
      <t xml:space="preserve">, </t>
    </r>
    <r>
      <rPr>
        <rFont val="Arial Narrow"/>
        <i/>
        <color theme="1"/>
        <sz val="10.0"/>
      </rPr>
      <t>20</t>
    </r>
    <r>
      <rPr>
        <rFont val="Arial Narrow"/>
        <color theme="1"/>
        <sz val="10.0"/>
      </rPr>
      <t>(4), 3757.</t>
    </r>
  </si>
  <si>
    <t>https://www.mdpi.com/1660-4601/20/4/3757</t>
  </si>
  <si>
    <t>Cioca, M. (ULBS), Cioca, L.-I. (ULBS), Duţa, L. (UVT)</t>
  </si>
  <si>
    <t>Web technologies and multi-criterion analysis used in enterprise integration</t>
  </si>
  <si>
    <t>Suchacka, Małgorzata et al, Polish Journal of Management Studies Volume 28, Issue 1, Pages 311 - 32922 December 2023</t>
  </si>
  <si>
    <t>https://www.scopus.com/record/display.uri?eid=2-s2.0-85180423098&amp;origin=resultslist&amp;sort=plf-f&amp;src=s&amp;citedAuthorId=55888486300&amp;imp=t&amp;sid=7165bdc3953e1d219b754ce3101b4ae8&amp;sot=cite&amp;sdt=cite&amp;cluster=scopubyr%2c%222023%22%2ct&amp;sl=0&amp;relpos=0&amp;citeCnt=1&amp;searchTerm=</t>
  </si>
  <si>
    <t>Gligorea, I. (AFT), Yaseen, M.U.(Pakistan), Cioca, M. (ULBS), Gorski, H. (AFT), Oancea, R. (AFT)</t>
  </si>
  <si>
    <t>An Interpretable Framework for an Efficient Analysis of Students’ Academic Performance</t>
  </si>
  <si>
    <t>Closing the gap: exploring the untapped potential of machine learning in deaf students and hearing students’ academic performance, Raji N.R. et al, International Journal of Advanced Technology and Engineering Exploration Open AccessVolume 10, Issue 108, Pages 1449 - 1475November 2023</t>
  </si>
  <si>
    <t>https://www.scopus.com/record/display.uri?eid=2-s2.0-85178402240&amp;origin=resultslist&amp;sort=plf-f&amp;src=s&amp;citedAuthorId=55888486300&amp;imp=t&amp;sid=7165bdc3953e1d219b754ce3101b4ae8&amp;sot=cite&amp;sdt=cite&amp;cluster=scopubyr%2c%222023%22%2ct&amp;sl=0&amp;relpos=1&amp;citeCnt=0&amp;searchTerm=</t>
  </si>
  <si>
    <t>MOOC in a blended learning model for a statistics course: Exploring participation and achievement, Stamovlasis, Dimitrios, Emerging Trends and Historical Perspectives Surrounding Digital Transformation in Education: Achieving Open and Blended Learning Environments Pages 28 - 511 August 2023</t>
  </si>
  <si>
    <t>https://www.scopus.com/record/display.uri?eid=2-s2.0-85171809800&amp;origin=resultslist&amp;sort=plf-f&amp;src=s&amp;citedAuthorId=55888486300&amp;imp=t&amp;sid=7165bdc3953e1d219b754ce3101b4ae8&amp;sot=cite&amp;sdt=cite&amp;cluster=scopubyr%2c%222023%22%2ct&amp;sl=0&amp;relpos=2&amp;citeCnt=0&amp;searchTerm=</t>
  </si>
  <si>
    <t>Analysis of educational data enabled by deep learning to increase student success, Kumar, Gautam, Multidisciplinary Science Journa lOpen AccessVolume 52023 Article number e2023ss0205</t>
  </si>
  <si>
    <t>https://www.scopus.com/record/display.uri?eid=2-s2.0-85175089080&amp;origin=resultslist&amp;sort=plf-f&amp;src=s&amp;citedAuthorId=55888486300&amp;imp=t&amp;sid=7165bdc3953e1d219b754ce3101b4ae8&amp;sot=cite&amp;sdt=cite&amp;cluster=scopubyr%2c%222023%22%2ct&amp;sl=0&amp;relpos=3&amp;citeCnt=0&amp;searchTerm=</t>
  </si>
  <si>
    <t>Cioca, M. (ULBS), Cioca, L.-I. (ULBS), Buraga, S.-C. (UAIC)</t>
  </si>
  <si>
    <t>Spatial [elements] decision support system used in disaster management</t>
  </si>
  <si>
    <t>A hybrid inverse optimization-stochastic programming framework for network protection, Allen, Stephanie et al, Journal of the Operational Research Society Open Access2023</t>
  </si>
  <si>
    <t>https://www.scopus.com/record/display.uri?eid=2-s2.0-85169569173&amp;origin=resultslist&amp;sort=plf-f&amp;src=s&amp;citedAuthorId=55888486300&amp;imp=t&amp;sid=7165bdc3953e1d219b754ce3101b4ae8&amp;sot=cite&amp;sdt=cite&amp;cluster=scopubyr%2c%222023%22%2ct&amp;sl=0&amp;relpos=4&amp;citeCnt=0&amp;searchTerm=</t>
  </si>
  <si>
    <t>Cioca, L.-I. (ULBS), Cioca, M. (ULBS)</t>
  </si>
  <si>
    <t>Using distributed programming in production system management</t>
  </si>
  <si>
    <t>Analysis of mental effort and its subjective and psychophysiological indicators for gas transport dispatchers, Iordache, Raluca Maria et al, Human Systems Management Volume 42, Issue 3, Pages 289 - 2972023</t>
  </si>
  <si>
    <t>https://www.scopus.com/record/display.uri?eid=2-s2.0-85168714545&amp;origin=resultslist&amp;sort=plf-f&amp;src=s&amp;citedAuthorId=55888486300&amp;imp=t&amp;sid=7165bdc3953e1d219b754ce3101b4ae8&amp;sot=cite&amp;sdt=cite&amp;cluster=scopubyr%2c%222023%22%2ct&amp;sl=0&amp;relpos=5&amp;citeCnt=0&amp;searchTerm=</t>
  </si>
  <si>
    <t>Cioranu, C. (UEFISCDI), Cioca, M. (ULBS), Novac, C. (ULBS)</t>
  </si>
  <si>
    <t>Database versioning 2.0, a transparent SQL approach used in quantitative management and decision making</t>
  </si>
  <si>
    <t>MongoDB Data Versioning Performance: local versus Atlas, de Espona, Lucia et al. CEUR Workshop Proceedings Volume 33792023 2023 Workshops of the EDBT/ICDT Joint Conference, EDBT/ICDT-WS 2023 Ioannina 28 March 2023 Code 188167</t>
  </si>
  <si>
    <t>https://www.scopus.com/record/display.uri?eid=2-s2.0-85159036512&amp;origin=resultslist&amp;sort=plf-f&amp;src=s&amp;citedAuthorId=55888486300&amp;imp=t&amp;sid=7165bdc3953e1d219b754ce3101b4ae8&amp;sot=cite&amp;sdt=cite&amp;cluster=scopubyr%2c%222023%22%2ct&amp;sl=0&amp;relpos=6&amp;citeCnt=0&amp;searchTerm=</t>
  </si>
  <si>
    <t>Cioca, M., (ULBS) Cioca, L.-I. (ULBS), Mihaescu, L. (ULBS)</t>
  </si>
  <si>
    <t>Infrastructure and system programming for digital ecosystems used in natural disaster management</t>
  </si>
  <si>
    <t>Human Detection and Action Recognition for Search and Rescue in Disasters Using YOLOv3 Algorithm, Valarmathi B. et al. Journal of Electrical and Computer Engineering Open Access Volume 20232023 Article number 5419384</t>
  </si>
  <si>
    <t>https://www.scopus.com/record/display.uri?eid=2-s2.0-85150484975&amp;origin=resultslist&amp;sort=plf-f&amp;src=s&amp;citedAuthorId=55888486300&amp;imp=t&amp;sid=7165bdc3953e1d219b754ce3101b4ae8&amp;sot=cite&amp;sdt=cite&amp;cluster=scopubyr%2c%222023%22%2ct&amp;sl=0&amp;relpos=7&amp;citeCnt=4&amp;searchTerm=</t>
  </si>
  <si>
    <t>Livia Dana Beju, DP Brîndaşu, Nicolae Călin Muţiu, Johannes Rothmund (Institute for Machine Tools, University
of Stuttgart, Stuttgart, Germany)</t>
  </si>
  <si>
    <t>Modeling, simulation and manufacturing of drill flutes;                  The International Journal of
Advanced Manufacturing Technology/ SPRINGER LONDON LTD, 236 GRAYS INN RD, 6TH FLOOR, LONDON WC1X 8HL, ENGLAND       April 2016, Volume 83, Issue 9</t>
  </si>
  <si>
    <t xml:space="preserve"> Malkov O.,  Pavlyuchenkov I.;         Technological preparation of thread milling cutter production at the design stage;        Journal of the Brazilian Society of Mechanical Sciences and Engineering - Springer Published, 45, 413 (2023)</t>
  </si>
  <si>
    <t>https://doi.org/10.1007/s40430-023-04336-1</t>
  </si>
  <si>
    <r>
      <rPr>
        <rFont val="Arial Narrow"/>
        <sz val="10.0"/>
      </rPr>
      <t xml:space="preserve">SCOPUS : </t>
    </r>
    <r>
      <rPr>
        <rFont val="Arial Narrow"/>
        <sz val="10.0"/>
        <u/>
      </rPr>
      <t xml:space="preserve">https://www.scopus.com/record/display.uri?eid=2-s2.0-84940930011&amp;origin=inward&amp;txGid=32a81de4ed9db0e569591cd7669b6d40 </t>
    </r>
    <r>
      <rPr>
        <rFont val="Arial Narrow"/>
        <sz val="10.0"/>
      </rPr>
      <t>WEB_of_SCIENCE :</t>
    </r>
    <r>
      <rPr>
        <rFont val="Arial Narrow"/>
        <sz val="10.0"/>
        <u/>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</si>
  <si>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Mutiu Calin</t>
  </si>
  <si>
    <t xml:space="preserve">Wang Liming, 
Fang Yang,
Yang Jianping,
Li Jianfeng;                    A novel approach to minimizing material loss for computer numerical control flank-regrinding of worn end mills;          Frontiers of Mechanical Engineering - Springer Published,  18, 41 (2023)  </t>
  </si>
  <si>
    <t>https://doi.org/10.1007/s11465-023-0757-z</t>
  </si>
  <si>
    <r>
      <rPr>
        <rFont val="Arial Narrow"/>
        <color theme="1"/>
        <sz val="10.0"/>
      </rPr>
      <t xml:space="preserve">SCOPUS : </t>
    </r>
    <r>
      <rPr>
        <rFont val="Arial Narrow"/>
        <color theme="1"/>
        <sz val="10.0"/>
        <u/>
      </rPr>
      <t>https://www.scopus.com/record/display.uri?eid=2-s2.0-84940930011&amp;origin=inward&amp;txGid=32a81de4ed9db0e569591cd7669b6d40</t>
    </r>
    <r>
      <rPr>
        <rFont val="Arial Narrow"/>
        <color theme="1"/>
        <sz val="10.0"/>
      </rPr>
      <t xml:space="preserve"> WEB_of_SCIENCE : </t>
    </r>
    <r>
      <rPr>
        <rFont val="Arial Narrow"/>
        <color theme="1"/>
        <sz val="10.0"/>
        <u/>
      </rPr>
      <t>http://cel.webofknowledge.com/InboundService.do?customersID=SPRINGER&amp;smartRedirect=yes&amp;mode=FullRecord&amp;IsProductCode=Yes&amp;product=CEL&amp;Init=Yes&amp;Func=Frame&amp;action=retrieve&amp;SrcApp=PARTNER_APP&amp;SrcAuth=SPRINGER&amp;SID=C2VNIZtpca4IKqdILQL&amp;UT=WOS%3A000373156000057</t>
    </r>
  </si>
  <si>
    <t>Minglin You;        Grinding Wheel The Calculation of Key Geometric Parameters of End Mill by Polar Pixel Matrix Method; 2023 8th International Conference on Signal and Image Processing (ICSIP), Wuxi, China, 2023, pp. 399-403</t>
  </si>
  <si>
    <t>https://doi.org/10.1109/ICSIP57908.2023.10271054</t>
  </si>
  <si>
    <r>
      <rPr>
        <rFont val="Arial Narrow"/>
        <sz val="10.0"/>
      </rPr>
      <t xml:space="preserve">SCOPUS : </t>
    </r>
    <r>
      <rPr>
        <rFont val="Arial Narrow"/>
        <sz val="10.0"/>
        <u/>
      </rPr>
      <t xml:space="preserve">https://www.scopus.com/record/display.uri?eid=2-s2.0-84940930011&amp;origin=inward&amp;txGid=32a81de4ed9db0e569591cd7669b6d40 </t>
    </r>
    <r>
      <rPr>
        <rFont val="Arial Narrow"/>
        <sz val="10.0"/>
      </rPr>
      <t>WEB_of_SCIENCE :</t>
    </r>
    <r>
      <rPr>
        <rFont val="Arial Narrow"/>
        <sz val="10.0"/>
        <u/>
      </rPr>
      <t xml:space="preserve"> http://cel.webofknowledge.com/InboundService.do?customersID=SPRINGER&amp;smartRedirect=yes&amp;mode=FullRecord&amp;IsProductCode=Yes&amp;product=CEL&amp;Init=Yes&amp;Func=Frame&amp;action=retrieve&amp;SrcApp=PARTNER_APP&amp;SrcAuth=SPRINGER&amp;SID=C2VNIZtpca4IKqdILQL&amp;UT=WOS%3A000373156000057</t>
    </r>
  </si>
  <si>
    <t>Wang, L., Fang, Y., Yang, J. et al. A novel approach to minimizing material loss for computer numerical control flank-regrinding of worn end mills. Front. Mech. Eng. 18, 41 (2023).https://doi.org/10.1007/s11465-023-0757-z</t>
  </si>
  <si>
    <t>Scopus - Document details - A novel approach to minimizing material loss for computer numerical control flank-regrinding of worn end mills | Signed in</t>
  </si>
  <si>
    <r>
      <rPr>
        <rFont val="Arial Narrow"/>
        <sz val="10.0"/>
      </rPr>
      <t xml:space="preserve">SCOPUS : </t>
    </r>
    <r>
      <rPr>
        <rFont val="Arial Narrow"/>
        <sz val="10.0"/>
        <u/>
      </rPr>
      <t>https://www.scopus.com/results/citedbyresults.uri?sort=plf-f&amp;cite=2-s2.0-84940930011&amp;src=s&amp;imp=t&amp;sid=91e9b804ec4b296846b4cd51dba203cb&amp;sot=cite&amp;sdt=a&amp;sl=0&amp;origin=recordpage&amp;editSaveSearch=&amp;txGid=37048b29113865f8e0e02093d7accfa0</t>
    </r>
  </si>
  <si>
    <t>Beju Livia</t>
  </si>
  <si>
    <t>Malkov, O., Pavlyuchenkov, I. Technological preparation of thread milling cutter production at the design stage. J Braz. Soc. Mech. Sci. Eng. 45, 413 (2023). https://doi.org/10.1007/s40430-023-04336-1</t>
  </si>
  <si>
    <t>https://www.scopus.com/record/display.uri?eid=2-s2.0-85165224785&amp;origin=resultslist&amp;sort=plf-f&amp;cite=2-s2.0-84940930011&amp;src=s&amp;imp=t&amp;sid=8cab825b559f743c144f7a3d957e89b5&amp;sot=cite&amp;sdt=a&amp;sl=0&amp;relpos=1&amp;citeCnt=0&amp;searchTerm=</t>
  </si>
  <si>
    <r>
      <rPr>
        <rFont val="Arial Narrow"/>
        <color theme="1"/>
        <sz val="10.0"/>
      </rPr>
      <t xml:space="preserve">SCOPUS : </t>
    </r>
    <r>
      <rPr>
        <rFont val="Arial Narrow"/>
        <color theme="1"/>
        <sz val="10.0"/>
        <u/>
      </rPr>
      <t>https://www.scopus.com/results/citedbyresults.uri?sort=plf-f&amp;cite=2-s2.0-84940930011&amp;src=s&amp;imp=t&amp;sid=91e9b804ec4b296846b4cd51dba203cb&amp;sot=cite&amp;sdt=a&amp;sl=0&amp;origin=recordpage&amp;editSaveSearch=&amp;txGid=37048b29113865f8e0e02093d7accfa1</t>
    </r>
  </si>
  <si>
    <t>Modeling, simulation and manufacturing of drill flutes;                  The International Journal of
Advanced Manufacturing Technology/ SPRINGER LONDON LTD, 236 GRAYS INN RD, 6TH FLOOR, LONDON WC1X 8HL, ENGLAND       April 2016, Volume 83, Issue 10</t>
  </si>
  <si>
    <r>
      <rPr>
        <rFont val="Arial Narrow"/>
        <color theme="1"/>
        <sz val="10.0"/>
      </rPr>
      <t>M. You, "The Calculation of Key Geometric Parameters of End Mill by Polar Pixel Matrix Method," </t>
    </r>
    <r>
      <rPr>
        <rFont val="Arial Narrow"/>
        <i/>
        <color rgb="FF333333"/>
        <sz val="10.0"/>
      </rPr>
      <t>2023 8th International Conference on Signal and Image Processing (ICSIP)</t>
    </r>
    <r>
      <rPr>
        <rFont val="Arial Narrow"/>
        <color rgb="FF333333"/>
        <sz val="10.0"/>
      </rPr>
      <t>, Wuxi, China, 2023, pp. 399-403, doi: 10.1109/ICSIP57908.2023.10271054.</t>
    </r>
  </si>
  <si>
    <t>Scopus - Document details - The Calculation of Key Geometric Parameters of End Mill by Polar Pixel Matrix Method | Signed in</t>
  </si>
  <si>
    <r>
      <rPr>
        <rFont val="Arial Narrow"/>
        <color theme="1"/>
        <sz val="10.0"/>
        <u/>
      </rPr>
      <t xml:space="preserve">SCOPUS : </t>
    </r>
    <r>
      <rPr>
        <rFont val="Arial Narrow"/>
        <color theme="1"/>
        <sz val="10.0"/>
        <u/>
      </rPr>
      <t>https://www.scopus.com/results/citedbyresults.uri?sort=plf-f&amp;cite=2-s2.0-84940930011&amp;src=s&amp;imp=t&amp;sid=91e9b804ec4b296846b4cd51dba203cb&amp;sot=cite&amp;sdt=a&amp;sl=0&amp;origin=recordpage&amp;editSaveSearch=&amp;txGid=37048b29113865f8e0e02093d7accfa2</t>
    </r>
  </si>
  <si>
    <t>Claudiu Rodean(Continental Automotive Systems SRL),* , Livia-Dana Beju , Gabriela Rusu , and Mihai Popp (ULBS)</t>
  </si>
  <si>
    <r>
      <rPr>
        <rFont val="Arial Narrow"/>
        <color theme="1"/>
        <sz val="10.0"/>
      </rPr>
      <t>The Usage of the Johnson-Cook Constitutive Model in the Finite Element Analysis of the Caulking Process, MATEC Web of Conferences</t>
    </r>
    <r>
      <rPr>
        <rFont val="Arial Narrow"/>
        <color theme="10"/>
        <sz val="10.0"/>
        <u/>
      </rPr>
      <t xml:space="preserve"> </t>
    </r>
  </si>
  <si>
    <t>Fuat Kabakcioglu, Ertekin Bayraktarkatal, SOBOL sensitivity analysis and acoustic solid coupling approach to underwater explosion, Ocean Engineering, Volume 281, 2023, 114752, ISSN 0029-8018, https://doi.org/10.1016/j.oceaneng.2023.114752.</t>
  </si>
  <si>
    <t>Scopus - Document details - SOBOL sensitivity analysis and acoustic solid coupling approach to underwater explosion | Signed in</t>
  </si>
  <si>
    <t>https://www.scopus.com/results/citedbyresults.uri?sort=plf-f&amp;refeid=2-s2.0-85109052589&amp;src=s&amp;imp=t&amp;sid=347ffb6d7bf643c4c395a1f2b5b7f030&amp;sot=ctocbw&amp;sdt=a&amp;sl=15&amp;s=PUBYEAR+IS+2023&amp;origin=cto&amp;citeCnt=1_DELIM_1_DELIM_CTODS_1779052913_DELIM_1&amp;txGid=cd1fc101309966a4a5bc04bbc8b2a21b</t>
  </si>
  <si>
    <t>Livia Dana Beju (ULBS) – Paul Dan Brindasu – Silvia Vulc</t>
  </si>
  <si>
    <t>Grinding Tungsten Carbide Used for Manufacturing Gun Drills, Strojniški vestnik - Journal of Mechanical Engineering 61(2015)10, 571-582, DOI:10.5545/sv-jme.2015.2594</t>
  </si>
  <si>
    <r>
      <rPr>
        <rFont val="Arial Narrow"/>
        <color theme="1"/>
        <sz val="10.0"/>
      </rPr>
      <t>Denkena, B., Bergmann, B. &amp; Raffalt, D. Sharpening of graded diamond grinding wheels. </t>
    </r>
    <r>
      <rPr>
        <rFont val="Arial Narrow"/>
        <i/>
        <color rgb="FF222222"/>
        <sz val="10.0"/>
      </rPr>
      <t>SN Appl. Sci.</t>
    </r>
    <r>
      <rPr>
        <rFont val="Arial Narrow"/>
        <color rgb="FF222222"/>
        <sz val="10.0"/>
      </rPr>
      <t> 5, 145 (2023). https://doi.org/10.1007/s42452-023-05362-3</t>
    </r>
  </si>
  <si>
    <t>Scopus - Document details - Sharpening of graded diamond grinding wheels | Signed in</t>
  </si>
  <si>
    <t>https://www.scopus.com/results/citedbyresults.uri?sort=plf-f&amp;refeid=2-s2.0-84944032454&amp;src=s&amp;imp=t&amp;sid=6ce40b76c985f3be3846d4c8c6802942&amp;sot=ctocbw&amp;sdt=a&amp;sl=15&amp;s=PUBYEAR+IS+2023&amp;origin=cto&amp;citeCnt=1_DELIM_1_DELIM_CTODS_1779052913_DELIM_1&amp;txGid=7f9c62d3f57e453d9552c38ff3806f3b</t>
  </si>
  <si>
    <r>
      <rPr>
        <rFont val="Arial Narrow"/>
        <color theme="1"/>
        <sz val="10.0"/>
      </rPr>
      <t>Aleksandar Zivkovic</t>
    </r>
    <r>
      <rPr>
        <rFont val="Arial Narrow"/>
        <color rgb="FF000000"/>
        <sz val="10.0"/>
        <vertAlign val="superscript"/>
      </rPr>
      <t>1*</t>
    </r>
    <r>
      <rPr>
        <rFont val="Arial Narrow"/>
        <color rgb="FF000000"/>
        <sz val="10.0"/>
      </rPr>
      <t>, Milos Knezev</t>
    </r>
    <r>
      <rPr>
        <rFont val="Arial Narrow"/>
        <color rgb="FF000000"/>
        <sz val="10.0"/>
        <vertAlign val="superscript"/>
      </rPr>
      <t>1</t>
    </r>
    <r>
      <rPr>
        <rFont val="Arial Narrow"/>
        <color rgb="FF000000"/>
        <sz val="10.0"/>
      </rPr>
      <t>, Milan Zeljkovic</t>
    </r>
    <r>
      <rPr>
        <rFont val="Arial Narrow"/>
        <color rgb="FF000000"/>
        <sz val="10.0"/>
        <vertAlign val="superscript"/>
      </rPr>
      <t>1</t>
    </r>
    <r>
      <rPr>
        <rFont val="Arial Narrow"/>
        <color rgb="FF000000"/>
        <sz val="10.0"/>
      </rPr>
      <t>, Slobodan Navalusic</t>
    </r>
    <r>
      <rPr>
        <rFont val="Arial Narrow"/>
        <color rgb="FF000000"/>
        <sz val="10.0"/>
        <vertAlign val="superscript"/>
      </rPr>
      <t>1</t>
    </r>
    <r>
      <rPr>
        <rFont val="Arial Narrow"/>
        <color rgb="FF000000"/>
        <sz val="10.0"/>
      </rPr>
      <t> and Livia Dana Beju</t>
    </r>
    <r>
      <rPr>
        <rFont val="Arial Narrow"/>
        <color rgb="FF000000"/>
        <sz val="10.0"/>
        <vertAlign val="superscript"/>
      </rPr>
      <t>2</t>
    </r>
    <r>
      <rPr>
        <rFont val="Arial Narrow"/>
        <color theme="1"/>
        <sz val="10.0"/>
      </rPr>
      <t>; (1- University of Novi Sad, Faculty of Technical Science, Serbia)</t>
    </r>
  </si>
  <si>
    <t>A study of thermo-elastic characteristics of the machine tool spindle</t>
  </si>
  <si>
    <r>
      <rPr>
        <rFont val="Arial Narrow"/>
        <color theme="1"/>
        <sz val="10.0"/>
      </rPr>
      <t>Le, Duc-Do, Van-Hung Pham, and Tuan-Anh Bui. "Computational and Experimental Investigation of Thermal Generation in CNC Milling Machine Spindle Βearing with the Oil-Air Lubrication Method." </t>
    </r>
    <r>
      <rPr>
        <rFont val="Arial Narrow"/>
        <i/>
        <color rgb="FF222222"/>
        <sz val="10.0"/>
      </rPr>
      <t>Engineering, Technology &amp; Applied Science Research</t>
    </r>
    <r>
      <rPr>
        <rFont val="Arial Narrow"/>
        <color rgb="FF222222"/>
        <sz val="10.0"/>
      </rPr>
      <t> 14.1 (2024): 12900-12905.</t>
    </r>
  </si>
  <si>
    <t>https://www.etasr.com/index.php/ETASR/article/view/6603</t>
  </si>
  <si>
    <t>https://www.etasr.com/index.php/ETASR/links</t>
  </si>
  <si>
    <t xml:space="preserve"> Lupas Rares,  Beju Livia</t>
  </si>
  <si>
    <t>Aspects of the Internal Gear Honing Process</t>
  </si>
  <si>
    <t>Duy-Khuong Vu, Yu-Ren Wu, Quoc-Duy Nguyen, Achmad Arifin, Closed-loop topology modification of gear tooth flanks considering both dressing and honing processes for internal-meshing gear honing, Mechanism and Machine Theory, Volume 187, 2023, 105372, ISSN 0094-114X, https://doi.org/10.1016/j.mechmachtheory.2023.105372.</t>
  </si>
  <si>
    <t>https://www.sciencedirect.com/science/article/pii/S0094114X2300143X</t>
  </si>
  <si>
    <t>Mechanism and Machine Theory | Journal | ScienceDirect.com by Elsevier</t>
  </si>
  <si>
    <t xml:space="preserve">Deac C., Tarnu L., </t>
  </si>
  <si>
    <t>Considerations on the role of modernizing the road infrastructure in the prevention of road accidents</t>
  </si>
  <si>
    <t>De Bock, J, Verstockt, S., 	
Road cycling safety scoring based on geospatial analysis, computer vision and machine learning, 	
Multimedia Tools and Applications
, 82(6), pp. 8359–8380, 2023, DOI
10.1007/s11042-022-13552-1</t>
  </si>
  <si>
    <t>https://www.scopus.com/record/display.uri?eid=2-s2.0-85148570308&amp;origin=resultslist&amp;sort=plf-f&amp;src=s&amp;sot=mulcite&amp;sdt=mulcite&amp;cluster=scopubyr%2C%222023%22%2Ct&amp;s=REFEID%282-s2.0-85109051997%29&amp;citeCnt=1&amp;sessionSearchId=ae09591475bf19667af6e87027085d7a&amp;relpos=0</t>
  </si>
  <si>
    <t>Deac Cristian</t>
  </si>
  <si>
    <t>Sakane, S.,Kudo, D,Mukojima, N.,Suyama, S.,Yamamoto, H., 
Formation of multiple aerial LED signs in multiple lanes formed with AIRR by use of two beam splitters, Optical Review, 30(1),pp. 84–92, DOI
10.1007/s10043-022-00771-y</t>
  </si>
  <si>
    <t>https://www.scopus.com/record/display.uri?eid=2-s2.0-85140995691&amp;origin=resultslist&amp;sort=plf-f&amp;src=s&amp;sot=mulcite&amp;sdt=mulcite&amp;cluster=scopubyr%2C%222023%22%2Ct&amp;s=REFEID%282-s2.0-85109051997%29&amp;citeCnt=1&amp;sessionSearchId=ae09591475bf19667af6e87027085d7a&amp;relpos=1</t>
  </si>
  <si>
    <t>Oleksik, V.; Pascu A; Deac C.; Fleaca R; Roman M; Bologa O</t>
  </si>
  <si>
    <t>The influence of geometrical parameters on the incremental forming process for knee implants analyzed by numerical simulation</t>
  </si>
  <si>
    <t>Hussain, G.,Hassan, M.,Wei, H,.Muhammad, R., Ostrikov, K.K., 
Advances on Incremental forming of composite materials, Alexandria Engineering Journal, Volume 79, Pages 308 - 336, DOI
10.1016/j.aej.2023.07.045</t>
  </si>
  <si>
    <t>https://www.scopus.com/record/display.uri?eid=2-s2.0-85172419877&amp;origin=resultslist&amp;sort=plf-f&amp;src=s&amp;sot=mulcite&amp;sdt=mulcite&amp;cluster=scopubyr%2C%222023%22%2Ct&amp;s=REFEID%282-s2.0-77956125381%29&amp;citeCnt=1&amp;sessionSearchId=06962a90fb0fc3c7deb4a021fc19892c&amp;relpos=0</t>
  </si>
  <si>
    <t>Ruxiong, L.,Tao, W.,Feng, L., 	
Research on TA1 mesh low-melting-point alloy filling incremental forming process for cranial prosthesis, Materials Research Express, Volume 10, Issue 4, Article number 046513, DOI
10.1088/2053-1591/acca67</t>
  </si>
  <si>
    <t>https://www.scopus.com/record/display.uri?eid=2-s2.0-85153402851&amp;origin=resultslist&amp;sort=plf-f&amp;src=s&amp;sot=mulcite&amp;sdt=mulcite&amp;cluster=scopubyr%2C%222023%22%2Ct&amp;s=REFEID%282-s2.0-77956125381%29&amp;citeCnt=1&amp;sessionSearchId=be1b214a0980fd2df7466c7665be5895&amp;relpos=1</t>
  </si>
  <si>
    <t>Wos., Scopus</t>
  </si>
  <si>
    <t>Kumar, R., Kumar, V.,Kumar, A, 	
A Review on Effect of Computer-Aided Machining Parameters in Incremental Sheet Forming, Handbook of Flexible and Smart Sheet Forming Techniques: Industry 4.0 Approaches, pp. 29–58, DOI
10.1002/9781119986454.ch3</t>
  </si>
  <si>
    <t>https://www.scopus.com/record/display.uri?eid=2-s2.0-85174116060&amp;origin=resultslist&amp;sort=plf-f&amp;src=s&amp;sot=mulcite&amp;sdt=mulcite&amp;cluster=scopubyr%2C%222023%22%2Ct&amp;s=REFEID%282-s2.0-77956125381%29&amp;citeCnt=1&amp;sessionSearchId=df7cc81696f90b469b7ef3ca17e15e68&amp;relpos=3</t>
  </si>
  <si>
    <t>C, Veera Ajay;S. Elangovan; AS.Kamaraja
; K, Karthik Kumar, 
; S, Pratheesh Kumar, Optimization and prediction of incremental sheet forming parameters of Titanium grade 5 sheet using a response surface methodology and artificial neural network, Proceedings of the Institution of Mechanical Engineers, Part C: Journal of Mechanical Engineering ScienceVolume 237, Issue 8, Pages 1818 - 1833, DOI
10.1177/09544062221133674</t>
  </si>
  <si>
    <t>Scopus - Document details - Optimization and prediction of incremental sheet forming parameters of Titanium grade 5 sheet using a response surface methodology and artificial neural network | Signed in</t>
  </si>
  <si>
    <t xml:space="preserve">Panwar, G.;Khanduj Dinesh; Upadhyay Vikas, Impact of Processing Variables on Formability of AA7079 Sheet by SPIF Technique, Journal of The Institution of Engineers (India): Series DVolume 105, Issue 1, Pages 89 - 96, DOI
10.1007/s40033-023-00450-5
</t>
  </si>
  <si>
    <t>https://www.scopus.com/record/display.uri?eid=2-s2.0-85148505920&amp;origin=resultslist&amp;sort=plf-f&amp;src=s&amp;sid=238114ac00e04f15e5ed45b14b596d3f&amp;sot=b&amp;sdt=b&amp;s=TITLE-ABS-KEY%28Impact+AND+of+AND+processing+AND+variables+AND+on+AND+formability+AND+of+AND+aa7079+AND+sheet+AND+by+AND+spif+AND+technique%29&amp;sl=93&amp;sessionSearchId=238114ac00e04f15e5ed45b14b596d3f&amp;relpos=0</t>
  </si>
  <si>
    <t>Oleksik, V.; Pascu A; Deac C.; Fleaca R;Bologa O., Racz G.</t>
  </si>
  <si>
    <t>Experimental study on the surface quality of the medical implants obtained by single point incremental forming</t>
  </si>
  <si>
    <t>Kumar, N, Upadhyay, RK, Sharma, CS, Agrawal, A., Surface quality enhancement of warm incremental forming process using solid lubricant with varying etching period, https://www.webofscience.com/wos/woscc/full-record/WOS:001061503000001</t>
  </si>
  <si>
    <t>https://www.webofscience.com/wos/woscc/full-record/WOS:001061503000001</t>
  </si>
  <si>
    <t>Makwana, R; Modi, B and Patel, K., Experimental study on single point incremental hole flanging of aluminium 5052 material, DOI10.1080/2374068X.2023.2280295</t>
  </si>
  <si>
    <t>https://www.webofscience.com/wos/woscc/full-record/WOS:001102588800001</t>
  </si>
  <si>
    <t>Nagargoje, A., Kankar, P.K.,Jain, P.K.,Tandon, P., 	
Application of artificial intelligence techniques in incremental forming: a state-of-the-art review, Journal of Intelligent Manufacturing
, 34(3), pp. 985–1002, DOI
10.1007/s10845-021-01868-y</t>
  </si>
  <si>
    <t>Scopus - Document details - Application of artificial intelligence techniques in incremental forming: a state-of-the-art review | Signed in</t>
  </si>
  <si>
    <t>Moraru Gina-Maria (ULBS), Popa Daniela (ULBS)</t>
  </si>
  <si>
    <t>“Potential resistance of employees to change in the transition to Industry 5.0”. MATEC Web of Conferences, 2021, 343: 07005, EDP Sciences</t>
  </si>
  <si>
    <t>Mariia Golovianko, Vagan Terziyan, Vladyslav Branytskyi, Diana MalykIndustry, “4.0 vs. Industry 5.0: Co-existence, Transition, or a Hybrid”, Procedia Computer Science 217 (2023) pp. 102–113</t>
  </si>
  <si>
    <t>Elsevier, Scopus</t>
  </si>
  <si>
    <t>Moraru Gina</t>
  </si>
  <si>
    <t>“Proposals for a more creative education system”, 2019. MATEC Web of Conferences, 290, 13009.</t>
  </si>
  <si>
    <t>Mona Lissa Chiriac &amp; Corneliu Iațu, “What do secondary school students in North East Romania know and think about sustainable development?”, Apr. 2023, International Research in Geographical and Environmental Education, 32:4, pp. 305-322, Print ISSN: 1038-2046, Online ISSN: 1747-7611, DOI: 10.1080/10382046.2023.2183548</t>
  </si>
  <si>
    <t>https://www.tandfonline.com/doi/epdf/10.1080/10382046.2023.2183548?needAccess=true, https://www.webofscience.com/wos/woscc/full-record/WOS:000971270400001</t>
  </si>
  <si>
    <t>WOS:000971270400001, Routledge, Taylor &amp; Francis Group; Scopus</t>
  </si>
  <si>
    <t>Olha, M (Olha, Morenko) ; Pozdniakova, O (Pozdniakova, Olena) ; Voroniuk, I (Voroniuk, Iryna) ; Shchurova, V (Shchurova, Viktoria) ; Chumak, T (Chumak, Tetyana), THE FORMATION OF PROFESSIONAL COMPETENCIES OF A HIGHER EDUCATION INSTITUTION GRADUATE IN THE CONDITIONS OF THE UNIVERSITY 3.0 PARADIGM FORMATION, AD-ALTA Journal of Interdisciplinary Research, Vol. 13, Issue 2, pp. 90-96, Special Issue SI, 2023</t>
  </si>
  <si>
    <t>WOS:001143675300016</t>
  </si>
  <si>
    <t>Roșca Nicolae (ULBS), Oleksik Mihaela (ULBS)</t>
  </si>
  <si>
    <t>Simulation of the Single Point Incremental Forming of Polyamide and Polyethylene Sheets</t>
  </si>
  <si>
    <t>Almadani, M., Guner, A., Hassanin, H., Essa, K., Hot-Air Contactless Single-Point Incremental Forming, ournal of Manufacturing and Materials Processing
7(5),179</t>
  </si>
  <si>
    <t>https://www.scopus.com/record/display.uri?eid=2-s2.0-85175257011&amp;origin=resultslist&amp;sort=plf-f&amp;cite=2-s2.0-85109054918&amp;src=s&amp;imp=t&amp;sid=1e6c8704345f2550137ec3d7c1804c6f&amp;sot=cite&amp;sdt=a&amp;sl=0&amp;relpos=0&amp;citeCnt=0&amp;searchTerm=</t>
  </si>
  <si>
    <t>Rusu, G.-P., Breaz, R.-E., Popp, M.-O., Oleksik, V., Racz, S.-G., Experimental Research on Wolfram Inert Gas AA1050 Aluminum Alloy Tailor Welded Blanks Processed by Single Point Incremental Forming Process, Materials
16(19),6408</t>
  </si>
  <si>
    <t>https://www.scopus.com/record/display.uri?eid=2-s2.0-85174021930&amp;origin=resultslist&amp;sort=plf-f&amp;cite=2-s2.0-85109054918&amp;src=s&amp;imp=t&amp;sid=1e6c8704345f2550137ec3d7c1804c6f&amp;sot=cite&amp;sdt=a&amp;sl=0&amp;relpos=1&amp;citeCnt=1&amp;searchTerm=</t>
  </si>
  <si>
    <t>Li, T., Zhang, Z., Wang, W., (...), Xiong, Y., Gao, F., Simulation and Experimental Investigation of Balloon Folding and Inserting Performance for Angioplasty: A Comparison of Two Materials, Polyamide-12 and Pebax, ournal of Functional Biomaterials
14(6),312</t>
  </si>
  <si>
    <t>https://www.scopus.com/record/display.uri?eid=2-s2.0-85163638138&amp;origin=resultslist&amp;sort=plf-f&amp;cite=2-s2.0-85109054918&amp;src=s&amp;imp=t&amp;sid=1e6c8704345f2550137ec3d7c1804c6f&amp;sot=cite&amp;sdt=a&amp;sl=0&amp;relpos=2&amp;citeCnt=2&amp;searchTerm=</t>
  </si>
  <si>
    <t>Kharche, A., Barve, S., Experimental investigations of machining parameters on polyamide 6 using single point incremental forming, Materials Today: Proceedings
80, pp. 993-1001</t>
  </si>
  <si>
    <t>https://www.scopus.com/record/display.uri?eid=2-s2.0-85144208483&amp;origin=resultslist&amp;sort=plf-f&amp;cite=2-s2.0-85109054918&amp;src=s&amp;imp=t&amp;sid=1e6c8704345f2550137ec3d7c1804c6f&amp;sot=cite&amp;sdt=a&amp;sl=0&amp;relpos=3&amp;citeCnt=1&amp;searchTerm=</t>
  </si>
  <si>
    <t>Roșca Nicolae (ULBS), Oleksik Valentin (ULBS), Pascu Adrian (ULBS), Oleksik Mihaela (ULBS), Avrigean Eugen (ULBS)</t>
  </si>
  <si>
    <t>Optical study for springback prediction, thickness reduction and forces variations on single point incremental forming</t>
  </si>
  <si>
    <t>Trzepieciński, T., Szpunar, M., Prediction Of The Coefficient Of Friction In The Single Point Incremental Forming Of Truncated Cones From A Grade 2 Titanium Sheet, Tribologia
40(1), pp. 4-17</t>
  </si>
  <si>
    <t>https://www.scopus.com/record/display.uri?eid=2-s2.0-85168096654&amp;origin=resultslist&amp;sort=plf-f&amp;cite=2-s2.0-85083310245&amp;src=s&amp;imp=t&amp;sid=ad4bac66a76e09c0899f47de95f39b56&amp;sot=cite&amp;sdt=a&amp;sl=0&amp;relpos=0&amp;citeCnt=0&amp;searchTerm=</t>
  </si>
  <si>
    <t>Roșca Nicolae (ULBS), Oleksik Mihaela (ULBS), Oleksik Valentin (ULBS)</t>
  </si>
  <si>
    <t>Experimental Study Regarding PA and PE Sheets on Single Point Incremental Forming Process</t>
  </si>
  <si>
    <t>Roșca Nicolae (ULBS), Trzepieciński, Tomasz, Oleksik Valentin (ULBS)</t>
  </si>
  <si>
    <t>Minimizing the Forces in the Single Point Incremental Forming Process of Polymeric Materials Using Taguchi Design of Experiments and Analysis of Variance</t>
  </si>
  <si>
    <t>Formisano, A., Durante, M., Boccarusso, L., Memola Capece, F., A numerical approach to optimize the toolpath strategy for polymers forming, Materials Research Proceedings
28, pp. 1697-1702</t>
  </si>
  <si>
    <t>https://www.scopus.com/record/display.uri?eid=2-s2.0-85160275342&amp;origin=resultslist&amp;sort=plf-f&amp;cite=2-s2.0-85138737485&amp;src=s&amp;imp=t&amp;sid=e8bb08a2aa452c96bb3a5902462d79b0&amp;sot=cite&amp;sdt=a&amp;sl=0&amp;relpos=2&amp;citeCnt=0&amp;searchTerm=</t>
  </si>
  <si>
    <t>Formisano, A., Boccarusso, L., Durante, M., Optimization of Single-Point Incremental Forming of Polymer Sheets through FEM, Materials
16(1),451</t>
  </si>
  <si>
    <t>https://www.scopus.com/record/display.uri?eid=2-s2.0-85145664265&amp;origin=resultslist&amp;sort=plf-f&amp;cite=2-s2.0-85138737485&amp;src=s&amp;imp=t&amp;sid=e8bb08a2aa452c96bb3a5902462d79b0&amp;sot=cite&amp;sdt=a&amp;sl=0&amp;relpos=3&amp;citeCnt=3&amp;searchTerm=</t>
  </si>
  <si>
    <t>Li Tao, Zhang Zhuo, Wang Wnyuan, Chen Yu, Simulation and Experimental Investigation of Balloon Folding and Inserting Performance for Angioplasty: A Comparison of Two Materials, Polyamide-12 and Pebax, Journal of Functional Biomaterials 14(312</t>
  </si>
  <si>
    <t>https://www.scopus.com/record/display.uri?eid=2-s2.0-85163638138&amp;origin=resultslist&amp;sort=plf-f&amp;src=s&amp;sid=4ed66a539823ad5b650558a65818eb47&amp;sot=b&amp;sdt=b&amp;s=TITLE-ABS-KEY%28Simulation+and+Experimental+Investigation+of+Balloon+Folding+and+Inserting+Performance+for+Angioplasty%3A+A+Comparison+of+Two+Materials%2C+Polyamide-12+and+Pebax%29&amp;sl=172&amp;sessionSearchId=4ed66a539823ad5b650558a65818eb47&amp;relpos=0</t>
  </si>
  <si>
    <t>Kumari, N. (U.S.); Alam, T. (U.S.); Ali, M.A. (U.S.); Yadav, A.S.(U.S.); Gupta, N.K. (U.S.); Siddiqui, M.I.H. (U.S.); Dobrotă, D. (ULBS); Rotaru, I.M. (ULBS); Sharma, A.(U.S.)</t>
  </si>
  <si>
    <t xml:space="preserve"> A Numerical Investigation on Hydrothermal Performance of Micro Channel Heat Sink with Periodic Spatial Modification on Sidewalls. Micromachines 2022, 13, 1986. https://doi.org/10.3390/mi13111986</t>
  </si>
  <si>
    <t>Indal Singh, Aseem C. Tiwari, A revisit to different techniques for gas turbine blade cooling, Materials Today: Proceedings, 2023, https://doi.org/10.1016/j.matpr.2023.01.217.</t>
  </si>
  <si>
    <t>https://www.sciencedirect.com/science/article/pii/S221478532300281X</t>
  </si>
  <si>
    <t>Arun Kumar Yadav, Manish Choudhary, Aditya Pratap Singh, Diverse experimental investigations of artificially roughened solar air heater with different design patterns of ribs,
Materials Today: Proceedings, 2023, https://doi.org/10.1016/j.matpr.2023.01.219.</t>
  </si>
  <si>
    <t>https://www.sciencedirect.com/science/article/pii/S2214785323002821</t>
  </si>
  <si>
    <t>Arun Kumar Yadav, Manish Choudhary, Aditya Pratap Singh, Assessment of solar air heater performance using a variety of artificially roughened components,
Materials Today: Proceedings, 2023, https://doi.org/10.1016/j.matpr.2023.01.278.</t>
  </si>
  <si>
    <t>https://www.sciencedirect.com/science/article/pii/S2214785323003681</t>
  </si>
  <si>
    <t>Dobrotă, D., Racz, S.G., Oleksik, M., Rotaru, I., Tomescu, M., Simion, C.M.</t>
  </si>
  <si>
    <t xml:space="preserve"> Smart Cutting Tools Used in the Processing of Aluminum Alloys. Sensors, 22(1), 28, 2021, https://doi.org/10.3390/s22010028 </t>
  </si>
  <si>
    <t xml:space="preserve">Stoyan SLAVOV, Oleksandr MARKOV, A TOOL FOR BALL BURNISHING WITH ABILITY FOR WIRE AND
WIRELESS MONITORING OF THE DEFORMING FORCE VALUES, ACTA TECHNICA NAPOCENSIS
 Series: Applied Mathematics, Mechanics, and Engineering
 Vol. 65, Issue Special IV, December, 2022 </t>
  </si>
  <si>
    <t>https://atna-mam.utcluj.ro/index.php/Acta/article/viewFile/2066/1646</t>
  </si>
  <si>
    <t>Fatimah Noaman Ghadhban, Hayder Mohammad Jaffal, Numerical and experimental thermohydraulic performance evaluation of multi-minichannel heat sinks considering channel structure modification,
International Communications in Heat and Mass Transfer, Volume 145, Part A, 2023, 106847</t>
  </si>
  <si>
    <t>https://www.sciencedirect.com/science/article/pii/S0735193323002361</t>
  </si>
  <si>
    <t>Ocolișanu, A. (Curtea de Conturi, Dobrotă, G. (U. C. Brancuși Târgu Jiu), Dobrotă, D. (ULBS)</t>
  </si>
  <si>
    <t xml:space="preserve"> The Effects of Public Investment on Sustainable Economic Growth: Empirical Evidence from Emerging Countries in Central and Eastern Europe. Sustainability, 14(14), 8721, 2023
</t>
  </si>
  <si>
    <t>DENDY SETYAWAN,  H. UJIANTO and TRI ANDJARWATI, THE ROLE OF INVESTMENT ON NET EXPORT AND ECONOMIC GROWTH IN SIDOARJO DISTRICT, MODERATED BY STRUCTURAL TRANSFORMATION, The Seybold Report, vol. 18, No. 5, 2023</t>
  </si>
  <si>
    <t>https://seyboldreport.org/article_overview?id=MDUyMDIzMTAxODMyNTkzMTIw</t>
  </si>
  <si>
    <t>Karmveer (US); Kumar Gupta(US), N.; Siddiqui, M.I.H.(US); Dobrotă, D. (ULBS); Alam, T.(US); Ali, M.A.(US); Orfi, J.(US)</t>
  </si>
  <si>
    <t xml:space="preserve"> The Effect of Roughness in Absorbing Materials on Solar Air Heater Performance. Materials 2022, 15, 3088. https://doi.org/10.3390/ma15093088</t>
  </si>
  <si>
    <t>Karmveer K. , Gupta N. K. , Alam T. , Sıngh H. Exergetic efficiency prediction of roughened solar air heater. Journal of Thermal Engineering. 718-732.</t>
  </si>
  <si>
    <t>https://dergipark.org.tr/en/pub/thermal/article/1299177</t>
  </si>
  <si>
    <t xml:space="preserve">Kumari, N.; Alam, T.; Ali, M.A.; Yadav, A.S.; Gupta, N.K.; Siddiqui, M.I.H.; Dobrotă, D. (ULBS_; Rotaru, I.M. (ULBS); Sharma, A. </t>
  </si>
  <si>
    <t>A Numerical Investigation on Hydrothermal Performance of Micro Channel Heat Sink with Periodic Spatial Modification on Sidewalls. Micromachines 2022, 13, 1986. https://doi.org/10.3390/mi13111986</t>
  </si>
  <si>
    <t>Yadav A.S., Alam T., Saxena R., Singh M., Chakroborty S., Effect of Artificial Roughness on Heat Transfer and Friction Factor in a Solar Air Heater: A Review, Lecture Notes in Mechanical Engineering, pp. 355-364, 2023</t>
  </si>
  <si>
    <t>https://www.scopus.com/record/display.uri?eid=2-s2.0-85169062615&amp;origin=SingleRecordEmailAlert&amp;dgcid=raven_sc_authcite_en_us_email&amp;txGid=6ebc088737f8005c318a9506c6e9031f</t>
  </si>
  <si>
    <t xml:space="preserve">Kumari N, Alam T, Ali MA, Yadav AS, Gupta NK, Siddiqui MIH, Dobrot D, Rotaru IM, Sharma AA  </t>
  </si>
  <si>
    <t>Numerical investigation on hydrothermal performance of micro channel heat sink with periodic spatial modification on sidewalls. Micromachines 13:1986, 2022</t>
  </si>
  <si>
    <t>Ahmadi, A., Ranjbar, A.A., Hosseini, M.J. et al. Improvement of mini-channel heat sink using thin-wall fins. J Braz. Soc. Mech. Sci. Eng. 45, 532 (2023). https://doi.org/10.1007/s40430-023-04353-0</t>
  </si>
  <si>
    <t>https://link.springer.com/article/10.1007/s40430-023-04353-0</t>
  </si>
  <si>
    <t xml:space="preserve">Dobrotă, D.; Racz, S.G.; Oleksik, M.; Rotaru, I.; Tomescu, M.; Simion, C.M. </t>
  </si>
  <si>
    <t>Smart Cutting Tools Used in the Processing of Aluminum Alloys. Sensors 2022, 22, 28.</t>
  </si>
  <si>
    <t>Pimenov, D.Y., Kiran, M., Khanna, N. et al. Review of improvement of machinability and surface integrity in machining on aluminum alloys. Int J Adv Manuf Technol (2023). https://doi.org/10.1007/s00170-023-12630-4</t>
  </si>
  <si>
    <t>https://link.springer.com/article/10.1007/s00170-023-12630-4</t>
  </si>
  <si>
    <t>https://www.degruyter.com/document/doi/10.1515/ijcre-2023-0092/html</t>
  </si>
  <si>
    <t>D. Dobrotă, S.G. Racz, M. Oleksik, I. Rotaru, M. Tomescu, C.M. Simion</t>
  </si>
  <si>
    <t>Smart cutting tools used in the processing of aluminum alloys</t>
  </si>
  <si>
    <t xml:space="preserve">Liu, Xianli,  Liu X.; Yue, Caixu, Fan, Mengchao, Gu, Hao, Ding, Mingna, Liu, Xianli, Yue, Caixu, Fan, Mengchao, Gu, Hao, Design, Manufacturing, Management and Control Technology of Cutting Tools for Intelligent Manufacturing Process, Jixie Gongcheng Xuebao/Journal of Mechanical EngineeringOpen AccessVolume 59, Issue 19, Pages 429 - 459, October 2023.
</t>
  </si>
  <si>
    <t>https://www.scopus.com/record/display.uri?eid=2-s2.0-85187803554&amp;origin=SingleRecordEmailAlert&amp;dgcid=raven_sc_authcite_en_us_email&amp;txGid=8d71bc8223875dd7b2155968f5a5c7d2</t>
  </si>
  <si>
    <t>Legat C., Schöler T., Kottre A.
AUTHOR FULL NAMES: Legat, Christoph (36142011700); Schöler, Thorsten (54685014700); Kottre, Andreas (57746980200)
36142011700; 54685014700; 57746980200
Challenges and Requirements for Improving Overall Equipment Effectiveness with Intelligent Manufacturing Technology in Special Machinery Engineering
(2024) Studies in Computational Intelligence, 1136 SCI, pp. 321 - 332, Cited 0 times.
DOI: 10.1007/978-3-031-53445-4_27
https://www.scopus.com/inward/record.uri?eid=2-s2.0-85186102409&amp;doi=10.1007%2f978-3-031-53445-4_27&amp;partnerID=40&amp;md5=9eedd16dc7aadff721ed9bac702f66c6
DOCUMENT TYPE: Conference paper
PUBLICATION STAGE: Final
SOURCE: Scopus</t>
  </si>
  <si>
    <t>https://www.scopus.com/record/display.uri?eid=2-s2.0-85186102409&amp;origin=resultslist&amp;sort=plf-f&amp;src=s&amp;sid=ecc591107c3c9718001b7b9eac08da1a&amp;sot=b&amp;sdt=b&amp;s=TITLE-ABS-KEY%28Challenges+and+Requirements+for+Improving+Overall+Equipment+Effectiveness+with+Intelligent+Manufacturing+Technology+in+Special+Machinery+Engineering%29&amp;sl=163&amp;sessionSearchId=ecc591107c3c9718001b7b9eac08da1a&amp;relpos=0</t>
  </si>
  <si>
    <t>A. Gellert (ULBS), S. -A. Precup  (ULBS),A. Matei (ULBS),  B. -C. Pirvu  (ULBS), C. -B. Zamfirescu  (ULBS)</t>
  </si>
  <si>
    <t>Real-time assembly support system with hidden markov model and hybrid extensions</t>
  </si>
  <si>
    <t>Wang K.-J., Lin C.J., Tadesse A.A., Woldegiorgis B.H.
AUTHOR FULL NAMES: Wang, Kung-Jeng (8050266000); Lin, Chiuhsiang Joe (35345469600); Tadesse, Ahmed Abide (57209660642); Woldegiorgis, Bereket Haile (56453371900)
8050266000; 35345469600; 57209660642; 56453371900
Modeling of human–robot collaboration for flexible assembly—a hidden semi-Markov-based simulation approach
(2023) International Journal of Advanced Manufacturing Technology, 126 (11-12), pp. 5371 - 5389, Cited 1 times.
DOI: 10.1007/s00170-023-11404-2
https://www.scopus.com/inward/record.uri?eid=2-s2.0-85156176366&amp;doi=10.1007%2fs00170-023-11404-2&amp;partnerID=40&amp;md5=f643a9d1f883d415abaa655333e90949</t>
  </si>
  <si>
    <t xml:space="preserve">
https://www.scopus.com/inward/record.uri?eid=2-s2.0-85156176366&amp;doi=10.1007%2fs00170-023-11404-2&amp;partnerID=40&amp;md5=f643a9d1f883d415abaa655333e90949</t>
  </si>
  <si>
    <t>Gellert</t>
  </si>
  <si>
    <t>Supriya P.T., Prakash R.
AUTHOR FULL NAMES: Supriya, P.T. (57211858149); Prakash, R. (57215195561)
57211858149; 57215195561
Solar Panel Cleaning System Using Smart Hybrid Embedded Systems with IoT Assistance
(2023) Electric Power Components and Systems, Cited 2 times.
DOI: 10.1080/15325008.2023.2274936
https://www.scopus.com/inward/record.uri?eid=2-s2.0-85176234759&amp;doi=10.1080%2f15325008.2023.2274936&amp;partnerID=40&amp;md5=332244219abef71544818ecb47bc45e0</t>
  </si>
  <si>
    <t xml:space="preserve">https://www.scopus.com/inward/record.uri?eid=2-s2.0-85176234759&amp;doi=10.1080%2f15325008.2023.2274936&amp;partnerID=40&amp;md5=332244219abef71544818ecb47bc45e0 </t>
  </si>
  <si>
    <t>Radu Sorostinean (ULBS), Arpad Gellert (ULBS), Bogdan-Constantin Pirvu (ULBS)</t>
  </si>
  <si>
    <t>Assembly assistance system with decision trees and ensemble learning</t>
  </si>
  <si>
    <t>Dai M., Li L., Lu Y., Xiao L., Zong X., Tu C., Meng F., Tang Y., Guo D.
AUTHOR FULL NAMES: Dai, Mingyuan (58176051800); Li, Liangpeng (58176285000); Lu, Yilin (58175821900); Xiao, Liwei (58175584700); Zong, Xuemei (58175116400); Tu, Chenglong (58175822000); Meng, Fanjian (58175822100); Tang, Yong (57189597010); Guo, Dongliang (35190299900)
58176051800; 58176285000; 58175821900; 58175584700; 58175116400; 58175822000; 58175822100; 57189597010; 35190299900
Research on Holographic Visualization Verification Platform for Construction Machinery Based on Mixed Reality Technology
(2023) Applied Sciences (Switzerland), 13 (6), art. no. 3692, Cited 2 times.
DOI: 10.3390/app13063692</t>
  </si>
  <si>
    <t xml:space="preserve">https://www.scopus.com/inward/record.uri?eid=2-s2.0-85151996236&amp;doi=10.3390%2fapp13063692&amp;partnerID=40&amp;md5=0eb14a5cc4cf3448adf9e37851bb7961 </t>
  </si>
  <si>
    <t>Pirvu</t>
  </si>
  <si>
    <t>Arpad Gellert (ULBS), Stefan-Alexandru Precup(ULBS), Bogdan-Constantin Pirvu(ULBS), Ugo Fiore, Constantin-Bala Zamfirescu(ULBS), Francesco Palmieri</t>
  </si>
  <si>
    <t>An empirical evaluation of prediction by partial matching in assembly assistance systems</t>
  </si>
  <si>
    <t>Jan Z., Ahamed F., Mayer W., Patel N., Grossmann G., Stumptner M., Kuusk A.
AUTHOR FULL NAMES: Jan, Zohaib (57203390598); Ahamed, Farhad (57710656600); Mayer, Wolfgang (7102522128); Patel, Niki (58038758900); Grossmann, Georg (8899707900); Stumptner, Markus (6701656407); Kuusk, Ana (58039004700)
57203390598; 57710656600; 7102522128; 58038758900; 8899707900; 6701656407; 58039004700
Artificial intelligence for industry 4.0: Systematic review of applications, challenges, and opportunities
(2023) Expert Systems with Applications, 216, art. no. 119456, Cited 70 times.
DOI: 10.1016/j.eswa.2022.119456
https://www.scopus.com/inward/record.uri?eid=2-s2.0-85145354205&amp;doi=10.1016%2fj.eswa.2022.119456&amp;partnerID=40&amp;md5=017bdd7185e502ae05f49a9ec0fff369</t>
  </si>
  <si>
    <t>https://www.scopus.com/inward/record.uri?eid=2-s2.0-85145354205&amp;doi=10.1016%2fj.eswa.2022.119456&amp;partnerID=40&amp;md5=017bdd7185e502ae05f49a9ec0fff369</t>
  </si>
  <si>
    <t>AU Dajana, A
   Marko, V
   Leposava, GN
   Vladimir, D
   Milan, P
   Sonja, R
AF Dajana, Antanasijevic
   Marko, Vjestica
   Leposava, Grubic-Nesic
   Vladimir, Dimitrieski
   Milan, Pisaric
   Sonja, Ristic
TI An Organizational Perspective of Human Resource Modeling
SO IPSI BGD TRANSACTIONS ON INTERNET RESEARCH
RI Vještica, Marko/AAY-2393-2021
OI Vještica, Marko/0000-0003-2368-5818
SN 1820-4503
PD JUL
PY 2023
VL 19
IS 2
SI SI
BP 64
EP 76
UT WOS:001034442100008</t>
  </si>
  <si>
    <t xml:space="preserve">https://www.webofscience.com/wos/woscc/full-record/WOS:001034442100008 </t>
  </si>
  <si>
    <t>Pirvu B., Zamfirescu B.-C.</t>
  </si>
  <si>
    <t>Smart factory in the context of 4th industrial revolution: challenges and opportunities for Romania</t>
  </si>
  <si>
    <t>Costa F., Frecassetti S., Rossini M., Portioli-Staudacher A.
AUTHOR FULL NAMES: Costa, Federica (57205095834); Frecassetti, Stefano (57222107085); Rossini, Matteo (57192072473); Portioli-Staudacher, Alberto (6506708130)
57205095834; 57222107085; 57192072473; 6506708130
Industry 4.0 digital technologies enhancing sustainability: Applications and barriers from the agricultural industry in an emerging economy
(2023) Journal of Cleaner Production, 408, art. no. 137208, Cited 21 times.
DOI: 10.1016/j.jclepro.2023.137208
https://www.scopus.com/inward/record.uri?eid=2-s2.0-85152904734&amp;doi=10.1016%2fj.jclepro.2023.137208&amp;partnerID=40&amp;md5=5b1a560c321286aba64efde494299ca3</t>
  </si>
  <si>
    <t>https://www.scopus.com/inward/record.uri?eid=2-s2.0-85152904734&amp;doi=10.1016%2fj.jclepro.2023.137208&amp;partnerID=40&amp;md5=5b1a560c321286aba64efde494299ca3</t>
  </si>
  <si>
    <t>Apostol S.
AUTHOR FULL NAMES: Apostol, S. (57966663200)
57966663200
DIGITALIZATION AND PLATFORMIZATION IN ROMANIA BASED ON THE DIGITAL PLATFORM ECONOMY INDEX 2020
(2023) Central European Business Review, 12 (4), pp. 77 - 103, Cited 0 times.
DOI: 10.18267/j.cebr.333
https://www.scopus.com/inward/record.uri?eid=2-s2.0-85173114120&amp;doi=10.18267%2fj.cebr.333&amp;partnerID=40&amp;md5=675b4c2539148d2fd04ae49777febf87</t>
  </si>
  <si>
    <t>https://www.scopus.com/inward/record.uri?eid=2-s2.0-85173114120&amp;doi=10.18267%2fj.cebr.333&amp;partnerID=40&amp;md5=675b4c2539148d2fd04ae49777febf87</t>
  </si>
  <si>
    <t>Dennis Kolberg, Christoph Berger, B-C Pirvu (ULBS), Marco Franke, Joachim Michniewicz</t>
  </si>
  <si>
    <t>CyProF–insights from a framework for designing cyber-physical systems in production environments</t>
  </si>
  <si>
    <t>Fett M., Wilking F., Goetz S., Kirchner E., Wartzack S.
AUTHOR FULL NAMES: Fett, Michel (57226056297); Wilking, Fabian (57219200179); Goetz, Stefan (57197817796); Kirchner, Eckhard (56240130800); Wartzack, Sandro (6506007420)
57226056297; 57219200179; 57197817796; 56240130800; 6506007420
A Literature Review on the Development and Creation of Digital Twins, Cyber-Physical Systems, and Product-Service Systems
(2023) Sensors, 23 (24), art. no. 9786, Cited 1 times.
DOI: 10.3390/s23249786</t>
  </si>
  <si>
    <t>https://www.scopus.com/inward/record.uri?eid=2-s2.0-85180617168&amp;doi=10.3390%2fs23249786&amp;partnerID=40&amp;md5=6f6e1a3832040888b6714cf02797bd93</t>
  </si>
  <si>
    <t>Loskyll M. (DFKI), Schlick J. (DFKI), Hodek S. (DFKI), Ollinger L. (DFKI), Gerber T. (DFKI), Pirvu B.C (ULBS)</t>
  </si>
  <si>
    <t>Semantic service discovery and orchestration for manufacturing processes</t>
  </si>
  <si>
    <t>FN Clarivate Analytics Web of Science
VR 1.0
PT B
AU Braun, S
   Dalibor, M
   Jansen, N
   Jarke, M
   Koren, I
   Quix, C
   Rumpe, B
   Wimmer, M
   Wortmann, A
AF Braun, Stefan
   Dalibor, Manuela
   Jansen, Nico
   Jarke, Matthias
   Koren, Istvan
   Quix, Christoph
   Rumpe, Bernhard
   Wimmer, Manuel
   Wortmann, Andreas
BE Vogel-Heuser, B
   Wimmer, M
TI Engineering Digital Twins and Digital Shadows as Key Enablers for
   Industry 4.0
SO DIGITAL TRANSFORMATION: Core Technologies and Emerging Topics from a
   Computer Science Perspective
RI ; Rumpe, Bernhard/S-8216-2016; Koren, Istvan/J-9182-2014
OI Quix, Christoph/0000-0002-1698-4345; Jarke,
   Matthias/0000-0001-6169-2942; Rumpe, Bernhard/0000-0002-2147-1966;
   Koren, Istvan/0000-0003-1350-6732
BN 978-3-662-65004-2; 978-3-662-65003-5
PY 2023
BP 3
EP 31
DI 10.1007/978-3-662-65004-2_1
D2 10.1007/978-3-662-58134-6
UT WOS:001074949600002
ER
EF</t>
  </si>
  <si>
    <t>https://www.scopus.com/record/display.uri?eid=2-s2.0-85161813629&amp;origin=resultslist&amp;sort=plf-f&amp;src=s&amp;sid=894cd254ef55725374aacc1602a841ec&amp;sot=b&amp;sdt=b&amp;s=TITLE-ABS-KEY%28Engineering+digital+twins+and+digital+shadows+as+key+enablers+for+industry+4.0%29&amp;sl=137&amp;sessionSearchId=894cd254ef55725374aacc1602a841ec&amp;relpos=0</t>
  </si>
  <si>
    <t>SCOPUS &amp; WoS</t>
  </si>
  <si>
    <t xml:space="preserve">Pirvu </t>
  </si>
  <si>
    <t>Dietrich, D., Neubauer, M., Lechler, A., Verl, A. (2024). Iterative Planning as a Holistic Framework for Production System-Wide Optimization Control Loops. In: Silva, F.J.G., Pereira, A.B., Campilho, R.D.S.G. (eds) Flexible Automation and Intelligent Manufacturing: Establishing Bridges for More Sustainable Manufacturing Systems. FAIM 2023. Lecture Notes in Mechanical Engineering. Springer, Cham. https://doi.org/10.1007/978-3-031-38241-3_69</t>
  </si>
  <si>
    <t>https://www.scopus.com/record/display.uri?eid=2-s2.0-85171522397&amp;origin=resultslist&amp;sort=plf-f&amp;src=s&amp;sid=2a9f21d8da703132ad3c1490005a4e8a&amp;sot=b&amp;sdt=b&amp;s=TITLE-ABS-KEY%28Iterative+Planning+as+a+Holistic+Framework+for+Production+System-Wide+Optimization+Control+Loops%29&amp;sl=111&amp;sessionSearchId=2a9f21d8da703132ad3c1490005a4e8a&amp;relpos=0</t>
  </si>
  <si>
    <t>Adeel Ahmad &amp; Mourad Bouneffa &amp; Hayder I. Hendi &amp; Cyril Fonlupt, 2023.
"Assisted discovery of optimal solution for logistics problems using ontology modelling," International Journal of Logistics Systems and Management, Inderscience Enterprises Ltd, vol. 44(1), pages 85-104.
https://ideas.repec.org/a/ids/ijlsma/v44y2023i1p85-104.html 
ISSN
17427967
DOI
10.1504/IJLSM.2021.10040697</t>
  </si>
  <si>
    <t>https://www.scopus.com/record/display.uri?eid=2-s2.0-85147583501&amp;origin=resultslist&amp;sort=plf-f&amp;src=s&amp;sid=2e005be9f3fd97ccd6b630ae763388a5&amp;sot=b&amp;sdt=b&amp;s=TITLE-ABS-KEY%28Assisted+discovery+of+optimal+solution+for+logistics+problems+using+ontology+modelling%29&amp;sl=95&amp;sessionSearchId=2e005be9f3fd97ccd6b630ae763388a5&amp;relpos=0</t>
  </si>
  <si>
    <t>Adrian Blaga (ULBS), Octavian Bologa (ULBS), Valentin Oleksik (ULBS), Bogdan Pirvu (ULBS)</t>
  </si>
  <si>
    <t>Experimental researches regarding the influence of geometric parameters on the principal strains and thickness reduction in single point incremental forming</t>
  </si>
  <si>
    <t xml:space="preserve">Kumar, A., Mishra, G.J., Gulati, V. et al. A comprehensive review on heat-assisted incremental sheet forming. Int J Interact Des Manuf (2023). 
https://doi.org/10.1007/s12008-023-01670-5  </t>
  </si>
  <si>
    <t>https://www.scopus.com/record/display.uri?eid=2-s2.0-85179669966&amp;origin=resultslist&amp;sort=plf-f&amp;src=s&amp;sid=9328b03fcaa4ec0ed6a3d99531058a90&amp;sot=b&amp;sdt=b&amp;s=TITLE-ABS-KEY%28A+comprehensive+review+on+heat-assisted+incremental+sheet+forming%29&amp;sl=80&amp;sessionSearchId=9328b03fcaa4ec0ed6a3d99531058a90&amp;relpos=1</t>
  </si>
  <si>
    <t>Oleksik</t>
  </si>
  <si>
    <t>Butănescu-Volanin Remus Constantin (ULBS)</t>
  </si>
  <si>
    <t>Statistica descriptivă,
Editura Universitatii Lucian Blaga, Sibiu, 2018</t>
  </si>
  <si>
    <t>Cătălina STAN (TUDORA), Petru CARDEI, Adriana MUSCALU,
Oana-Alina BOIU-SICUIA, Nicolae-Valentin VLĂDUŢ, Florentina ISRAEL-ROMING. STATISTICAL ANALYSIS ON THE POTENTIAL ANTIFUNGAL
ACTIVITY OF SOME ESSENTIAL OILS OBTAINED
FROM MEDICINAL PLANTS. AgroLife Scientific Journal - Volume 11, Number 1, 2022.
DOI: https://doi.org/10.17930/AGL2022125
PRINT ISSN 2285-5718, CD-ROM ISSN 2285-5726, ISSN ONLINE 2286-0126, ISSN-L 2285-5718
(Citare nedeclarată anterior)</t>
  </si>
  <si>
    <t>https://agrolifejournal.usamv.ro/index.php/agrolife/article/view/649/641</t>
  </si>
  <si>
    <t>WEB OF SCIENCE CORE COLLECTION
Journal Impact Factor™ (JIF)- 2022: 0,5
(https://mjl.clarivate.com/journal-profile)
(https://agrolifejournal.usamv.ro/index.php/agrolife/indexing)
SCOPUS
CiteScore 2022: 0,5
https://www.scopus.com/sourceid/21101113599</t>
  </si>
  <si>
    <t>Butanescu Volanin Remus</t>
  </si>
  <si>
    <r>
      <rPr>
        <rFont val="Arial Narrow"/>
        <color theme="1"/>
        <sz val="10.0"/>
      </rPr>
      <t>ANDREEA ANGELA ŞTEŢIU, MIRCEA ŞTEŢIU</t>
    </r>
    <r>
      <rPr>
        <rFont val="Arial Narrow"/>
        <color rgb="FF000000"/>
        <sz val="10.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</si>
  <si>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 xml:space="preserve">FEM analysis of masticatory induced stresses over surrounding tissues of dental implant </t>
  </si>
  <si>
    <t>Caministeanu, F.; Manolescu, L.S.C.; Malița, M.A.; Perieanu, V.Ș.; Marcov, E.C.; Babiuc, I.; Ionescu, C.; Pîrvu, C.F.; Costea, R.C.; Voinescu, I.; et al. Ageing People Living with HIV/AIDS, PLWHA; More Dental Challenges; the Romanian Dental Professional’s Point of View. Life 2023, 13, 1096. https://doi.org/10.3390/life13051096</t>
  </si>
  <si>
    <t>https://1510q7a3n-y-https-www-webofscience-com.z.e-nformation.ro/wos/woscc/full-record/WOS:000997362100001</t>
  </si>
  <si>
    <t>Stetiu Mircea</t>
  </si>
  <si>
    <t>Andreea Angela ŞTEŢIU, Valentin OLEKSIK, Mircea ŞTEŢIU, Radu PETRUSE, Mihai BURLIBASA, Mihaela CERNUSCA-MITARIU, Ileana IONESCU</t>
  </si>
  <si>
    <t>Dimensioning Initial Preparation for Dental Incisal Reconstruction with Biomaterials</t>
  </si>
  <si>
    <t>Wang, CX., Rong, QG., Zhu, N. et al. Finite element analysis of stress in oral mucosa and titanium mesh interface. BMC Oral Health 23, 25 (2023). https://doi.org/10.1186/s12903-022-02703-3</t>
  </si>
  <si>
    <t>https://1510q7a3n-y-https-www-webofscience-com.z.e-nformation.ro/wos/woscc/full-record/WOS:000914811700005</t>
  </si>
  <si>
    <r>
      <rPr>
        <rFont val="Arial Narrow"/>
        <color theme="1"/>
        <sz val="10.0"/>
      </rPr>
      <t>MIHAI BURLIBAŞA</t>
    </r>
    <r>
      <rPr>
        <rFont val="Arial Narrow"/>
        <color rgb="FF000000"/>
        <sz val="10.0"/>
      </rPr>
      <t xml:space="preserve">, ANDREEA ANGELA ŞTEŢIU, </t>
    </r>
    <r>
      <rPr>
        <rFont val="Arial Narrow"/>
        <strike/>
        <color rgb="FF000000"/>
        <sz val="10.0"/>
      </rPr>
      <t>DRAGOȘ GEORGE MARINESCU</t>
    </r>
    <r>
      <rPr>
        <rFont val="Arial Narrow"/>
        <color rgb="FF000000"/>
        <sz val="10.0"/>
      </rPr>
      <t xml:space="preserve">, MIRCEA ŞTEŢIU, ANCA RĂDUCANU, ANCA TEMELCEA, NARCIS MARCOV, VIOREL ȘTEFAN PERIEANU, LUMINIȚA OANCEA, NICOLETA MĂRU, CAMELIA IONESCU, MĂDĂLINA MALIȚA, MIHAI DAVID, RADU COSTEA, GABRIELA TĂNASE, LAURA STEF, GABRIELA BOTA, MIHAELA ROMANITA GLIGOR, CARMEN DOMNARIU, </t>
    </r>
    <r>
      <rPr>
        <rFont val="Arial Narrow"/>
        <strike/>
        <color rgb="FF000000"/>
        <sz val="10.0"/>
      </rPr>
      <t>BOGDAN PAVAL, LORELAI GEORGETA SFARGHIU</t>
    </r>
    <r>
      <rPr>
        <rFont val="Arial Narrow"/>
        <color rgb="FF000000"/>
        <sz val="10.0"/>
      </rPr>
      <t>, ILEANA IONESCU</t>
    </r>
  </si>
  <si>
    <t>Finite element method analysis of the stress induced upon the dental implant by the mastication process</t>
  </si>
  <si>
    <t>Zielinski, R (Zielinski, Rafal); Sowinski, J (Sowinski, Jerzy); Piechaczek, M (Piechaczek, Martyna); Okulski, J (Okulski, Jakub); Kozakiewicz, M (Kozakiewicz, Marcin). Finite Element Analysis of Subperiosteal Implants in Edentulism-On the Basis of the MaI Implant® by Integra Implants®. MATERIALS 16:23 DOI10.3390/ma16237466</t>
  </si>
  <si>
    <t>https://1510qdj3d-y-https-www-webofscience-com.z.e-nformation.ro/wos/woscc/full-record/WOS:001117502700001</t>
  </si>
  <si>
    <r>
      <rPr>
        <rFont val="Arial Narrow"/>
        <color rgb="FF000000"/>
        <sz val="10.0"/>
      </rPr>
      <t xml:space="preserve">Andreea Angela ŞTEŢIU, Valentin OLEKSIK, </t>
    </r>
    <r>
      <rPr>
        <rFont val="Arial Narrow"/>
        <color rgb="FF000000"/>
        <sz val="10.0"/>
      </rPr>
      <t>Mircea ŞTEŢIU</t>
    </r>
    <r>
      <rPr>
        <rFont val="Arial Narrow"/>
        <color rgb="FF000000"/>
        <sz val="10.0"/>
      </rPr>
      <t>, Mihai BURLIBASA, Victor TRAISTARU, Luminita OANCEA, Serban BERTESTEANU, Ileana IONESCU</t>
    </r>
  </si>
  <si>
    <t>Modelling and Finite Element Method in Dentistry</t>
  </si>
  <si>
    <t>Ajaj Al-Kordy, Nour M.T.; Al-Saadi, Mohannad H. Finite Element Study of Stress Distribution with Tooth-Supported Mandibular Overdenture Retained by Ball Attachments or Resilient Telescopic Crowns. European Journal of Dentistry, , Volume 17, Issue 2, Pages 539 - 5478 July 2023. https://doi.org/10.1055/s-0042-1749363</t>
  </si>
  <si>
    <r>
      <rPr>
        <rFont val="Arial Narrow"/>
        <color rgb="FF000000"/>
        <sz val="10.0"/>
      </rPr>
      <t xml:space="preserve">Andreea Angela ŞTEŢIU, Valentin OLEKSIK, </t>
    </r>
    <r>
      <rPr>
        <rFont val="Arial Narrow"/>
        <color rgb="FF000000"/>
        <sz val="10.0"/>
      </rPr>
      <t>Mircea ŞTEŢIU</t>
    </r>
    <r>
      <rPr>
        <rFont val="Arial Narrow"/>
        <color rgb="FF000000"/>
        <sz val="10.0"/>
      </rPr>
      <t>, Mihai BURLIBASA, Victor TRAISTARU, Luminita OANCEA, Serban BERTESTEANU, Ileana IONESCU</t>
    </r>
  </si>
  <si>
    <t>Al Zubaidi, Saba H.; Alsultan, Mustafa M.H.
;Hasan, Lamiaa A. Stress effect on the mandibular dental arch by mentalis muscle over activity, finite element analysis. Journal of Orthodontic Science, Volume 12, Issue 1, Pages 611. January 2023. https://doi.org/10.4103/jos.jos_16_23</t>
  </si>
  <si>
    <t>Sönmez Maria (Inst. Cercetare UPB), Ficai Denisa (UPB), Ficai, A. (S.C. Metav R&amp;D S.A), Alexandrescu Laurentia (Inst. de Cercetare si Dezv. pt Textile si Piele), Georgescu M. (Inst. de Cercetare si Dezv. pt Textile si Piele), Trusca Roxana (S.C. Metav R&amp;D S.A), Gurau Dana (Inst. de Cercetare si Dezv. pt Textile si Piele), Țîțu M. (ULBS), Andronescu Ecaterina (UPB)</t>
  </si>
  <si>
    <t>Applications of mesoporous silica in biosensing and controlled release of insulin</t>
  </si>
  <si>
    <t>Sharon Rose Pamshong, Dhananjay Bhatane, Santosh Sarnaik, Amit Alexander,
Mesoporous silica nanoparticles: An emerging approach in overcoming the challenges with oral delivery of proteins and peptides,
Colloids and Surfaces B: Biointerfaces,
Volume 232,
2023,
113613,
ISSN 0927-7765,
https://doi.org/10.1016/j.colsurfb.2023.113613.</t>
  </si>
  <si>
    <t>https://doi.org/10.1016/j.colsurfb.2023.113613</t>
  </si>
  <si>
    <t>Aghayan, M., Mahmoudi, A., Sazegar, M.R. et al. The development of a novel copper-loaded mesoporous silica nanoparticle as a peroxidase mimetic for colorimetric biosensing and its application in H2O2 and GSH assay. ANAL. SCI. 39, 1257–1267 (2023). https://doi.org/10.1007/s44211-023-00339-z</t>
  </si>
  <si>
    <t>https://doi.org/10.1007/s44211-023-00339-z</t>
  </si>
  <si>
    <t>Țîțu, M. (ULBS), Răulea, Andreea Simina (ULBS), Țîțu, S. (UMF Cluj)</t>
  </si>
  <si>
    <t>Measuring Service Quality in Tourism Industry</t>
  </si>
  <si>
    <t>Je, Jess Sanggyeong, and Elaine Chiao Ling Yang. "Gender equality reporting in tourism." A Research Agenda for Gender and Tourism. Edward Elgar Publishing, 2023. 63-90.</t>
  </si>
  <si>
    <t>https://www.elgaronline.com/edcollchap/book/9781789902532/book-part-9781789902532-10.xml</t>
  </si>
  <si>
    <t>Sena, S. (Marmara University, Turkey), Sumeyra, K.N. (Yeditepe University, Turkey), Ulkugul G. (Yeditepe University, Turkey), Sema, A. (Marmara University, Turkey), Betul, K. (Marmara University, Turkey), Muge, S.B. (Marmara University, Turkey), Sayip, E.M. (Marmara University, Turkey), Muhammet, U. (Marmara University, Turkey), Cevriye, K. (Istanbul University-Cerrahpasa, Turkey), Mahir, M. (Nanortopedi Industry and Trade Inc Turkey), Țîțu, M. (ULBS), Ficai, Denisa (UPB), Ficai, A. (UPB), Gunduz, O. (Marmara University, Turkey)</t>
  </si>
  <si>
    <t>Controlled Release of Metformin Hydrochloride from Core-Shell Nanofibers with Fish Sarcoplasmic Protein</t>
  </si>
  <si>
    <t>Firouzi Amandi, A., Shahrtash, S.A., Kalavi, S. et al. Fabrication and characterization of metformin-loaded PLGA/Collagen nanofibers for modulation of macrophage polarization for tissue engineering and regenerative medicine. BMC Biotechnol 23, 55 (2023). https://doi.org/10.1186/s12896-023-00825-2</t>
  </si>
  <si>
    <t>https://doi.org/10.1186/s12896-023-00825-2</t>
  </si>
  <si>
    <t>Ardelean, Ioana Lavinia (UPB), Ficai, Denisa (UPB), Sonmez, Maria (Leather and Footwear Research Institute), Țîțu, M. (ULBS), Oprea, O. (UPB), Nechifor, Gh. (UPB), Andronescu, Ecaterina (UPB)</t>
  </si>
  <si>
    <t>Hybrid Magnetic Nanostructures For Cancer Diagnosis And Therapy</t>
  </si>
  <si>
    <t>Spoială, A.; Ilie, C.-I.; Motelica, L.; Ficai, D.; Semenescu, A.; Oprea, O.-C.; Ficai, A. Smart Magnetic Drug Delivery Systems for the Treatment of Cancer. Nanomaterials 2023, 13, 876. https://doi.org/10.3390/nano13050876</t>
  </si>
  <si>
    <t>https://doi.org/10.3390/nano13050876</t>
  </si>
  <si>
    <t>Titu, M. (ULBS), Pop, Alina Bianca (UTCN)</t>
  </si>
  <si>
    <t>Contribution on Taguchi's Method Application on the Surface Roughness Analysis in End Milling Process on 7136 Aluminium Alloy</t>
  </si>
  <si>
    <t>Khan, M.A.; Jaffery, S.H.I.; Khan, M.A.; Faraz, M.I.; Mufti, S. Multi-Objective Optimization of Micro-Milling Titanium Alloy Ti-3Al-2.5V (Grade 9) Using Taguchi-Grey Relation Integrated Approach. Metals 2023, 13, 1373. https://doi.org/10.3390/met13081373</t>
  </si>
  <si>
    <t>https://doi.org/10.3390/met13081373</t>
  </si>
  <si>
    <t>Titu, M. (ULBS), Simonffy, A. (Albacher SA)</t>
  </si>
  <si>
    <t>Contributions Regarding the Reduction of Production Costs for Brewing by Recovering and Reusing the Carbon Dioxide</t>
  </si>
  <si>
    <t>Rawalgaonkar, D.; Zhang, Y.; Walker, S.; Kirchman, P.; Zhang, Q.; Ergas, S.J. Recovery of Energy and Carbon Dioxide from Craft Brewery Wastes for Onsite Use. Fermentation 2023, 9, 831. https://doi.org/10.3390/fermentation9090831</t>
  </si>
  <si>
    <t>https://doi.org/10.3390/fermentation9090831</t>
  </si>
  <si>
    <t>Ana Fernández-Ríos, Isabela Butnar, María Margallo, Jara Laso, Aiduan Borrion, Rubén Aldaco,
Carbon accounting of negative emissions technologies integrated in the life cycle of spirulina supplements,
Science of The Total Environment,
Volume 890,
2023,
164362,
ISSN 0048-9697,
https://doi.org/10.1016/j.scitotenv.2023.164362.</t>
  </si>
  <si>
    <t>https://doi.org/10.1016/j.scitotenv.2023.164362.</t>
  </si>
  <si>
    <t>R. E. Petruse, I. Bondrea, and I. C. Nicolae</t>
  </si>
  <si>
    <t>Main Requirements of a Cyber Physical Production System Demonstrator</t>
  </si>
  <si>
    <t>Challenges in OT Security and Their Impacts on Safety-Related Cyber-Physical Production Systems</t>
  </si>
  <si>
    <t>https://www.scopus.com/record/display.uri?eid=2-s2.0-85161820114&amp;origin=resultslist&amp;sort=plf-f&amp;src=s&amp;sid=9db89847fc7cc189734918284387f8dd&amp;sot=b&amp;sdt=b&amp;s=TITLE-ABS-KEY%28Challenges+in+OT+Security+and+Their+Impacts+on+Safety-Related+Cyber-Physical+Production+Systems%29&amp;sl=110&amp;sessionSearchId=9db89847fc7cc189734918284387f8dd&amp;relpos=0</t>
  </si>
  <si>
    <t>Bondrea Ioan</t>
  </si>
  <si>
    <t>Petruse Radu Emanuil, Bondrea Ioan</t>
  </si>
  <si>
    <t>AUGMENTED REALITY AIDED PRODUCT LIFE CYCLE MANAGEMENT COLLABORATIVE PLATFORM</t>
  </si>
  <si>
    <t>Adopting extended reality? A systematic review of manufacturing training and teaching applications</t>
  </si>
  <si>
    <t>https://www.sciencedirect.com/science/article/pii/S0278612523002170?via%3Dihub</t>
  </si>
  <si>
    <t>R.E. Petruse, S. Pu, A. Pascu, I. Bondrea</t>
  </si>
  <si>
    <t>Key factors towards a high-quality additive manufacturing process with ABS material</t>
  </si>
  <si>
    <t>Investigation of printing parameters effects on mechanical and failure properties of 3D Printed PLA</t>
  </si>
  <si>
    <t>https://www.sciencedirect.com/science/article/pii/S1350630723001723?via%3Dihub</t>
  </si>
  <si>
    <t>Radu Emanuil Petruse, Ioan Bondrea</t>
  </si>
  <si>
    <t>Augmented Reality a Review on Technology and Applications</t>
  </si>
  <si>
    <t>Augmented Reality im Marketing</t>
  </si>
  <si>
    <t>https://link.springer.com/book/10.1007/978-3-658-42177-9</t>
  </si>
  <si>
    <t>Radu Emanuil Petruse, Brandon Johnson, Ioan Bondrea</t>
  </si>
  <si>
    <t>A low budget, reverse engineering solution for obtaining functional parts</t>
  </si>
  <si>
    <t>REVERSE ENGINEERING OF TRAM TRANSMISSION GEAR</t>
  </si>
  <si>
    <t>https://eds.p.ebscohost.com/abstract?site=eds&amp;scope=site&amp;jrnl=15837904&amp;AN=174227830&amp;h=mIWhww8f1YD7nbDywZMAWDMw28IippVnz%2b3YnLkvvxIrHH%2fKjVFyfzew%2f4TpUmu4u4ekaguy3Su78jppm5WhGA%3d%3d&amp;crl=c&amp;resultLocal=ErrCrlNoResults&amp;resultNs=Ehost&amp;crlhashurl=login.aspx%3fdirect%3dtrue%26profile%3dehost%26scope%3dsite%26authtype%3dcrawler%26jrnl%3d15837904%26AN%3d174227830</t>
  </si>
  <si>
    <t>Maria Virginia Iuga (Marquardt), Liviu Ion Rosca (ULBS)</t>
  </si>
  <si>
    <t>Comparison of problem solving tools in lean organizations</t>
  </si>
  <si>
    <t>C Battistella, A Fornasier, E Pessot - How can lean tools support the innovation process of SMEs?
 Journal of Manufacturing Technology Management, Vol. 34 No. 6, pp. 1004-1024.  https://doi.org/10.1108/JMTM-12-2022-0449</t>
  </si>
  <si>
    <t xml:space="preserve">https://www.emerald.com/insight/content/doi/10.1108/JMTM-12-2022-0449/full/html </t>
  </si>
  <si>
    <t>https://www.scopus.com/results/citedbyresults.uri?sort=plf-f&amp;cite=2-s2.0-85028381211&amp;src=s&amp;imp=t&amp;sid=96cd15d8a7812133d77881f70d1e685a&amp;sot=cite&amp;sdt=a&amp;sl=0&amp;origin=resultslist&amp;editSaveSearch=&amp;txGid=ceb6ce7d65365ac6c71e995be5bce869</t>
  </si>
  <si>
    <t xml:space="preserve">Pernille Clausen - Towards the Industry 4.0 agenda: Practitioners' reasons why a digital transition of shop floor management visualization boards is warranted
Digital Business, Volume 3, Issue 2, December 2023, 100063
</t>
  </si>
  <si>
    <t xml:space="preserve">https://www.sciencedirect.com/science/article/pii/S266695442300011X </t>
  </si>
  <si>
    <t>Bruno Miranda dos Santos,Flavio Sanson Fogliatto,Tarcisio Abreu Saurin &amp; Guilherme Luz Tortorella
Modeling help chains in health services as social networks: moving from linearity to complexity
International Journal of Production Research, 2023 - Taylor &amp; Francis</t>
  </si>
  <si>
    <t xml:space="preserve">https://www.tandfonline.com/doi/full/10.1080/00207543.2023.2298486?casa_token=4cqPG_8uOywAAAAA%3APjkxUQN4Lf2E2nzUJnYv8IgXt1ULioxydU7ppibrHXrJestolvfH0ZU85IBgADHfQQmRTJhfgMYYYw </t>
  </si>
  <si>
    <t>Tortorella, G.L., Powell, D., Liu, L., (...), Hines, P., Nascimento, D.L.D.M.
How has social media been affecting problem-solving in organizations undergoing Lean Production implementation? A multi-case study 
Journal of Industrial Information Integration, 2023</t>
  </si>
  <si>
    <t>https://www.sciencedirect.com/science/article/pii/S2452414X23000882</t>
  </si>
  <si>
    <t>Demir, S., Paksoy, T. - Just-in-Time and Lean Management, Smart and Sustainable Operations and Supply Chain Management in Industry 4.0, 2023</t>
  </si>
  <si>
    <t xml:space="preserve">https://www.taylorfrancis.com/chapters/edit/10.1201/9781003180302-11/time-lean-management-sercan-demir-turan-paksoy </t>
  </si>
  <si>
    <t>Maria Virginia Iuga (Marquardt), Claudiu Vasile Kifor (ULBS), Liviu-Ion Rosca (ULBS)</t>
  </si>
  <si>
    <t>Lean information management: Criteria for selecting key performance indicators at shop floor</t>
  </si>
  <si>
    <t>C Wu, N Brookes, C Unterhitzenberger &amp; Nancy Olson - The role of lean information flows in disaster construction projects: exploring the UK's Covid surge hospital projects
Construction Management and Economics 
Volume 41, 2023 - Issue 10,  Taylor &amp; Francis</t>
  </si>
  <si>
    <t>https://www.tandfonline.com/doi/full/10.1080/01446193.2023.2210693</t>
  </si>
  <si>
    <t>Exergy-economic analysis of a hybrid combined supercritical Brayton cycle-organic Rankine cycle using biogas and solar PTC system as energy sources</t>
  </si>
  <si>
    <t>https://www.sciencedirect.com/science/article/pii/S2214157X23007906</t>
  </si>
  <si>
    <t>Numerical investigation of heat transfer enhancement in solar air heaters using polygonal-shaped ribs and grooves</t>
  </si>
  <si>
    <t>https://www.frontiersin.org/articles/10.3389/fenrg.2023.1279225/full</t>
  </si>
  <si>
    <t>Scorza, F (UNIBAS) and Grecu, V (ULBS)</t>
  </si>
  <si>
    <t>Assessing Sustainability: Research Directions and Relevant Issues</t>
  </si>
  <si>
    <t>Saganeiti, L., Fiorini, L., Zullo, F., &amp; Murgante, B. (2023). Urban dispersion indicator to assess the Italian settlement pattern. Environment and Planning B: Urban Analytics and City Science, 23998083231218779.</t>
  </si>
  <si>
    <t>https://journals.sagepub.com/doi/full/10.1177/23998083231218779</t>
  </si>
  <si>
    <t>Jaouhari, Y., Travaglia, F., Giovannelli, L., Picco, A., Oz, E., Oz, F., &amp; Bordiga, M. (2023). From industrial food waste to bioactive ingredients: A review on the sustainable management and transformation of plant-derived food waste. Foods, 12(11), 2183.</t>
  </si>
  <si>
    <t>https://www.mdpi.com/2304-8158/12/11/2183</t>
  </si>
  <si>
    <t>Grecu, V; Ciobotea, RIG and Florea, A</t>
  </si>
  <si>
    <t>Software Application for Organizational Sustainability Performance Assessment</t>
  </si>
  <si>
    <t>Abdulah Shrrat Omar, O. (2023). Evaluation of Pipe Materials in Water System Networks Using the Theory of Advanced Multi-Criteria Analysis. Sustainability, 15(5), 4491.</t>
  </si>
  <si>
    <t>https://www.mdpi.com/2071-1050/15/5/4491</t>
  </si>
  <si>
    <t>Grecu, V and Denes, C</t>
  </si>
  <si>
    <t>Benefits of entrepreneurship education and training for engineering students</t>
  </si>
  <si>
    <t xml:space="preserve">Olha, M., Pozdniakova, O., Voroniuk, I., Shchurova, V., &amp; Chumak, T. (2023). THE FORMATION OF PROFESSIONAL COMPETENCIES OF A HIGHER EDUCATION INSTITUTION GRADUATE IN THE CONDITIONS OF THE UNIVERSITY 3.0 PARADIGM FORMATION. In AD ALTA-JOURNAL OF INTERDISCIPLINARY RESEARCH (Vol. 13, Issues 2, SI, pp. 90–96). MAGNANIMITAS.
</t>
  </si>
  <si>
    <t>https://www.magnanimitas.cz/ADALTA/130238/papers/A_14.pdf</t>
  </si>
  <si>
    <t>Grecu, V and Morar, T</t>
  </si>
  <si>
    <t>A Decision Support System for Improving Pedestrian Accessibility in Neighborhoods</t>
  </si>
  <si>
    <t>Jabbari, M., Fonseca, F., Smith, G., Conticelli, E., Tondelli, S., Ribeiro, P., Ahmadi, Z., Papageorgiou, G., &amp; Ramos, R. (2023). The Pedestrian Network Concept: A Systematic Literature Review. In JOURNAL OF URBAN MOBILITY (Vol. 3). ELSEVIER. https://doi.org/10.1016/j.urbmob.2023.100051</t>
  </si>
  <si>
    <t xml:space="preserve">https://doi.org/10.1016/j.urbmob.2023.100051 </t>
  </si>
  <si>
    <t>Merlin, L. A., &amp; Jehle, U. (2023). Global interest in walking accessibility: A scoping review. In TRANSPORT REVIEWS (Vol. 43, Issue 5, pp. 1021–1054). TAYLOR &amp; FRANCIS LTD. https://doi.org/10.1080/01441647.2023.2189323</t>
  </si>
  <si>
    <t xml:space="preserve">https://doi.org/10.1080/01441647.2023.2189323 </t>
  </si>
  <si>
    <t>Omar, O. A. S. (2023). Evaluation of Pipe Materials in Water System Networks Using the Theory of Advanced Multi-Criteria Analysis. In SUSTAINABILITY (Vol. 15, Issue 5). MDPI. https://doi.org/10.3390/su15054491</t>
  </si>
  <si>
    <t xml:space="preserve">https://doi.org/10.3390/su15054491 </t>
  </si>
  <si>
    <t>Torretta, V (Italia); Rada, EC (Italia); Ragazzi, M (Italia); Trulli, E (Italia); Istrate, IA; Cioca, LI</t>
  </si>
  <si>
    <t>Treatment and disposal of tyres: Two EU approaches. A review</t>
  </si>
  <si>
    <t>Fu, JY; Ye, WW; Ji, LJ; Yin, YG; Xu, X; Huang, QX; Li, XD; Jiao, WT; Zhan, MX; Characteristics of the pyrolytic products and the pollutant emissions at different operating stages from a pilot waste tire pyrolysis furnace; Waste Management</t>
  </si>
  <si>
    <t>https://www.sciencedirect.com/science/article/pii/S0956053X23007602?via%3Dihub</t>
  </si>
  <si>
    <t>Mouneir, SM; El-Shamy, AM; A review on harnessing the energy potential of pyrolysis gas from scrap tires: Challenges and opportunities for sustainable energy recovery; Journal of Analitycal and Applied Pyrolysis</t>
  </si>
  <si>
    <t xml:space="preserve">https://www.sciencedirect.com/science/article/pii/S0165237023004485?via%3Dihub </t>
  </si>
  <si>
    <t>Qi, JW; Xu, PC; Hu, M; Huhe, T; Ling, X; Yuan, HR; Wang, YJ; Chen, Y; Machine learning-driven prediction and optimization of pyrolysis oil and limonene production from waste tires; Journal of Analitycal and Applied Pyrolysis</t>
  </si>
  <si>
    <t xml:space="preserve">https://www.sciencedirect.com/science/article/pii/S0165237023004424?via%3Dihub </t>
  </si>
  <si>
    <t>Shafik, ES; Lotfy, VF; Basta, AH; The role of pulping black liquor in fabrication of new high performance polyester composite form red brick and rubber wastes; Industrial Crops and Products</t>
  </si>
  <si>
    <t xml:space="preserve">https://www.sciencedirect.com/science/article/pii/S0926669023014309?via%3Dihub </t>
  </si>
  <si>
    <t>Anburuvel, A; Priyadarshana, HMJL; Kulathunga, RMST; Assessment of Mechanical Characteristics of Crushed Rock Substituted with Tyre Crumb for the Application of Road Base or Subbase Layers of Road Pavement; INTERNATIONAL JOURNAL OF PAVEMENT RESEARCH AND TECHNOLOGY</t>
  </si>
  <si>
    <t xml:space="preserve">https://link.springer.com/article/10.1007/s42947-023-00383-y </t>
  </si>
  <si>
    <t>Prochatzki, G; Mayer, R; Haenel, J; Schmidt, A; Götze, U; Ulber, M; Fischer, A; Arnold, MG; A critical review of the current state of circular economy in the automotive sector; JOURNAL OF CLEANER PRODUCTION</t>
  </si>
  <si>
    <t>https://www.sciencedirect.com/science/article/pii/S0959652623029451?via%3Dihub</t>
  </si>
  <si>
    <t>Czarna-Juszkiewicz, D; Kunecki, P; Cader, J; Wdowin, M; Review in Waste Tire Management-Potential Applications in Mitigating Environmental Pollution; MATERIALS</t>
  </si>
  <si>
    <t>https://www.mdpi.com/1996-1944/16/17/5771</t>
  </si>
  <si>
    <t>Azmi, NAS; Lau, KS; Chin, SX; Zakaria, S; Chowdhury, S; Chia, CH; Study on Effect of Toluene-Acid Treatments of Recycled Carbon Black from Waste Tyres: Physico-Chemical Analyses and Adsorption Performance; SAINS MALAYSIANA</t>
  </si>
  <si>
    <t xml:space="preserve">https://www.ukm.my/jsm/pdf_files/SM-PDF-52-9-2023/17.pdf </t>
  </si>
  <si>
    <t>Wang, JZ; Qi, XW; Dong, XJ; Zhang, K; Luo, SY; Mechanistic insights into co-pyrolysis of waste tires and waste lubricating oil: Kinetics and thermal behavior study; ENERGY SOURCES PART A-RECOVERY UTILIZATION AND ENVIRONMENTAL EFFECTS</t>
  </si>
  <si>
    <t xml:space="preserve">https://www.tandfonline.com/doi/full/10.1080/15567036.2023.2226087 </t>
  </si>
  <si>
    <t>Dorigato, A; Rigotti, D; Fredi, G; Recent advances in the devulcanization technologies of industrially relevant sulfur-vulcanized elastomers; ADVANCED INDUSTRIAL AND ENGINEERING POLYMER RESEARCH</t>
  </si>
  <si>
    <t xml:space="preserve">https://www.sciencedirect.com/science/article/pii/S2542504822000525?via%3Dihub </t>
  </si>
  <si>
    <t>Laghezza, M; Papari, S; Fiore, S; Berruti, F; Techno-economic assessment of the pyrolysis of rubber waste; ENERGY</t>
  </si>
  <si>
    <t xml:space="preserve">https://www.sciencedirect.com/science/article/pii/S0360544223012355?via%3Dihub </t>
  </si>
  <si>
    <t>Liu, J; Sun, H; Chen, H; Li, WC; Pan, PY; Wu, LN; Xu, G; Liu, WY; Thermo-economic analysis of a polygeneration system using biogas and waste tire based on the integration of solid oxide fuel cell, gas turbine, pyrolysis, and organic rankine cycle; APPLIED THERMAL ENGINEERING</t>
  </si>
  <si>
    <t xml:space="preserve">https://www.sciencedirect.com/science/article/pii/S1359431123008542?via%3Dihub </t>
  </si>
  <si>
    <t>Sun, S; Han, XY; Chen, AJ; Zhang, Q; Wang, ZH; Li, KL; Experimental Analysis and Evaluation of the Compressive Strength of Rubberized Concrete During Freeze-Thaw Cycles; INTERNATIONAL JOURNAL OF CONCRETE STRUCTURES AND MATERIALS</t>
  </si>
  <si>
    <t xml:space="preserve">https://link.springer.com/article/10.1186/s40069-023-00592-6 </t>
  </si>
  <si>
    <t>Yang, ZN; Lu, ZC; Shi, W; Wang, C; Ling, XZ; Liu, X; Guan, D; Cheng, ZJ; Dynamic Properties of Expansive Soil-Rubber under Freeze-Thaw Cycles; JOURNAL OF MATERIALS IN CIVIL ENGINEERING</t>
  </si>
  <si>
    <t xml:space="preserve">https://ascelibrary.org/doi/10.1061/%28ASCE%29MT.1943-5533.0004688 </t>
  </si>
  <si>
    <t>Wu, SC; Lin, CW; Chang, PC; Yang, TY; Tang, SY; Wu, DC; Liao, CR; Wang, YC; Lee, L; Yu, YJ; Chueh, YL; Ecofriendly Synthesis of Waste-Tire-Derived Graphite Nanoflakes by a Low-Temperature Electrochemical Graphitization Process toward a Silicon-Based Anode with a High-Performance Lithium-Ion Battery; ACS APPLIED MATERIALS &amp; INTERFACES</t>
  </si>
  <si>
    <t xml:space="preserve">https://pubs.acs.org/doi/10.1021/acsami.2c20393 </t>
  </si>
  <si>
    <t>Ferrández, D; Yedra, E; Recalde-Esnoz, I; del Castillo, E; Reuse of end-of-life tires and their impact on the setting time of mortars: Experimental study using a new measuring equipment;  JOURNAL OF BUILDING ENGINEERING</t>
  </si>
  <si>
    <t xml:space="preserve">https://www.sciencedirect.com/science/article/pii/S2352710223004345?via%3Dihub </t>
  </si>
  <si>
    <t>Qu, Q; Xu, J; Wang, HH; Yu, YR; Dong, QP; Zhang, XH; He, Y; Carbon Nanotube-Based Intumescent Flame Retardants Achieve High-Efficiency Flame Retardancy and Simultaneously Avoid Mechanical Property Loss; POLYMERS</t>
  </si>
  <si>
    <t xml:space="preserve">https://www.mdpi.com/2073-4360/15/6/1406 </t>
  </si>
  <si>
    <t>Yang, Z; Lu, Z; Shi, W; Wang, C; Ling, X; Li, J; Guan, D; Investigation of rubber content and size on dynamic properties of expansive soil-rubber; GEOSYNTHETICS INTERNATIONAL</t>
  </si>
  <si>
    <t xml:space="preserve">https://www.icevirtuallibrary.com/doi/10.1680/jgein.22.00263 </t>
  </si>
  <si>
    <t>Maddalena, R; Freeze/Thaw Resistance of Mortar with Recycled Tyre Waste at Varying Particle Sizes; MATERIALS</t>
  </si>
  <si>
    <t xml:space="preserve">https://www.mdpi.com/1996-1944/16/3/1301 </t>
  </si>
  <si>
    <t>Mohammadi, S; Solatifar, N; Optimized Preparation and High-Temperature Performance of Composite-Modified Asphalt Binder with CR and WEO; JOURNAL OF MATERIALS IN CIVIL ENGINEERING</t>
  </si>
  <si>
    <t xml:space="preserve">https://ascelibrary.org/doi/10.1061/%28ASCE%29MT.1943-5533.0004568 </t>
  </si>
  <si>
    <t>Laxmi, V; Thakre, C; Bisarya, A; Vijay, R; An innovative approach for the development of sound absorbing material using industrial wastes; CONSTRUCTION AND BUILDING MATERIALS</t>
  </si>
  <si>
    <t xml:space="preserve">An innovative approach for the development of sound absorbing material using industrial wastes </t>
  </si>
  <si>
    <t>Yeh, CK; Yeh, RH; Combustion of Scrap Waste Tires of a Cogeneration Plant; JOURNAL OF MARINE SCIENCE AND TECHNOLOGY-TAIWAN</t>
  </si>
  <si>
    <t xml:space="preserve">https://jmstt.ntou.edu.tw/journal/vol31/iss1/1/ </t>
  </si>
  <si>
    <t>FNG3</t>
  </si>
  <si>
    <t>Zaragoza-Benzal, A; Ferrandez, D; Santos, P; Moron, C; Recovery of End-of-Life Tyres and Mineral Wool Waste: A Case Study with Gypsum Composite Materials Applying Circular Economy Criteria; MATERIALS</t>
  </si>
  <si>
    <t xml:space="preserve">https://www.mdpi.com/1996-1944/16/1/243 </t>
  </si>
  <si>
    <t>Ibrahim, W.A.R.A.W., Rahim, I.A., Suandi, M.E.M., Muhammad, N., Rahman, N.S.A.; Development of sustainable lightweight heat insulation panel from elastomeric and polymeric waste; AIP Conference Proceedings</t>
  </si>
  <si>
    <t>https://pubs.aip.org/aip/acp/article-abstract/2544/1/020017/2884996/Development-of-sustainable-lightweight-heat?redirectedFrom=PDF</t>
  </si>
  <si>
    <t>Achouri, I.-E., Zeghloul, T., Medles, K., (...), Le-Clerc, C., Dascalescu, L.; Experimental Modelling and Optimization of the Tribo-Electrostatic Separation of PET Fibers from End-of-Life Tires; 2023 IEEE Industry Applications Society Annual Meeting, IAS 2023</t>
  </si>
  <si>
    <t>https://searchworks-lb.stanford.edu/articles/edseee__edseee.10406882</t>
  </si>
  <si>
    <t>Zhou, D., Huang, J., Zhang, Z., Liu, B.; Generative Design for Buffer Layer Structures; 2023 4th International Conference on Intelligent Design, ICID 2023</t>
  </si>
  <si>
    <t>https://www.scopus.com/record/display.uri?eid=2-s2.0-85184856337&amp;origin=resultslist&amp;zone=contextBox</t>
  </si>
  <si>
    <t>Introduction of the circular economy within developing regions: A comparative analysis of advantages and opportunities for waste valorization</t>
  </si>
  <si>
    <t xml:space="preserve">
Herrera-Franco, G; Merchán-Sanmartín, B; Caicedo-Potosí, J; Bitar, JB; Berrezueta, E; Carrión-Mero, P; A systematic review of coastal zone integrated waste management for sustainability strategies; ENVIRONMENTAL RESEARCH</t>
  </si>
  <si>
    <t xml:space="preserve">A systematic review of coastal zone integrated waste management for sustainability strategies </t>
  </si>
  <si>
    <t>Moreira, MND; Moreira, FKV; Prata, AS; Effect of adding micronized eggshell waste particles on the properties of biodegradable pectin/starch films; JOURNAL OF CLEANER PRODUCTION</t>
  </si>
  <si>
    <t xml:space="preserve">https://www.sciencedirect.com/science/article/pii/S0959652623043871?via%3Dihub </t>
  </si>
  <si>
    <t>Vinayagam, V; Sikarwar, D; Das, S; Pugazhendhi, A; Envisioning the innovative approaches to achieve circular economy in the water and wastewater sector; ENVIRONMENTAL RESEARCH</t>
  </si>
  <si>
    <t xml:space="preserve">https://www.sciencedirect.com/science/article/pii/S0013935123024672?via%3Dihub </t>
  </si>
  <si>
    <t>Derks, M; Romijn, H; Removing barriers to plastic waste valorisation in Africa: Towards policies for value creation and capture in business ecosystems; BUSINESS STRATEGY AND DEVELOPMENT</t>
  </si>
  <si>
    <t xml:space="preserve">https://onlinelibrary.wiley.com/doi/10.1002/bsd2.318 </t>
  </si>
  <si>
    <t>Chilakamarry, CR; Khilji, IA; Sirohi, R; Pandey, A; Baskar, G; Satyavolu, J; Maximizing the value of biodiesel industry waste: Exploring recover, recycle, and reuse for sustainable environment; ENVIRONMENTAL TECHNOLOGY &amp; INNOVATION</t>
  </si>
  <si>
    <t xml:space="preserve">https://www.sciencedirect.com/science/article/pii/S2352186423004431?via%3Dihub </t>
  </si>
  <si>
    <t>Arana-Landin, G; Siguenza, W; Landeta-Manzano, B; Laskurain-Iturbe, I; Circular economy: On the road to ISO 59000 family of standards; CORPORATE SOCIAL RESPONSIBILITY AND ENVIRONMENTAL MANAGEMENT</t>
  </si>
  <si>
    <t xml:space="preserve">https://onlinelibrary.wiley.com/doi/10.1002/csr.2665 </t>
  </si>
  <si>
    <t>Reis, WF; Barreto, CG; Capelari, MGM; Circular Economy and Solid Waste Management: Connections from a Bibliometric Analysis; SUSTAINABILITY</t>
  </si>
  <si>
    <t xml:space="preserve">https://www.mdpi.com/2071-1050/15/22/15715 </t>
  </si>
  <si>
    <t>Obar, F; Alherbawi, M; Mckay, G; Al-Ansari, T; Optimizing the utilization of biochar from waste: an energy-water-food nexus assessment approach considering water treatment and soil application scenarios; FRONTIERS IN ENVIRONMENTAL SCIENCE</t>
  </si>
  <si>
    <t xml:space="preserve">https://www.frontiersin.org/articles/10.3389/fenvs.2023.1238810/full </t>
  </si>
  <si>
    <t>Beheshti, M; Mahdiraji, HA; Rocha-Lona, L; Transitioning drivers from linear to circular economic models: evidence of entrepreneurship in emerging nations; MANAGEMENT DECISION</t>
  </si>
  <si>
    <t xml:space="preserve">https://www.emerald.com/insight/content/doi/10.1108/MD-02-2023-0279/full/html </t>
  </si>
  <si>
    <t>Ambaye, TG; Djellabi, R; Vaccari, M; Prasad, S; Aminabhavi, TM; Rtimi, S; Emerging technologies and sustainable strategies for municipal solid waste valorization: Challenges of circular economy implementation; JOURNAL OF CLEANER PRODUCTION</t>
  </si>
  <si>
    <t xml:space="preserve">https://www.sciencedirect.com/science/article/pii/S0959652623028664?via%3Dihub </t>
  </si>
  <si>
    <t>Yang, SH; Long, RY; Wu, MF; Chen, H; Li, QW; Research progress and frontier of global solid waste management based on bibliometrics; ENVIRONMENTAL DEVELOPMENT</t>
  </si>
  <si>
    <t xml:space="preserve">https://www.sciencedirect.com/science/article/pii/S2211464523001227?via%3Dihub </t>
  </si>
  <si>
    <t>Solaz, HM; Artacho-Ramírez, MA; Cloquell-Ballester, VA; Catalán, CB; Prioritizing action plans to save resources and better achieve municipal solid waste management KPIs: An urban case study; JOURNAL OF THE AIR &amp; WASTE MANAGEMENT ASSOCIATION</t>
  </si>
  <si>
    <t xml:space="preserve">https://www.tandfonline.com/doi/full/10.1080/10962247.2023.2244461 </t>
  </si>
  <si>
    <t>Tariq, MS; Khalid, A; Placing Green IT awareness and practices among universities' librarians: A NAT perspective; JOURNAL OF ACADEMIC LIBRARIANSHIP</t>
  </si>
  <si>
    <t xml:space="preserve">https://www.sciencedirect.com/science/article/pii/S009913332300109X?via%3Dihub </t>
  </si>
  <si>
    <t>Ospina-Mateus, H; Marrugo-Salas, L; Castilla, LC; Castellon, L; Cantillo, A; Bolivar, LM; Salas-Navarro, K; Zamora-Musa, R; Analysis in circular economy research in Latin America: A bibliometric review; HELIYON</t>
  </si>
  <si>
    <t xml:space="preserve">https://www.sciencedirect.com/science/article/pii/S2405844023072079?via%3Dihub </t>
  </si>
  <si>
    <t>Nieves, AJ; Ramos, GCD; Advancing the Application of a Multidimensional Sustainable Urban Waste Management Model in a Circular Economy in Mexico City; SUSTAINABILITY</t>
  </si>
  <si>
    <t xml:space="preserve">https://www.mdpi.com/2071-1050/15/17/12678 </t>
  </si>
  <si>
    <t>Tritto, N; Dias, JG ; Bassi, F; SMEs Circular Economy Practices in the European Union: Multilevel Implications for Sustainability; SOCIAL INDICATORS RESEARCH</t>
  </si>
  <si>
    <t xml:space="preserve">https://link.springer.com/article/10.1007/s11205-023-03191-w </t>
  </si>
  <si>
    <t>Islam, MT; Jabber, MA; Sakib, MN; Application of revised theory of planned behavior model to assess the readiness of circular economy in the RMG sector of Bangladesh; JOURNAL OF CLEANER PRODUCTION</t>
  </si>
  <si>
    <t xml:space="preserve">https://www.sciencedirect.com/science/article/pii/S0959652623025866?via%3Dihub </t>
  </si>
  <si>
    <t>Pongen, I; Ray, P; Gupta, R; Evaluating the barriers to e-waste closed-loop supply chain adoption; BENCHMARKING-AN INTERNATIONAL JOURNAL</t>
  </si>
  <si>
    <t xml:space="preserve">https://www.emerald.com/insight/content/doi/10.1108/BIJ-01-2023-0032/full/html </t>
  </si>
  <si>
    <t>Onungwe, I; Hunt, DVL; Jefferson, I; Transition and Implementation of Circular Economy in Municipal Solid Waste Management System in Nigeria: A Systematic Review of the Literature; SUSTAINABILITY</t>
  </si>
  <si>
    <t xml:space="preserve">https://www.mdpi.com/2071-1050/15/16/12602 </t>
  </si>
  <si>
    <t>Kondala, M; Nudurupati, SS; Pappu, RP; The challenges in adoption of circular economy in SMEs - a research agenda and way forward; BENCHMARKING-AN INTERNATIONAL JOURNAL</t>
  </si>
  <si>
    <t xml:space="preserve">https://www.emerald.com/insight/content/doi/10.1108/BIJ-04-2023-0272/full/html </t>
  </si>
  <si>
    <t>Skare, M; Gavurova, B; Rigelsky, M; Income inequality and circular materials use: an analysis of European Union economies and implications for circular economy development; MANAGEMENT DECISION</t>
  </si>
  <si>
    <t xml:space="preserve">https://www.emerald.com/insight/content/doi/10.1108/MD-11-2022-1620/full/html </t>
  </si>
  <si>
    <t>Arockiam, AJ; Rajesh, S; Karthikeyan, S; Thiagamani, SMK; Padmanabhan, RG; Hashem, M; Fouad, H; Ansari, A; Mechanical and thermal characterization of additive manufactured fish scale powder reinforced PLA biocomposites; MATERIALS RESEARCH EXPRESS</t>
  </si>
  <si>
    <t xml:space="preserve">https://iopscience.iop.org/article/10.1088/2053-1591/ace41d </t>
  </si>
  <si>
    <t xml:space="preserve">
Piao, RS; Vincenzi, TB; Vazquez-Brust, DA; Yakovleva, N; Bonsu, S; Carvalho, MM; Barriers toward circular economy transition: Exploring different stakeholders' perspectives; CORPORATE SOCIAL RESPONSIBILITY AND ENVIRONMENTAL MANAGEMENT</t>
  </si>
  <si>
    <t xml:space="preserve">https://onlinelibrary.wiley.com/doi/10.1002/csr.2558 </t>
  </si>
  <si>
    <t>Sanchis-Perucho, P; Aguado, D; Ferrer, J; Seco, A; Robles, A; Evaluating resource recovery potential and process feasibility of direct membrane ultrafiltration of municipal wastewater at demonstration scale; ENVIRONMENTAL TECHNOLOGY &amp; INNOVATION</t>
  </si>
  <si>
    <t xml:space="preserve">https://www.sciencedirect.com/science/article/pii/S2352186423002481?via%3Dihub </t>
  </si>
  <si>
    <t>dos Santos, LCT; Giannetti, BF; Agostinho, F; Liu, GY; Almeida, CMVB; A multi-criteria approach to assess interconnections among the environmental, economic, and social dimensions of circular economy; JOURNAL OF ENVIRONMENTAL MANAGEMENT</t>
  </si>
  <si>
    <t xml:space="preserve">https://www.sciencedirect.com/science/article/pii/S0301479723011052?via%3Dihub </t>
  </si>
  <si>
    <t>Piao, RS; de Vincenzi, TB; da Silva, ALF; de Oliveira, MCC; Vazquez-Brust, D; Carvalho, MM; How is the circular economy embracing social inclusion?; JOURNAL OF CLEANER PRODUCTION</t>
  </si>
  <si>
    <t xml:space="preserve">https://www.sciencedirect.com/science/article/pii/S0959652623014981?via%3Dihub </t>
  </si>
  <si>
    <t>Dwivedi, A; Chowdhury, P; Agrawal, D; Paul, SK; Shi, YY; Antecedents of digital supply chains for a circular economy: a sustainability perspective; INDUSTRIAL MANAGEMENT &amp; DATA SYSTEMS</t>
  </si>
  <si>
    <t xml:space="preserve">https://www.emerald.com/insight/content/doi/10.1108/IMDS-05-2022-0273/full/html </t>
  </si>
  <si>
    <t>Arista, NID; Handayani, D; Ernawati, N; Is It Possible to Implement the Same Circular-Economy Concept in Rural and Urban Areas? Study on Willingness to Pay for Household Waste; SUSTAINABILITY</t>
  </si>
  <si>
    <t>https://www.mdpi.com/2071-1050/15/7/5843</t>
  </si>
  <si>
    <t xml:space="preserve">
Tallaki, M; Bracci, E; Ievoli, R; Post-closure Cost Efficiency in Public Versus Private Landfills: The Case of Emilia-Romagna (Italy); ENVIRONMENTAL MANAGEMENT</t>
  </si>
  <si>
    <t xml:space="preserve">https://link.springer.com/article/10.1007/s00267-023-01809-w </t>
  </si>
  <si>
    <t>Ahmed, S; Moni, MIZ; Begum, M; Sultana, MR; Kabir, A; Eqbal, MJ; Das, SK; Ullah, W; Haque, TS; Poultry farmers' knowledge, attitude, and practices toward poultry waste management in Bangladesh; VETERINARY WORLD</t>
  </si>
  <si>
    <t>https://www.veterinaryworld.org/Vol.16/March-2023/16.html</t>
  </si>
  <si>
    <t>Mintas, OS; Simeanu, C; Berchez, O; Marele, DC; Osiceanu, AG; Rusu, T; Impact of Red Sludge Dumps, Originating from Industrial Activity, on the Soil and Underground Water; WATER</t>
  </si>
  <si>
    <t xml:space="preserve">https://www.mdpi.com/2073-4441/15/5/898 </t>
  </si>
  <si>
    <t>Wang, C; Sun, YK; Lim, MK; Ghadimi, P; Azadnia, AH; An analysis of barriers for successful implementation of municipal solid waste management in Beijing: an integrated DEMATEL-MMDE-ISM approach; INDUSTRIAL MANAGEMENT &amp; DATA SYSTEMS</t>
  </si>
  <si>
    <t xml:space="preserve">https://www.emerald.com/insight/content/doi/10.1108/IMDS-08-2022-0464/full/html </t>
  </si>
  <si>
    <t>Marks, D; Miller, MA; Vassanadumrongdee, S; Closing the loop or widening the gap? The unequal politics of Thailand's circular economy in addressing marine plastic pollution; JOURNAL OF CLEANER PRODUCTION</t>
  </si>
  <si>
    <t xml:space="preserve">https://www.sciencedirect.com/science/article/pii/S0959652623003761?via%3Dihub </t>
  </si>
  <si>
    <t>Palaniyappan, S; Sivakumar, NK; Sekar, V; Sustainable approach to the revalorization of crab shell waste in polymeric filament extrusion for 3D printing applications; BIOMASS CONVERSION AND BIOREFINERY</t>
  </si>
  <si>
    <t xml:space="preserve">https://link.springer.com/article/10.1007/s13399-023-03795-9 </t>
  </si>
  <si>
    <t>Chatzistamoulou, N; Is digital transformation the Deus ex Machina towards sustainability transition of the European SMEs?; ECOLOGICAL ECONOMICS</t>
  </si>
  <si>
    <t xml:space="preserve">https://www.sciencedirect.com/science/article/pii/S0921800923000022?via%3Dihub </t>
  </si>
  <si>
    <t>Yao, CY; Liu, GF ; Hao, XY; Liu, YR; Symbiotic integration of waste disposal capability within a city cluster: The case of the Yangtze River Delta*; JOURNAL OF ENVIRONMENTAL MANAGEMENT</t>
  </si>
  <si>
    <t xml:space="preserve">https://www.sciencedirect.com/science/article/pii/S0301479722027396?via%3Dihub </t>
  </si>
  <si>
    <t>Razzaq, A; Sharif, A; Afshan, S; Li, CJ; Do climate technologies and recycling asymmetrically mitigate consumption-based carbon emissions in the United States? New insights from Quantile ARDL; TECHNOLOGICAL FORECASTING AND SOCIAL CHANGE</t>
  </si>
  <si>
    <t xml:space="preserve">https://www.sciencedirect.com/science/article/pii/S004016252200659X?via%3Dihub </t>
  </si>
  <si>
    <t>Gambin-Martínez, JS; Bautista-Zapata, TI; Torrado-Gómez, LM; Guzmán, MFS; Ruiz, DDP; ECOLADRILLOS: AN ALTERNATIVE FOR THE USE OF RECYCLED CLAY AND RUBBER GRAIN; INQUIETUD EMPRESARIAL</t>
  </si>
  <si>
    <t xml:space="preserve">https://revistas.uptc.edu.co/index.php/inquietud_empresarial/article/view/15699 </t>
  </si>
  <si>
    <t>Sanchis-Perucho, P; Aguado, D; Ferrer, J; Seco, A; Robles, A; Direct Membrane Filtration of Municipal Wastewater: Studying the Most Suitable Conditions for Minimizing Fouling Rate in Commercial Porous Membranes at Demonstration Scale; MEMBRANES</t>
  </si>
  <si>
    <t xml:space="preserve">https://www.mdpi.com/2077-0375/13/1/99 </t>
  </si>
  <si>
    <t>Grau, MGP; Dortmans, BMA; Egger, J; Virard, G; Zurbrügg, C; Modelling the financial viability of centralised and decentralised black soldier fly larvae waste processing units in Surabaya, Indonesia; JOURNAL OF INSECTS AS FOOD AND FEED</t>
  </si>
  <si>
    <t xml:space="preserve">https://www.wageningenacademic.com/doi/10.3920/JIFF2022.0012 </t>
  </si>
  <si>
    <t>Cioca, LI; Ivascu, L; Rada, EC; Torretta, V (Italia); Ionescu, G</t>
  </si>
  <si>
    <t>Sustainable Development and Technological Impact on CO2 Reducing Conditions in Romania</t>
  </si>
  <si>
    <t>Rehman, A; Ma, HY; Ozturk, I; Alvarado, R ; Oláh, J; Liu, RF; Qiang, W; The enigma of environmental sustainability and carbonization: Assessing the connection between coal and oil rents, natural resources, and environmental quality; GONDWANA RESEARCH</t>
  </si>
  <si>
    <t xml:space="preserve">https://www.sciencedirect.com/science/article/pii/S1342937X23003039?via%3Dihub </t>
  </si>
  <si>
    <t>Navickiene, O ; Meidute-Kavaliauskiene, I; Cincikaite, R; Morkunas, M; Modernisation of a Country in the Context of Social Environmental Sustainability: Example of Lithuania; SUSTAINABILITY</t>
  </si>
  <si>
    <t>https://www.mdpi.com/2071-1050/1 5/4/3689</t>
  </si>
  <si>
    <t>Wang, SW (China); Abbas, J (Pakistan) ; Sial, MS (Pakistan); Alvarez-Otero, S (Spania); Cioca, LI</t>
  </si>
  <si>
    <t>Achieving green innovation and sustainable development goals through green knowledge management: Moderating role of organizational green culture</t>
  </si>
  <si>
    <t>Qing, LL; Abbas, J; Najam, H; Ma, X; Dagestani, A; Investment in renewable energy and green financing and their role in achieving carbon-neutrality and economic sustainability: Insights from Asian region; RENEWABLE ENERGY</t>
  </si>
  <si>
    <t xml:space="preserve">https://www.sciencedirect.com/science/article/pii/S0960148123017457?via%3Dihub </t>
  </si>
  <si>
    <t>Khan, AN; Mehmood, K; Kwan, HK; Green knowledge management: A key driver of green technology innovation and sustainable performance in the construction organizations; JOURNAL OF INNOVATION &amp; KNOWLEDGE</t>
  </si>
  <si>
    <t xml:space="preserve">https://www.sciencedirect.com/science/article/pii/S2444569X23001506?via%3Dihub </t>
  </si>
  <si>
    <t>Yousaf, HQ; Munawar, S; Ahmed, M; Rehman, S; Environmental culture, green human resource management, green innovation, and environmental performance: the moderating role of corporate social responsibility; JOURNAL OF ENVIRONMENTAL PLANNING AND MANAGEMENT</t>
  </si>
  <si>
    <t xml:space="preserve">https://www.tandfonline.com/doi/full/10.1080/09640568.2023.2298263 </t>
  </si>
  <si>
    <t>Liu, M; Liu, WJ; Local environmental spending spillover effects on green innovation: evidence from cities in China; JOURNAL OF ENVIRONMENTAL PLANNING AND MANAGEMENT</t>
  </si>
  <si>
    <t xml:space="preserve">https://www.tandfonline.com/doi/full/10.1080/09640568.2023.2297916 </t>
  </si>
  <si>
    <t>Nguyen, H; Onofrei, G; Yang, Y; Nguyen, K; Akbari, M; Pham, H; Green certification practices and process innovation alignment: diminishing point and catching up in nation's economic development; BUSINESS PROCESS MANAGEMENT JOURNAL</t>
  </si>
  <si>
    <t xml:space="preserve">https://www.emerald.com/insight/content/doi/10.1108/BPMJ-03-2023-0160/full/html </t>
  </si>
  <si>
    <t>Chi, Y; Yang, Y; Huang, WL; Green leading institutions and corporate green innovation: Legitimacy or efficiency?; BORSA ISTANBUL REVIEW</t>
  </si>
  <si>
    <t xml:space="preserve">https://www.sciencedirect.com/science/article/pii/S2214845023001059?via%3Dihub </t>
  </si>
  <si>
    <t>Agoraki, KK; Deirmentzoglou, GA (D; Psychalis, M; Apostolopoulos, S; Types of Innovation and Sustainable Development: Evidence from Medium- and Large-sized Firms; INTERNATIONAL JOURNAL OF INNOVATION AND TECHNOLOGY MANAGEMENT</t>
  </si>
  <si>
    <t xml:space="preserve">https://www.worldscientific.com/doi/10.1142/S0219877024500135 </t>
  </si>
  <si>
    <t>Bai, FP; Huang, YJ; Zhang, Q; Shang, MT; Unleashing the power of green culture: Exploring the path to sustainable development performance in enterprises; SUSTAINABLE DEVELOPMENT</t>
  </si>
  <si>
    <t xml:space="preserve">https://onlinelibrary.wiley.com/doi/10.1002/sd.2831 </t>
  </si>
  <si>
    <t>Gu, WT; Yuan, WY; Research on the influence of chain shareholder network on enterprise green innovation; JOURNAL OF BUSINESS RESEARCH</t>
  </si>
  <si>
    <t xml:space="preserve">https://www.sciencedirect.com/science/article/pii/S0148296323007750?via%3Dihub </t>
  </si>
  <si>
    <t>Estevao, J; Lopes, JD; SDG7 and renewable energy consumption: The influence of energy sources; TECHNOLOGICAL FORECASTING AND SOCIAL CHANGE</t>
  </si>
  <si>
    <t xml:space="preserve">https://www.sciencedirect.com/science/article/pii/S0040162523006893?via%3Dihub </t>
  </si>
  <si>
    <t>Yu, THK; Huarng, KH; Causal analysis of SDG achievements; TECHNOLOGICAL FORECASTING AND SOCIAL CHANGE</t>
  </si>
  <si>
    <t xml:space="preserve">https://www.sciencedirect.com/science/article/pii/S0040162523006625?via%3Dihub </t>
  </si>
  <si>
    <t>Shahzad, MA; Du, JG; Junaid, M; Shahzad, F; From green HRM practices to green innovation performance: a mediation-moderation model; JOURNAL OF ENVIRONMENTAL PLANNING AND MANAGEMENT</t>
  </si>
  <si>
    <t xml:space="preserve">https://www.tandfonline.com/doi/full/10.1080/09640568.2023.2284656 </t>
  </si>
  <si>
    <t xml:space="preserve">
Ma, YN; Chen, BH; Impact of stakeholder pressure on green innovation: a moderated mediation model; JOURNAL OF ENVIRONMENTAL PLANNING AND MANAGEMENT</t>
  </si>
  <si>
    <t xml:space="preserve">https://www.tandfonline.com/doi/full/10.1080/09640568.2023.2284124 </t>
  </si>
  <si>
    <t>Strukelj, T; Dankova, P; Hrast, N; Strategic Transition to Sustainability: A Cybernetic Model; SUSTAINABILITY</t>
  </si>
  <si>
    <t xml:space="preserve">https://www.mdpi.com/2071-1050/15/22/15948 </t>
  </si>
  <si>
    <t>Li, N ; Dilanchiev, A ; Mustafa, G; From oil and mineral extraction to renewable energy: Analyzing the efficiency of green technology innovation in the transformation of the oil and gas sector in the extractive industry; RESOURCES POLICY</t>
  </si>
  <si>
    <t xml:space="preserve">https://www.sciencedirect.com/science/article/pii/S0301420723007912?via%3Dihub </t>
  </si>
  <si>
    <t>Mondal, S; Singh, S; A bibliometric and thematic analysis of green entrepreneurship in business research: current status and future research directions; ENVIRONMENT DEVELOPMENT AND SUSTAINABILITY</t>
  </si>
  <si>
    <t xml:space="preserve">https://link.springer.com/article/10.1007/s10668-023-03905-7 </t>
  </si>
  <si>
    <t>Li, L ; Lin, JB; Digital transformation for the sustainable development of firms: The role of green capability and green culture; SUSTAINABLE DEVELOPMENT</t>
  </si>
  <si>
    <t xml:space="preserve">https://onlinelibrary.wiley.com/doi/10.1002/sd.2756 </t>
  </si>
  <si>
    <t>Rehman, N ; Majeed, N; Javaid, MU; Arooj, A; Assessing the sustainable development of firms: The moderating role of transformational leadership and firm size; BUSINESS STRATEGY AND DEVELOPMENT</t>
  </si>
  <si>
    <t xml:space="preserve">https://onlinelibrary.wiley.com/doi/10.1002/bsd2.290 </t>
  </si>
  <si>
    <t>Korphaibool, V (Korphaibool, Veerawin) [1] ; Chindasombatcharoen, P (Chindasombatcharoen, Pongsapak) [1] ; Chatjuthamard, P; Jiraporn, P; Treepongkaruna, S; Business sustainability under the influence of female directors toward the risk-taking in innovation: Evidence from textual analysis; BUSINESS STRATEGY AND THE ENVIRONMENT</t>
  </si>
  <si>
    <t xml:space="preserve">https://onlinelibrary.wiley.com/doi/10.1002/bse.3560 </t>
  </si>
  <si>
    <t>Chen, YX; Jin, SY; Artificial Intelligence and Carbon Emissions in Manufacturing Firms: The Moderating Role of Green Innovation; PROCESSES</t>
  </si>
  <si>
    <t xml:space="preserve">https://www.mdpi.com/2227-9717/11/9/2705 </t>
  </si>
  <si>
    <t>Prusak, R ; Górska, M; Skalik-Lubieniecka, P; Strategic Patterns in the Concept of Sustainable Development of Manufacturing Processes in the Field of Knowledge Management in Companies Operating in the Metal Industry in Poland; SUSTAINABILITY</t>
  </si>
  <si>
    <t xml:space="preserve">https://www.mdpi.com/2071-1050/15/17/13281 </t>
  </si>
  <si>
    <t>Zhang, RJ; Liu, JJ; Cao, ZX; Green innovation ecosystems: Spatial organization mode and associated network renewal under coupling effect; JOURNAL OF CLEANER PRODUCTION</t>
  </si>
  <si>
    <t xml:space="preserve">https://www.sciencedirect.com/science/article/pii/S0959652623026975?via%3Dihub </t>
  </si>
  <si>
    <t>Ahmad, J; Al Mamun, A; Masukujjaman, M; Makhbul, ZKM; Ali, KAM; Modeling the workplace pro-environmental behavior through green human resource management and organizational culture: Evidence from an emerging economy; HELIYON</t>
  </si>
  <si>
    <t xml:space="preserve">https://www.ncbi.nlm.nih.gov/pmc/articles/PMC10481185/ </t>
  </si>
  <si>
    <t>Jovanovic, V; Stankovic, S; Krstic, V; Environmental, Social and Economic Sustainability in Mining Companies as a Result of the Interaction between Knowledge Management and Green Innovation-The SEM Approach; SUSTAINABILITY</t>
  </si>
  <si>
    <t xml:space="preserve">https://www.mdpi.com/2071-1050/15/16/12122 </t>
  </si>
  <si>
    <t>Wu, AH; Zhai, XQ; Sources of knowledge and innovation for sustainable development: A multifaceted perspective; SUSTAINABLE DEVELOPMENT</t>
  </si>
  <si>
    <t xml:space="preserve">https://onlinelibrary.wiley.com/doi/10.1002/sd.2556 </t>
  </si>
  <si>
    <t>Liu, JY; Liu, X; Effects of carbon emission trading schemes on green technological innovation by industrial enterprises: Evidence from a quasi-natural experiment in China; JOURNAL OF INNOVATION &amp; KNOWLEDGE</t>
  </si>
  <si>
    <t xml:space="preserve">https://www.sciencedirect.com/science/article/pii/S2444569X23001063?via%3Dihub </t>
  </si>
  <si>
    <t>Afshan, S; Yaqoob, T; Unravelling the efficacy of green innovation and taxation in promoting environmental quality: A dual-model assessment of testing the LCC theory in emerging economies; JOURNAL OF CLEANER PRODUCTION</t>
  </si>
  <si>
    <t xml:space="preserve">https://www.sciencedirect.com/science/article/pii/S0959652623020085?via%3Dihub </t>
  </si>
  <si>
    <t>Guo, Y; External Knowledge Acquisition and Green Innovation in Chinese Firms: Unveiling the Impact of Green Dynamic Capabilities; SAGE OPEN</t>
  </si>
  <si>
    <t xml:space="preserve">https://journals.sagepub.com/doi/10.1177/21582440231185093 </t>
  </si>
  <si>
    <t xml:space="preserve">Mukhtar, B; Shad, MK; Woon, LF ; Haider, M; Waqas, A; Integrating ESG disclosure into the relationship between CSR and green organizational culture toward green Innovation; </t>
  </si>
  <si>
    <t xml:space="preserve">https://www.emerald.com/insight/content/doi/10.1108/SRJ-03-2023-0125/full/html </t>
  </si>
  <si>
    <t>Khan, S; Rehman, S; Nasir, A; Investigating the factors affecting green innovation of service sector: a moderated mediation model; EUROPEAN JOURNAL OF INNOVATION MANAGEMENT</t>
  </si>
  <si>
    <t xml:space="preserve">https://www.emerald.com/insight/content/doi/10.1108/EJIM-01-2023-0037/full/html </t>
  </si>
  <si>
    <t xml:space="preserve">Ullah, S; Ahmad, T; Lyu, B; Sami, A; Kukreti, M; Yvaz, A; Integrating external stakeholders for improvement in green innovation performance: role of green knowledge integration capability and regulatory pressure; INTERNATIONAL JOURNAL OF INNOVATION SCIENCE; </t>
  </si>
  <si>
    <t xml:space="preserve">https://www.emerald.com/insight/content/doi/10.1108/IJIS-12-2022-0237/full/html </t>
  </si>
  <si>
    <t>Rasheed, MF; Zaheer, N; Hassan, W ; Junaid, M; Majeed, A; Role of sustainable supply chain management practices in boosting environmental performance: Empirical evidence from the textile sector of developing economie; GEOLOGICAL JOURNAL</t>
  </si>
  <si>
    <t xml:space="preserve">https://onlinelibrary.wiley.com/doi/10.1002/gj.4810 </t>
  </si>
  <si>
    <t>Ben Belgacem, S; Khatoon, G; Alzuman, A; Role of Renewable Energy and Financial Innovation in Environmental Protection: Empirical Evidence from UAE and Saudi Arabia; SUSTAINABILITY</t>
  </si>
  <si>
    <t xml:space="preserve">https://www.mdpi.com/2071-1050/15/11/8684 </t>
  </si>
  <si>
    <t>Xiaoyi, Z; Yang, HL; Kumar, N; Bhutto, MH; Kun, W; Hu, TY; Assessing Chinese Textile and Apparel Industry Business Sustainability: The Role of Organization Green Culture, Green Dynamic Capabilities, and Green Innovation in Relation to Environmental Orientation and Business Sustainability; SUSTAINABILITY</t>
  </si>
  <si>
    <t xml:space="preserve">https://www.mdpi.com/2071-1050/15/11/8588 </t>
  </si>
  <si>
    <t>Lafont, J; Saura, JR ; Ribeiro-Soriano, D; The role of cooperatives in sustainable development goals: A discussion about the current resource curse; RESOURCES POLICY</t>
  </si>
  <si>
    <t xml:space="preserve">https://www.sciencedirect.com/science/article/pii/S0301420723003811?via%3Dihub </t>
  </si>
  <si>
    <t>Feng, AM; Fu, QH; Does landscape ecology matter to a country's financial development? Evidence from China; GEOLOGICAL JOURNAL</t>
  </si>
  <si>
    <t xml:space="preserve">https://onlinelibrary.wiley.com/doi/10.1002/gj.4738 </t>
  </si>
  <si>
    <t>Martínez-Falcó, J ; Sánchez-García, E; Marco-Lajara, B; Millan-Tudela, LA; Do organizational commitment and consumer satisfaction mediate the relationship corporate social responsibility-sustainable performance? Assessing happiness management in Spanish wineries; MANAGEMENT DECISION</t>
  </si>
  <si>
    <t xml:space="preserve">https://www.emerald.com/insight/content/doi/10.1108/MD-02-2023-0217/full/html </t>
  </si>
  <si>
    <t>Olukolajo, MA ; Oyetunji, AK ; Amaechi, CV; A Scientometric Review of Environmental Valuation Research with an Altmetric Pathway for the Future; ENVIRONMENTS</t>
  </si>
  <si>
    <t xml:space="preserve">https://www.mdpi.com/2076-3298/10/4/58 </t>
  </si>
  <si>
    <t>Papademetriou, C ; Ragazou, K; Garefalakis, A; Passas, I; Green Human Resource Management: Mapping the Research Trends for Sustainable and Agile Human Resources in SMEs; SUSTAINABILITY</t>
  </si>
  <si>
    <t xml:space="preserve">https://www.mdpi.com/2071-1050/15/7/5636 </t>
  </si>
  <si>
    <t>Baneliene, R; Strazdas, R; Green Innovation for Competitiveness: Impact on GDP Growth in the European Union; CONTEMPORARY ECONOMICS</t>
  </si>
  <si>
    <t xml:space="preserve">https://scholar.google.com/scholar_lookup?author=R%20Baneliene&amp;atitle=Green%20Innovation%20for%20Competitiveness:%20Impact%20on%20GDP%20Growth%20in%20the%20European%20Union&amp;publication_year=2023&amp;hl=en&amp;journal=CONTEMPORARY%20ECONOMICS&amp;volume=17&amp;issue=1&amp;pages=92-108&amp;issn=2084-0845&amp;doi=10.5709/ce.1897-9254.501 </t>
  </si>
  <si>
    <t>Belgacem, SB; Adam, NA; Khatoon, G; Pawar, PS; Do green finance, low-carbon energy transition, and economic growth help in environmental investment?: Empirical evidence from emerging economies in Asia; GEOLOGICAL JOURNAL</t>
  </si>
  <si>
    <t xml:space="preserve">https://onlinelibrary.wiley.com/doi/10.1002/gj.4712 </t>
  </si>
  <si>
    <t>Wei, F; Sial, MS; Haider, SN; Matac, LM; Nexus of economic policy uncertainty, economic expansion and clean energy consumption and their role in carbon neutrality of emerging economies; GEOLOGICAL JOURNAL</t>
  </si>
  <si>
    <t xml:space="preserve">https://onlinelibrary.wiley.com/doi/10.1002/gj.4688 </t>
  </si>
  <si>
    <t>Yang, F; Li, X; Corporate Financialization, ESG Performance and Sustainability Development: Evidence from Chinese-Listed Companies; SUSTAINABILITY</t>
  </si>
  <si>
    <t>https://www.mdpi.com/2071-1050/15/4/2978</t>
  </si>
  <si>
    <t>Dzwigol, H; Kwilinski, A; Lyulyov, O ; Pimonenko, T; Renewable Energy, Knowledge Spillover and Innovation: Capacity of Environmental Regulation; ENERGIES</t>
  </si>
  <si>
    <t xml:space="preserve">https://www.mdpi.com/1996-1073/16/3/1117 </t>
  </si>
  <si>
    <t>Zeng, JW; Exploring the influence of ecological relationship on knowledge interaction in green innovation cooperation; ENVIRONMENTAL SCIENCE AND POLLUTION RESEARCH</t>
  </si>
  <si>
    <t xml:space="preserve">https://link.springer.com/article/10.1007/s11356-023-25436-4 </t>
  </si>
  <si>
    <t>Titko, J; Svirina, A; Astike, K; Uzule, K; Shina, I; Zarina, V; IMPACT OF COUNTRY-LEVEL CULTURAL DEVELOPMENT ON THE ACHIEVEMENT OF SUSTAINABLE DEVELOPMENT GOALS; BUSINESS MANAGEMENT AND ECONOMICS ENGINEERING</t>
  </si>
  <si>
    <t xml:space="preserve">https://journals.vilniustech.lt/index.php/BMEE/article/view/19423 </t>
  </si>
  <si>
    <t>Li, FB; Zhang, HF; Wei, XY; Visualization analysis of research hotspots and frontiers on factors influencing urban green innovation-Based on CiteSpace knowledge map; JOURNAL OF INFRASTRUCTURE POLICY AND DEVELOPMENT</t>
  </si>
  <si>
    <t xml:space="preserve">https://systems.enpress-publisher.com/index.php/jipd/article/view/2067 </t>
  </si>
  <si>
    <t>Hu, X; Li, RYM; Kumari, K; Ben Belgacem, S; Fu, QH; Khan, MA; Alkhuraydili, AA; Relationship between Green Leaders' Emotional Intelligence and Employees' Green Behavior: A PLS-SEM Approach; BEHAVIORAL SCIENCES</t>
  </si>
  <si>
    <t xml:space="preserve">https://www.mdpi.com/2076-328X/13/1/25 </t>
  </si>
  <si>
    <t>Kaur, N., Sharma, R., Mehta, K.; Emerging green: Exploring strategic factors for SMEs' adoption of green technology and innovation in India; Sustainability, Green Management, and Performance of SMEs</t>
  </si>
  <si>
    <t>https://www.degruyter.com/document/doi/10.1515/9783111170022-009/html</t>
  </si>
  <si>
    <t>Martínez-Falcó, J., Sánchez-García, E., Marco-Lajara, B., Millan-Tudela, L.A.; Analyzing the relationship between corporate social responsibility and sustainable performance: Evidence from the Spanish wine sector; New Perspectives and Possibilities in Strategic Management in the 21st Century: Between Tradition and Modernity</t>
  </si>
  <si>
    <t>https://www.irma-international.org/chapter/analyzing-the-relationship-between-corporate-social-responsibility-and-sustainable-performance/327378/</t>
  </si>
  <si>
    <t>Leandro, A., Gomes, D., Ribeiro, N., Ortega, E., Gomes, G.P.; Is internal communication a "Bet on the Right Horse" on the path for promoting employees' eco-friendly behavior? The mediator role of organizational green culture; Perspectives on Workplace Communication and Well-Being in Hybrid Work Environments</t>
  </si>
  <si>
    <t>https://www.igi-global.com/chapter/is-internal-communication-a-bet-on-the-right-horse-on-the-path-for-promoting-employees-eco-friendly-behavior/323294</t>
  </si>
  <si>
    <t>Lakatos, ES; Cioca, LI; Dan, V; Ciomos, AO; Crisan, OA; Barsan, G</t>
  </si>
  <si>
    <t>Studies and Investigation about the Attitude towards Sustainable Production, Consumption and Waste Generation in Line with Circular Economy in Romania</t>
  </si>
  <si>
    <t>Kerber, JC; Fettermann, DC; Bouzon, M; Effects of green and circular products' features on consumers' choice of remanufactured smartphones; BUSINESS STRATEGY AND THE ENVIRONMENT</t>
  </si>
  <si>
    <t xml:space="preserve">https://onlinelibrary.wiley.com/doi/10.1002/bse.3597 </t>
  </si>
  <si>
    <t>Nica, I; Chirita, N; Delcea, C; Towards a Sustainable Future: Economic Cybernetics in Analyzing Romania's Circular Economy; SUSTAINABILITY</t>
  </si>
  <si>
    <t xml:space="preserve">https://www.mdpi.com/2071-1050/15/19/14433 </t>
  </si>
  <si>
    <t>Gomes, S; Lopes, JM; Nogueira, S; Willingness to pay more for green products: A critical challenge for Gen Z; JOURNAL OF CLEANER PRODUCTION</t>
  </si>
  <si>
    <t xml:space="preserve">https://www.sciencedirect.com/science/article/pii/S0959652623002500?via%3Dihub </t>
  </si>
  <si>
    <t xml:space="preserve">Moraru, RI; Babut, GB; Cioca, LI; </t>
  </si>
  <si>
    <t>RATIONALE AND CRITERIA DEVELOPMENT FOR RISK ASSESSMENT TOOL SELECTION IN WORK ENVIRONMENTS</t>
  </si>
  <si>
    <t>Jahanvand, B; Mortazavi, SB; Mahabadi, HA; Ahmadi, O; Determining essential criteria for selection of risk assessment techniques in occupational health and safety: A hybrid framework of fuzzy Delphi method; SAFETY SCIENCE</t>
  </si>
  <si>
    <t xml:space="preserve">https://www.sciencedirect.com/science/article/pii/S0925753523001959?via%3Dihub </t>
  </si>
  <si>
    <t>Lakatos, ES; Dan, V; Cioca, LI ; Bacali, L; Ciobanu, AM</t>
  </si>
  <si>
    <t>How Supportive Are Romanian Consumers of the Circular Economy Concept: A Survey</t>
  </si>
  <si>
    <t>Ghali, Z; Determinants of ethically minded consumer behavior in relation to climate change: a cognitive hierarchal model perspective; ENVIRONMENT DEVELOPMENT AND SUSTAINABILITY</t>
  </si>
  <si>
    <t xml:space="preserve">https://link.springer.com/article/10.1007/s10668-023-04128-6 </t>
  </si>
  <si>
    <t>Mammadli, M; Factors Driving Sustainable Consumption in Azerbaijan: Comparison of Generation X, Generation Y and Generation Z; SUSTAINABILITY</t>
  </si>
  <si>
    <t xml:space="preserve">https://www.mdpi.com/2071-1050/15/20/15159 </t>
  </si>
  <si>
    <t>Gherghina, R; Cretan, GCG; Duca, I; Postole, AM; Assessing the Electric and Electronic Devices Acquisition in Romania within the Context of Circular Economy Requirements A Poisson Regression Approach; PROCEEDINGS OF THE INTERNATIONAL CONFERENCE ON BUSINESS EXCELLENCE</t>
  </si>
  <si>
    <t xml:space="preserve">https://sciendo.com/article/10.2478/picbe-2023-0057 </t>
  </si>
  <si>
    <t>Mastroeni, L; Naldi, M; Vellucci, P; Twitter and the circular economy: examining the public discourse; MANAGEMENT DECISION</t>
  </si>
  <si>
    <t>https://www.emerald.com/insight/content/doi/10.1108/MD-03-2022-0396/full/html</t>
  </si>
  <si>
    <t>Szczygiel, E; CIRCULAR BEHAVIOURS OF POLISH CONSUMERS IN RELATION TO ELECTRICAL AND ELECTRONIC PRODUCTS; AMFITEATRU ECONOMIC</t>
  </si>
  <si>
    <t>https://www.amfiteatrueconomic.ro/temp/Article_3183.pdf</t>
  </si>
  <si>
    <t>Cioca, IL; Moraru, RI</t>
  </si>
  <si>
    <t>EXPLOSION AND/OR FIRE RISK ASSESSMENT METHODOLOGY: A COMMON APPROACH, STRUCTURED FOR UNDERGROUND COALMINE ENVIRONMENTS</t>
  </si>
  <si>
    <t>Pytlik, A; Frac, W; Safety of Steel Arch Support Operation During Rock Bursts Under Explosive Atmosphere Conditions; STUDIA GEOTECHNICA ET MECHANICA</t>
  </si>
  <si>
    <t xml:space="preserve">https://sciendo.com/article/10.2478/sgem-2023-0004 </t>
  </si>
  <si>
    <t>Niu, LX; Zhao, J; Yang, JH; Risk Assessment of Unsafe Acts in Coal Mine Gas Explosion Accidents Based on HFACS-GE and Bayesian Networks; PROCESSES</t>
  </si>
  <si>
    <t xml:space="preserve">https://www.mdpi.com/2227-9717/11/2/554 </t>
  </si>
  <si>
    <t>Kononenko, M; Khomenko, O; Sadovenko, I; Sobolev, V; Pazynich, Y; Smolinski, A; Managing the rock mass destruction under the explosion; JOURNAL OF SUSTAINABLE MINING</t>
  </si>
  <si>
    <t xml:space="preserve">https://jsm.gig.eu/journal-of-sustainable-mining/vol22/iss3/6/ </t>
  </si>
  <si>
    <t>Rada, EC; Zatelli, C (Italia); Cioca, LI; Torretta, V (Italia)</t>
  </si>
  <si>
    <t>Selective Collection Quality Index for Municipal Solid Waste Management</t>
  </si>
  <si>
    <t>Manczarski, P; Rolewicz-Kalinska, A; Lelicinska-Serafin, K; Quantitative Analysis of Household Food Waste Collection in Warsaw: Assessing Efficiency and Waste Minimization; SUSTAINABILITY</t>
  </si>
  <si>
    <t xml:space="preserve">https://www.mdpi.com/2071-1050/15/24/16827 </t>
  </si>
  <si>
    <t>Dong, ZL; Sha, N; RESEARCH ON THE IMPACT OF WASTE UTILIZATION IN HIGH-POLLUTING ENTERPRISES ON ECONOMIC ADDED VALUE EVA FROM THE PERSPECTIVE OF LOW-CARBON ECOLOGY; 3C EMPRESA</t>
  </si>
  <si>
    <t xml:space="preserve">https://3ciencias.com/articulos/articulo/research-on-the-impact-of-waste-utilization-in-high-polluting-enterprises-on-economic-added-value-eva-from-the-perspective-of-low-carbon-ecology/ </t>
  </si>
  <si>
    <t>Sena, LG; Calixto, LM; Galavote, T; Chaves, GDD; Siman, RR; Domestic waste management: A systemic analysis from the point of view the financial sustainability of municipalities and revenue of waste pickers in Brazil; URBE-REVISTA BRASILEIRA DE GESTAO URBANA
Gestão de resíduos domiciliares: uma análise sistêmica sob a ótica da sustentabilidade financeira de municípios e rendimentos de catadores de materiais recicláveis no Brasil; URBE-REVISTA BRASILEIRA DE GESTAO URBANA</t>
  </si>
  <si>
    <t xml:space="preserve">https://www.scielo.br/j/urbe/a/5YQCmrGs9Mh3s3LDpsQY8jD/?lang=pt </t>
  </si>
  <si>
    <t>Del Carmen-Niño, V; Herrera-Navarrete, R; Juárez-López, AL; Sampedro-Rosas, ML; Reyes-Umaña, M; Municipal Solid Waste Collection: Challenges, Strategies and Perspectives in the Optimization of a Municipal Route in a Southern Mexican Town; SUSTAINABILITY</t>
  </si>
  <si>
    <t xml:space="preserve">https://www.mdpi.com/2071-1050/15/2/1083 </t>
  </si>
  <si>
    <t>Ragazzi, M (Italia); Fedrizzi, S (Italia); Rada, E; Ionescu, G; Ciudin, R; Cioca, LI</t>
  </si>
  <si>
    <t>Experiencing Urban Mining in an Italian Municipality towards a Circular Economy vision</t>
  </si>
  <si>
    <t>Neto, GCD; Correia, ADC; Lucato, WC; Economic and environmental benefits by means of recycling processes grounded in the CE: Case studies in the metal mechanical sector; WASTE MANAGEMENT</t>
  </si>
  <si>
    <t>https://www.sciencedirect.com/science/article/pii/S0956053X23002362?via%3Dihub</t>
  </si>
  <si>
    <t>Moreno-Solaz, H ; Artacho-Ramírez, MA; Aragonés-Beltrán, P; Cloquell-Ballester, VA; Sustainable selection of waste collection trucks considering feasible future scenarios by applying the stratified best and worst method; HELIYON</t>
  </si>
  <si>
    <t xml:space="preserve">https://www.sciencedirect.com/science/article/pii/S2405844023026889?via%3Dihub </t>
  </si>
  <si>
    <t>Rasras, M; Marin, I and Radu, S; SMART HOME ENVIRONMENT MODELLED WITH A MULTI-AGENT SYSTEM; UNIVERSITY POLITEHNICA OF BUCHAREST SCIENTIFIC BULLETIN SERIES C-ELECTRICAL ENGINEERING AND COMPUTER SCIENCE</t>
  </si>
  <si>
    <t>https://www.webofscience.com/wos/woscc/full-record/WOS:000983211300016</t>
  </si>
  <si>
    <t>Pitak, I; Denafas, G ; Baltusnikas, A ; Praspaliauskas, M; Lukosiute, SI; Proposal for Implementation of Extraction Mechanism of Raw Materials during Landfill Mining and Its Application in Alternative Fuel Production; SUSTAINABILITY</t>
  </si>
  <si>
    <t xml:space="preserve">https://www.mdpi.com/2071-1050/15/5/4538 </t>
  </si>
  <si>
    <t>Cioca, LI; Ivascu, L</t>
  </si>
  <si>
    <t>Risk Indicators and Road Accident Analysis for the Period 2012-2016</t>
  </si>
  <si>
    <t>Wisutwattanasak, P ; Champahom, T ; Jomnonkwao, S; Aryuyo, F; Se, C; Ratanavaraha, V; Examining the Impact of Service Quality on Passengers' Intentions to Utilize Rail Transport in the Post-Pandemic Era: An Integrated Approach of SERVQUAL and Health Belief Model; BEHAVIORAL SCIENCES</t>
  </si>
  <si>
    <t xml:space="preserve">https://www.mdpi.com/2076-328X/13/10/789 </t>
  </si>
  <si>
    <t>Risk Indicators and Road Accident Analysis for the Period 2012-2017</t>
  </si>
  <si>
    <t>Poliak, M; Dvorsky, J; Zyka, J; Nica, E; Evaluation of a Front Braking Light for Improving Safety in Road Transport; MATHEMATICS</t>
  </si>
  <si>
    <t xml:space="preserve">https://www.mdpi.com/2227-7390/11/14/3058 </t>
  </si>
  <si>
    <t>Risk Indicators and Road Accident Analysis for the Period 2012-2018</t>
  </si>
  <si>
    <t>Zhang, YC; Dou, X; Zhao, HP ; Xue, Y; Liang, JF; Safety Risk Assessment of Low-Volume Road Segments on the Tibetan Plateau Using UAV LiDAR Data; SUSTAINABILITY</t>
  </si>
  <si>
    <t xml:space="preserve">https://www.mdpi.com/2071-1050/15/14/11443 </t>
  </si>
  <si>
    <t>Lakatos, ES; Yong, G (China); Szilagyi, A; Clinci, DS; Georgescu, L ; Iticescu, C ; Cioca, LI</t>
  </si>
  <si>
    <t>Conceptualizing Core Aspects on Circular Economy in Cities</t>
  </si>
  <si>
    <t>Gonzalez, EDRS; Kandpal, V ; Machado, M; Martens, ML; Majumdar, S; A Bibliometric Analysis of Circular Economies through Sustainable Smart Cities; SUSTAINABILITY</t>
  </si>
  <si>
    <t xml:space="preserve">https://www.mdpi.com/2071-1050/15/22/15892 </t>
  </si>
  <si>
    <t>Brglez, K; Perc, M; Lukman, RK; The complexity and interconnectedness of circular cities and the circular economy for sustainability; SUSTAINABLE DEVELOPMENT</t>
  </si>
  <si>
    <t xml:space="preserve">https://onlinelibrary.wiley.com/doi/10.1002/sd.2766 </t>
  </si>
  <si>
    <t>Anttiroiko, AV; Smart Circular Cities: Governing the Relationality, Spatiality, and Digitality in the Promotion of Circular Economy in an Urban Region; SUSTAINABILITY</t>
  </si>
  <si>
    <t>https://www.mdpi.com/2071-1050/15/17/12680</t>
  </si>
  <si>
    <t>Herrador, M; de Jong, W ; Nasu, K; Granrath, L; The rising phenomenon of circular cities in Japan. Case studies of Kamikatsu, Osaki and Kitakyushu; SCIENCE OF THE TOTAL ENVIRONMENT</t>
  </si>
  <si>
    <t xml:space="preserve">https://www.sciencedirect.com/science/article/pii/S0048969723036756?via%3Dihub </t>
  </si>
  <si>
    <t>Alvarado, IAO; Pettersen, IN; The role given to citizens in shaping a circular city; URBAN GEOGRAPHY</t>
  </si>
  <si>
    <t>https://www.tandfonline.com/doi/full/10.1080/02723638.2023.2221097</t>
  </si>
  <si>
    <t>Shahsavani, I; Goli, A; A systematic literature review of circular supply chain network design: application of optimization models; ENVIRONMENT DEVELOPMENT AND SUSTAINABILITY</t>
  </si>
  <si>
    <t xml:space="preserve">https://link.springer.com/article/10.1007/s10668-023-03362-2 </t>
  </si>
  <si>
    <t>Friant, MC; Reid, K; Boesler, P; Vermeulen, WJV; Salomone, R; Conceptualizing Core Aspects on Circular Economy in Cities; SUSTAINABILITY</t>
  </si>
  <si>
    <t xml:space="preserve">https://www.tandfonline.com/doi/full/10.1080/13549839.2023.2206643 </t>
  </si>
  <si>
    <t>Pamucar, D; Durán-Romero, G; Yazdani, M; López, AM; A decision analysis model for smart mobility system development under circular economy approach; SOCIO-ECONOMIC PLANNING SCIENCES</t>
  </si>
  <si>
    <t xml:space="preserve">https://www.sciencedirect.com/science/article/pii/S0038012122002750?via%3Dihub </t>
  </si>
  <si>
    <t>Kornél, N; Attila, B; Eszter, D; Zoltán, G; Erzsébet, P; A city concept based on a circular economic model, with a special focus on small and medium-sized cities; TER ES TARSADALOM</t>
  </si>
  <si>
    <t xml:space="preserve">https://tet.rkk.hu/index.php/TeT/article/view/3445 </t>
  </si>
  <si>
    <t>Moraru, R; Babut, G; Cioca, LI</t>
  </si>
  <si>
    <t>ADRESSING THE HUMAN ERROR ASSESSMENT AND MANAGEMENT</t>
  </si>
  <si>
    <t>Iordache, RM; Mihaila, D; Darabont, DC; Petreanu, V; Analysis of mental effort and its subjective and psychophysiological indicators for gas transport dispatchers; HUMAN SYSTEMS MANAGEMENT</t>
  </si>
  <si>
    <t xml:space="preserve">https://content.iospress.com/articles/human-systems-management/hsm220068 </t>
  </si>
  <si>
    <t>Ivascu, L; Cioca, LI</t>
  </si>
  <si>
    <t>Occupational Accidents Assessment by Field of Activity and Investigation Model for Prevention and Control</t>
  </si>
  <si>
    <t>Paguay, M; Febres, JD; Valarezo, E; Occupational Accidents in Ecuador: An Approach from the Construction and Manufacturing Industries; SUSTAINABILITY</t>
  </si>
  <si>
    <t xml:space="preserve">https://www.mdpi.com/2071-1050/15/16/12661 </t>
  </si>
  <si>
    <t>Mutlu, NG; Altuntas, S; Dereli, T; The evaluation of occupational accident with sequential pattern mining; SAFETY SCIENCE</t>
  </si>
  <si>
    <t xml:space="preserve">https://www.sciencedirect.com/science/article/pii/S0925753523001546?via%3Dihub </t>
  </si>
  <si>
    <t>Castaldo, A; Germani, AR; Marrocco, A; Forti, M; Salustri, A; Drivers and frictions of workplace accidents: an empirical investigation of cross-country European heterogeneity; APPLIED ECONOMICS</t>
  </si>
  <si>
    <t xml:space="preserve">https://www.tandfonline.com/doi/full/10.1080/00036846.2023.2203458 </t>
  </si>
  <si>
    <t>Baskiewicz, N; Daron, M; Pachura, A; DIRECTIONS OF CHANGES IN HEALTHCARE UNIT MANAGEMENT FROM THE PATIENT'S PERSPECTIVE; POLISH JOURNAL OF MANAGEMENT STUDIES</t>
  </si>
  <si>
    <t>https://www.webofscience.com/wos/woscc/full-record/WOS:001185676600005</t>
  </si>
  <si>
    <t xml:space="preserve">
Artiningsih, DW; Putra, DS; Zainul, M; Ibrahim, AHH; THE IMPACT OF JOB EMBEDDEDNESS AND WORK ENGAGEMENT ON STAFF TURNOVER; POLISH JOURNAL OF MANAGEMENT STUDIES</t>
  </si>
  <si>
    <t>https://www.webofscience.com/wos/woscc/full-record/WOS:001185681500002</t>
  </si>
  <si>
    <t>Optimal Solutions for the Use of Sewage Sludge on Agricultural Lands</t>
  </si>
  <si>
    <t xml:space="preserve">
AL-Huqail, AA; Kumar, P; Kumari, S; Eid, EM; Biosolids application enhances the growth of Aloe vera plants and provides a sustainable practice for nutrient recirculation in agricultural soils; ENVIRONMENTAL SCIENCE AND POLLUTION RESEARCH</t>
  </si>
  <si>
    <t>https://link.springer.com/article/10.1007/s11356-023-29763-4</t>
  </si>
  <si>
    <t>Baloch, MYJ; Zhang, WJ; Sultana, T; Akram, M; Shoumik, BA; Khan, MZ; Farooq, MA; Utilization of sewage sludge to manage saline-alkali soil and increase crop production: Is it safe or not?; ENVIRONMENTAL TECHNOLOGY &amp; INNOVATION</t>
  </si>
  <si>
    <t>https://www.sciencedirect.com/science/article/pii/S2352186423002626?via%3Dihub</t>
  </si>
  <si>
    <t>Crutchik, D; Barboza, J; Vázquez-Padin, JR; Pedrouso, A; del Rio, AV; Mosquera-Corral, A; Campos, JL; Integrating food waste management into urban wastewater treatment: Economic and environmental impacts; JOURNAL OF ENVIRONMENTAL MANAGEMENT</t>
  </si>
  <si>
    <t xml:space="preserve">https://www.sciencedirect.com/science/article/pii/S0301479723013051?via%3Dihub </t>
  </si>
  <si>
    <t>Nyashanu, PN; Shafodino, FS; Mwapagha, LM; Determining the potential human health risks posed by heavy metals present in municipal sewage sludge from a wastewater treatment plant; SCIENTIFIC AFRICAN</t>
  </si>
  <si>
    <t xml:space="preserve">https://www.sciencedirect.com/science/article/pii/S2468227623001916?via%3Dihub </t>
  </si>
  <si>
    <t>Smol, M; Circular Economy in Wastewater Treatment Plant-Water, Energy and Raw Materials Recovery; ENERGIES</t>
  </si>
  <si>
    <t xml:space="preserve">https://www.mdpi.com/1996-1073/16/9/3911 </t>
  </si>
  <si>
    <t>He, ZW; Wang, F; Zou, ZS; Tang, CC; Zhou, AJ; Liu, WZ; Ren, YX; Li, ZH; Wang, AJ; Recent advances and perspectives in roles of humic acid in anaerobic digestion of waste activated sludge; CHEMICAL ENGINEERING JOURNAL</t>
  </si>
  <si>
    <t xml:space="preserve">https://www.sciencedirect.com/science/article/pii/S1385894723018120?via%3Dihub </t>
  </si>
  <si>
    <t>AL-Huqail, AA; Kumar, P; Abou Fayssal, S; Adelodun, B; Siric, I; Goala, M; Choi, KS; Taher, MA; El-Kholy, AS; Eid, EM; Sustainable Use of Sewage Sludge for Marigold (Tagetes erecta L.) Cultivation: Experimental and Predictive Modeling Studies on Heavy Metal Accumulation; HORTICULTURAE</t>
  </si>
  <si>
    <t>https://www.mdpi.com/2311-7524/9/4/447</t>
  </si>
  <si>
    <t>Siric, I; AL-Huqail, AA; Kumar, P; Goala, M; Abou Fayssal, S; Adelodun, B; Ajibade, FO; Alrumman, SA; Alamri, SAM; Taher, MA; Singh, J; Kumar, V; Eid, EM; Sustainable Management of Sewage Sludge Using Dhaincha (Sesbania bispinosa (Jacq.) W.Wight) Cultivation: Studies on Heavy Metal Uptake and Characterization of Fibers; AGRONOMY-BASEL</t>
  </si>
  <si>
    <t xml:space="preserve">https://www.mdpi.com/2073-4395/13/4/1066 </t>
  </si>
  <si>
    <t>Sugurbekova, G; Nagyzbekkyzy, E; Sarsenova, A; Danlybayeva, G; Anuarbekova, S Kudaibergenova, R; Frochot, C; Acherar, S; Zhatkanbayev, Y; Moldagulova, N; Sewage Sludge Management and Application in the Form of Sustainable Fertilizer; SUSTAINABILITY</t>
  </si>
  <si>
    <t>https://www.mdpi.com/2071-1050/15/7/6112</t>
  </si>
  <si>
    <t xml:space="preserve">
Siddiqui, MI; Rameez, H; Farooqi, IH; Basheer, F; Recent Advancement in Commercial and Other Sustainable Techniques for Energy and Material Recovery from Sewage Sludge; WATER</t>
  </si>
  <si>
    <t xml:space="preserve">https://www.mdpi.com/2073-4441/15/5/948 </t>
  </si>
  <si>
    <t>Golbiak, MS; Rutkowska, B;Evaluating potential of municipal sewage sludge for agricultural use; SOIL SCIENCE ANNUAL</t>
  </si>
  <si>
    <t xml:space="preserve">https://www.soilsa.com/Evaluating-potential-of-municipal-sewage-sludge-for-agricultural-use,169923,0,2.html </t>
  </si>
  <si>
    <t>Kharytonov, M; Babenko, M; Martynova, N; THE SOIL FERTILITY IMPROVEMENT OF THE MARGINAL LANDS DEPENDING ON KIND OF AMENDMENTS; SCIENTIFIC PAPERS-SERIES E-LAND RECLAMATION EARTH OBSERVATION &amp; SURVEYING ENVIRONMENTAL ENGINEERING</t>
  </si>
  <si>
    <t>https://landreclamationjournal.usamv.ro/pdf/2023/Art23.pdf</t>
  </si>
  <si>
    <t xml:space="preserve">
Iorga, CM; Topa, MC; Stancu, MM; USE OF WASTE SLUDGE IN THE IMPROVEMENT OF THE QUALITY OF SOILS CONTAMINATED WITH PETROLEUM PRODUCTS; SCIENTIFIC PAPERS-SERIES E-LAND RECLAMATION EARTH OBSERVATION &amp; SURVEYING ENVIRONMENTAL ENGINEERING</t>
  </si>
  <si>
    <t>https://www.webofscience.com/wos/woscc/full-record/WOS:001112288100018</t>
  </si>
  <si>
    <t>Rada, EC; Cioca, LI; Ionescu, G</t>
  </si>
  <si>
    <t>Energy recovery from Municipal Solid Waste in EU: proposals to assess the management performance under a circular economy perspective</t>
  </si>
  <si>
    <t>Cioca, M; Cioca, LI; Duta, L</t>
  </si>
  <si>
    <t>Web Technologies and Multi-criteria Analysis Used in Enterprise Integration</t>
  </si>
  <si>
    <t>Suchacka, M; Pabian, AM; Ulewicz, R; INDUSTRY 4.0 AND SOCIO-ECONOMIC EVOLUTION; POLISH JOURNAL OF MANAGEMENT STUDIES</t>
  </si>
  <si>
    <t>https://pjms.zim.pcz.pl/resources/html/article/details?id=617130&amp;language=en</t>
  </si>
  <si>
    <t>Giurea, R; Precazzini, I (Italia); Ragazzi, M (Italia); Achim, MI; Cioca, LI; Conti, F (Italia); Torretta, V (Italia); Rada, EC</t>
  </si>
  <si>
    <t>Good Practices and Actions for Sustainable Municipal Solid Waste Management in the Tourist Sector</t>
  </si>
  <si>
    <t>Baitalik, A; Bhattacharjee, T; Beneath the sun and sands: Appraising coastal tourism impact through community perceptions in West Bengal, India; REGIONAL STUDIES IN MARINE SCIENCE</t>
  </si>
  <si>
    <t xml:space="preserve">https://www.sciencedirect.com/science/article/pii/S2352485523004632?via%3Dihub </t>
  </si>
  <si>
    <t>Grillini, G; Sacchi, G; Streifeneder, T; Fischer, C; Differences in sustainability outcomes between agritourism and non-agritourism farms based on robust empirical evidence from the Tyrol/ Trentino mountain region; JOURNAL OF RURAL STUDIES</t>
  </si>
  <si>
    <t>https://www.sciencedirect.com/science/article/pii/S0743016723002188?via%3Dihub</t>
  </si>
  <si>
    <t>Abd Rahim, NH; Cannicci, S; Ibrahim, YS; Not, C; Idris, I; Jani, JM; Dahdouh-Guebas, F; Satyanarayana, B; Commercially important mangrove crabs are more susceptible to microplastic contamination than other brachyuran species; SCIENCE OF THE TOTAL ENVIRONMENT</t>
  </si>
  <si>
    <t>https://www.sciencedirect.com/science/article/pii/S0048969723048969?via%3Dihub</t>
  </si>
  <si>
    <t>Sujood; Ali, R; Irfan, S; Hamid, S; Emerging themes in food tourism: a systematic literature review and research agenda; BRITISH FOOD JOURNAL</t>
  </si>
  <si>
    <t>https://www.emerald.com/insight/content/doi/10.1108/BFJ-11-2022-0939/full/html</t>
  </si>
  <si>
    <t>El Archi, Y; Benbba, B; Zhu, K; El Andaloussi, Z; Pataki, L; Dávid, LD; Mapping the Nexus between Sustainability and Digitalization in Tourist Destinations: A Bibliometric Analysis; SUSTAINABILITY</t>
  </si>
  <si>
    <t>https://www.mdpi.co</t>
  </si>
  <si>
    <t>Li, K; Cipolletta, G; Andreola, C; Eusebi, AL; Kulaga, B; Cardinali, S; Fatone, F; Circular economy and sustainability in the tourism industry: critical analysis of integrated solutions and good practices in European and Chinese case studies; ENVIRONMENT DEVELOPMENT AND SUSTAINABILITY</t>
  </si>
  <si>
    <t xml:space="preserve">https://link.springer.com/article/10.1007/s10668-023-03395-7 </t>
  </si>
  <si>
    <t>Tang, YK (China); Akram, A (China); Cioca, LI; Shah, SGM; Qureshi, MAA (China)</t>
  </si>
  <si>
    <t>Whether an innovation act as a catalytic moderator between corporate social responsibility performance and stated owned and non-state owned enterprises' performance or not? An evidence from Pakistani listed firms</t>
  </si>
  <si>
    <t>Mauludina, MA; Azis, Y; Sukmadilaga, C; Susanto, H; Determinants of SOE's performance: A systematic literature review; COGENT BUSINESS &amp; MANAGEMENT</t>
  </si>
  <si>
    <t xml:space="preserve">https://www.tandfonline.com/doi/full/10.1080/23311975.2023.2234138 </t>
  </si>
  <si>
    <t>Su, F; Zhai, LL; Liu, JM; Do MD&amp;A Risk Disclosures Reduce Stock Price Crash Risk? Evidence from China; INTERNATIONAL JOURNAL OF FINANCIAL STUDIES</t>
  </si>
  <si>
    <t xml:space="preserve">https://www.mdpi.com/2227-7072/11/4/147 </t>
  </si>
  <si>
    <t>Tanwer, K; Garg, MC; Do corporate governance dynamics drive performance of state-owned and non-state-owned enterprises? An Indian perspective; ASIAN JOURNAL OF BUSINESS ETHICS</t>
  </si>
  <si>
    <t>https://link.springer.com/article/10.1007/s13520-023-00185-2</t>
  </si>
  <si>
    <t>Zhang, JX; Zhang, K; How does CEO green experience affect green innovation of energy firms? Evidence from China; ENERGY &amp; ENVIRONMENT</t>
  </si>
  <si>
    <t>https://journals.sagepub.com/doi/10.1177/0958305X231207057</t>
  </si>
  <si>
    <t>Wang, K; Chen, X; Wang, CY; The impact of sustainable development planning in resource-based cities on corporate ESG-Evidence from China; ENERGY ECONOMICS</t>
  </si>
  <si>
    <t xml:space="preserve">https://www.sciencedirect.com/science/article/pii/S0140988323005856?via%3Dihub </t>
  </si>
  <si>
    <t>Sun, GF; Guo, CW; Li, B; Li, HL; Cultural inclusivity and corporate social responsibility in China; HUMANITIES &amp; SOCIAL SCIENCES COMMUNICATIONS</t>
  </si>
  <si>
    <t xml:space="preserve">https://www.nature.com/articles/s41599-023-02193-w </t>
  </si>
  <si>
    <t>Korphaibool, V; Chindasombatcharoen, P; Chatjuthamard, P; Jiraporn, P; Treepongkaruna, S; Business sustainability under the influence of female directors toward the risk-taking in innovation: Evidence from textual analysis; BUSINESS STRATEGY AND THE ENVIRONMENT</t>
  </si>
  <si>
    <t>Guan, X; Yao, CL; Zhang, WM; Sustainability of Entrepreneurship: An Empirical Study on the Impact Path of Corporate Social Responsibility Based on Internal Control; SUSTAINABILITY</t>
  </si>
  <si>
    <t xml:space="preserve">https://www.mdpi.com/2071-1050/15/16/12180 </t>
  </si>
  <si>
    <t>Wang, H; Jiang, AY ; Ahmad, F; Abid, N; Chandio, AA; Attribute imbalances and innovation implementation based on grounded theory: A case of Chinese enterprises in Gansu Province; BUSINESS STRATEGY AND THE ENVIRONMENT</t>
  </si>
  <si>
    <t xml:space="preserve">https://onlinelibrary.wiley.com/doi/10.1002/bse.3497 </t>
  </si>
  <si>
    <t>Farooq, M; Khan, MI; Noor, A; Do financial constraints moderate the relationship between CEO compensation and firm performance: an emerging market evidence; MANAGERIAL FINANCE</t>
  </si>
  <si>
    <t xml:space="preserve">https://www.emerald.com/insight/content/doi/10.1108/MF-10-2022-0474/full/html </t>
  </si>
  <si>
    <t>Banaduc, D; Curtean-Banaduc, A; Cianfaglione, K (Franta); Akeroyd, JR (Irlanda); Cioca, LI</t>
  </si>
  <si>
    <t>Proposed Environmental Risk Management Elements in a Carpathian Valley Basin, within the Rosia Montana European Historical Mining Area</t>
  </si>
  <si>
    <t>Radu, VM; Dinca, G; Ivanov, AA; Szabo, R ; Cetean, VM; New data regarding the identification of critical raw materials recoverable from raw, processed and the waste mining industry materials from Romania; ENVIRONMENTAL SCIENCE AND POLLUTION RESEARCH</t>
  </si>
  <si>
    <t>https://link.springer.com/article/10.1007/s11356-023-26536-x</t>
  </si>
  <si>
    <t>Petrean, IA; Micle, V; Sur, IM ; Senila, M; Characterization of Sterile Mining Dumps by the ICP-OES Analytical Method: A Case Study from Baia Mare Mining Area (Maramures, Romania); SUSTAINABILITY</t>
  </si>
  <si>
    <t>https://www.mdpi.com/2071-1050/15/2/1158</t>
  </si>
  <si>
    <t xml:space="preserve">Cioca, LI; Ivascu, L; Turi, A; Artene, A; Gaman, GA; </t>
  </si>
  <si>
    <t>Sustainable Development Model for the Automotive Industry</t>
  </si>
  <si>
    <t>Dovramadjiev, T; Mrugalska, B; Real-time planning and monitoring of the steel pipes towards life cycle sustainability management; ANNALS OF OPERATIONS RESEARCH</t>
  </si>
  <si>
    <t>https://link.springer.com/article/10.1007/s10479-023-05235-3</t>
  </si>
  <si>
    <t>Xue, YT; Ji, SF; Zhu, GS; Zhao, PY; Solving the Sustainable Automobile Production-Distribution Joint Optimization in the Physical Internet-Enabled Hyperconnected Order-to-Delivery System by I-NSGAIII; IEEE ACCESS</t>
  </si>
  <si>
    <t xml:space="preserve">https://ieeexplore.ieee.org/document/10018837 </t>
  </si>
  <si>
    <t>Arsene, B; Gheorghe, C; Sarbu, FA; Barbu, M; Cioca, LI; Calefariu, G</t>
  </si>
  <si>
    <t>MQL-Assisted Hard Turning of AISI D2 Steel with Corn Oil: Analysis of Surface Roughness, Tool Wear, and Manufacturing Costs</t>
  </si>
  <si>
    <t>Wang, Y; Liu, CF; State-of-the-art on minimum quantity lubrication in green machining; JOURNAL OF CLEANER PRODUCTION</t>
  </si>
  <si>
    <t xml:space="preserve">https://www.sciencedirect.com/science/article/pii/S095965262303771X?via%3Dihub </t>
  </si>
  <si>
    <t>Makhesana, MA; Bagga, PJ; Agrawal, MK; Mangukiya, J; Patel, R; Patel, KM; Dwivedi, YD; Investigation on the effect of process parameters and optimization using GRA under biodegradable oil based MQL in machining; INTERNATIONAL JOURNAL OF INTERACTIVE DESIGN AND MANUFACTURING - IJIDEM</t>
  </si>
  <si>
    <t>https://link.springer.com/article/10.1007/s12008-023-01459-6</t>
  </si>
  <si>
    <t>Yildirim, CV; Sirin, S; Kivak, T; Ercan, H; Sarikaya, M; An attempt towards green machining of Ni-based Hastelloy C4 alloy: Effect of vegetable oils and their combination with TiO2 and SiO2 nanoparticles on outputs; SUSTAINABLE MATERIALS AND TECHNOLOGIES</t>
  </si>
  <si>
    <t>https://www.sciencedirect.com/science/article/pii/S2214993723001033?via%3Dihub</t>
  </si>
  <si>
    <t>Khatai, S; Sahoo, AK; Kumar, R; Panda, A; Recent research progress on various cooling and lubrication techniques used in sustainable hard machining: A comprehensive review; PROCEEDINGS OF THE INSTITUTION OF MECHANICAL ENGINEERS PART E-JOURNAL OF PROCESS MECHANICAL ENGINEERING</t>
  </si>
  <si>
    <t>https://journals.sagepub.com/doi/10.1177/09544089231169655</t>
  </si>
  <si>
    <t>Mallick, R; Kumar, R; Panda, A; Sahoo, AK; Current Status of Hard Turning in Manufacturing: Aspects of Cooling Strategy and Sustainability; LUBRICANTS</t>
  </si>
  <si>
    <t xml:space="preserve">https://www.mdpi.com/2075-4442/11/3/108 </t>
  </si>
  <si>
    <t>Natesh, CP; Shashidhara, YM; Amarendra, HJ; Shetty, R; Harisha, SR; Shenoy, PV; Nayak, M; Hegde, A; Shetty, D; Umesh, U; Tribological and Morphological Study of AISI 316L Stainless Steel during Turning under Different Lubrication Conditions; LUBRICANTS</t>
  </si>
  <si>
    <t>https://www.mdpi.com/2075-4442/11/2/52</t>
  </si>
  <si>
    <t>Mallick, R; Kumar, R; Panda, A; Sahoo, AK; Hard Turning Performance Investigation of AISI D2 Steel under a Dual Nozzle MQL Environment; LUBRICANTS</t>
  </si>
  <si>
    <t xml:space="preserve">https://www.mdpi.com/2075-4442/11/1/16 </t>
  </si>
  <si>
    <t>Kumari, K (Pakistan); Abbas, J (Pakistan); Hwang, J (Corea de Sud); Cioca, LI</t>
  </si>
  <si>
    <t>Does Servant Leadership Promote Emotional Intelligence and Organizational Citizenship Behavior among Employees? A Structural Analysis</t>
  </si>
  <si>
    <t xml:space="preserve">
Munawar, S; Yousaf, HQ; Ahmed, M; Rehman, S; The impact of emotional intelligence, servant leadership, and psychological safety on employee's innovative behavior with the moderating effect of task interdependence in Lahore, Pakistan; CURRENT PSYCHOLOGY</t>
  </si>
  <si>
    <t xml:space="preserve">https://link.springer.com/article/10.1007/s12144-023-04990-7 </t>
  </si>
  <si>
    <t>Tian, HY; Akhtar, S; Iqbal, S; Sharif, I; Impact of green technology and regional market orientation on innovation performance of SMEs in China: Contextual analysis of structural and relational embeddedness; GEOLOGICAL JOURNAL</t>
  </si>
  <si>
    <t xml:space="preserve">https://onlinelibrary.wiley.com/doi/10.1002/gj.4805 </t>
  </si>
  <si>
    <t>]</t>
  </si>
  <si>
    <t>Yang, S; Zhang, LX; Wang, LL; Key Factors of Sustainable Development of Organization: Bibliometric Analysis of Organizational Citizenship Behavior; SUSTAINABILITY</t>
  </si>
  <si>
    <t xml:space="preserve">https://www.mdpi.com/2071-1050/15/10/8261 </t>
  </si>
  <si>
    <t>https://onlinelibrary.wiley.com/doi/10.1002/gj.4738</t>
  </si>
  <si>
    <t>Roache, D.A.M.; Transformational Leadership Styles for Global Leaders: Management and Communication Strategies; Transformational Leadership Styles for Global Leaders: Management and Communication Strategies</t>
  </si>
  <si>
    <t>https://www.igi-global.com/book/transformational-leadership-styles-global-leaders/327793</t>
  </si>
  <si>
    <t>Harriott, S.A., Tyson, J., Powell, C.A.; Breaking the mold: The power of transformational leadership and dei in driving organizational change; Transformational Leadership Styles for Global Leaders: Management and Communication Strategies</t>
  </si>
  <si>
    <t>https://www.igi-global.com/chapter/breaking-the-mold/331377</t>
  </si>
  <si>
    <t>Lakatos, ES; Nan, LM; Bacali, L; Ciobanu, G; Ciobanu, AM; Cioca, LI</t>
  </si>
  <si>
    <t>Consumer Satisfaction towards Green Products: Empirical Insights from Romania</t>
  </si>
  <si>
    <t>da Silva, ACC; Guarnieri, P; Vieira, BD; Castelo-Branco, TV; Analysis of Brazilian consumers' perceptions of cosmetics packaging from a circular economy perspective; ENVIRONMENTAL QUALITY MANAGEMENT</t>
  </si>
  <si>
    <t xml:space="preserve">https://onlinelibrary.wiley.com/doi/10.1002/tqem.22120 </t>
  </si>
  <si>
    <t>Dragomir, M; Tofana, S; Dragomir, D; Tîtu, AM; Popescu, D; Assessing Circularity in the Wood Industry-Methodology, Tool and Results; FORESTS</t>
  </si>
  <si>
    <t xml:space="preserve">https://www.mdpi.com/1999-4907/14/10/1935 </t>
  </si>
  <si>
    <t>Li, C; Niu, YT; Wang, LP; How to win the green market? Exploring the satisfaction and sentiment of Chinese consumers based on text mining; COMPUTERS IN HUMAN BEHAVIOR</t>
  </si>
  <si>
    <t xml:space="preserve">https://www.sciencedirect.com/science/article/pii/S0747563223002418?via%3Dihub </t>
  </si>
  <si>
    <t>Jabeen, R; Khan, KU; Zain, F; Atlas, F; Buy green only: Interplay between green marketing, corporate social responsibility and green purchase intention; the mediating role of green brand image; BUSINESS STRATEGY AND DEVELOPMENT</t>
  </si>
  <si>
    <t xml:space="preserve">https://onlinelibrary.wiley.com/doi/10.1002/bsd2.258 </t>
  </si>
  <si>
    <t>Dash, G; Sharma, C; Sharma, S; Sustainable Marketing and the Role of Social Media: An Experimental Study Using Natural Language Processing (NLP); SUSTAINABILITY</t>
  </si>
  <si>
    <t xml:space="preserve">https://www.mdpi.com/2071-1050/15/6/5443 </t>
  </si>
  <si>
    <t>Ahmad, W; Jafar, RMS; Waheed, A; Sun, HP; Kazmi, SSAS; Determinants of CSR and green purchase intention: Mediating role of customer green psychology during COVID-19 pandemic; JOURNAL OF CLEANER PRODUCTION</t>
  </si>
  <si>
    <t xml:space="preserve">https://www.sciencedirect.com/science/article/pii/S095965262300046X?via%3Dihub </t>
  </si>
  <si>
    <t>Sarfraz, M (China); Ivascu, L; Cioca, LI</t>
  </si>
  <si>
    <t>Environmental Regulations and CO2 Mitigation for Sustainability: Panel Data Analysis (PMG, CCEMG) for BRICS Nations</t>
  </si>
  <si>
    <t>Ibe, GI; Ezeaku, HC; Okpara, II; Eze, EF; Igwemeka, E; Ubani, O; Asymmetric effect of environmental tax on CO2 emissions embodied in domestic final demand in South Africa: A NARDL approach; AFRICAN DEVELOPMENT REVIEW-REVUE AFRICAINE DE DEVELOPPEMENT</t>
  </si>
  <si>
    <t xml:space="preserve">https://onlinelibrary.wiley.com/doi/10.1111/1467-8268.12727 </t>
  </si>
  <si>
    <t>Schneider, N; Endogeneity and other problems in curvilinear income-waste response function estimations; STOCHASTIC ENVIRONMENTAL RESEARCH AND RISK ASSESSMENT</t>
  </si>
  <si>
    <t xml:space="preserve">https://link.springer.com/article/10.1007/s00477-023-02598-8 </t>
  </si>
  <si>
    <t>Fida, S; Saeed, S; Modelling emission consequences of sectoral value-added: Exploring mediation of financial development and moderation of environmental regulations in European Union; JOURNAL OF CLEANER PRODUCTION</t>
  </si>
  <si>
    <t xml:space="preserve">https://www.sciencedirect.com/science/article/pii/S095965262303531X?via%3Dihub </t>
  </si>
  <si>
    <t>Tang, XW  ; Zhan, ZY; Rao, ZX; Fang, HY; Jiang, J; Hu, XJ; Hu, ZJ; A spatiotemporal analysis of the association between carbon productivity, socioeconomics, medical resources and cardiovascular diseases in southeast rural China; FRONTIERS IN PUBLIC HEALTH</t>
  </si>
  <si>
    <t xml:space="preserve">https://www.frontiersin.org/journals/public-health/articles/10.3389/fpubh.2023.1079702/full </t>
  </si>
  <si>
    <t>Dvinin, D., Davankov, A., Plaksina, A., Yusifov, E.; Modeling the balanced development of the region in the transition to renewable energy and maintaining the carbon cycle in land use; E3S Web of Conferences</t>
  </si>
  <si>
    <t>https://www.e3s-conferences.org/articles/e3sconf/abs/2023/48/e3sconf_apecvi2023_01059/e3sconf_apecvi2023_01059.html</t>
  </si>
  <si>
    <t>Stepanov, I., Makarov, I., Shuranova, A., (...), Kubrakova, Y., Burlakov, A.; Climate Policies in the BRICS Countries: The Interrelation between GHG Emissions Reduction and Socio-Economic Development; COVID-19 and Climate Change in BRICS Nations: Beyond the Paris Agreement and Agenda 2030</t>
  </si>
  <si>
    <t>https://publications.hse.ru/en/chapters/856817436</t>
  </si>
  <si>
    <t>Guignard, MI; Campagne, C (FRanta); Giraud, S (Franta); Brebu, M; Vrinceanu, N; Cioca, LI</t>
  </si>
  <si>
    <t>Sawangrat, C; Thipchai, P; Kaewapai, K; Jantanasakulwong, K; Suhr, J; Wattanachai, P; Rachtanapun, P; Improvement of Bamboo Fibers Using Dielectric Barrier Discharge Plasma Treatment; POLYMERS</t>
  </si>
  <si>
    <t xml:space="preserve">https://www.mdpi.com/2073-4360/15/7/1711 </t>
  </si>
  <si>
    <t>Kumari, K (Pakistan); Ali, SB (Pakistan); Batool, M (Pakistan); Cioca, LI; Abbas, J (Pakistan)</t>
  </si>
  <si>
    <t>The interplay between leaders' personality traits and mentoring quality and their impact on mentees' job satisfaction and job performance</t>
  </si>
  <si>
    <t>Duan, SX; Deng, HP; Job Performance in Digital Work: Do Personality Traits Matter?; JOURNAL OF COMPUTER INFORMATION SYSTEMS</t>
  </si>
  <si>
    <t xml:space="preserve">https://www.tandfonline.com/doi/full/10.1080/08874417.2023.2255551 </t>
  </si>
  <si>
    <t>Pimentel, D ; Pedra, A; Primary Psychopathy in Formal Leaders and Job Satisfaction Levels of Employees Working in Family and Non-Family Firms; ADMINISTRATIVE SCIENCES</t>
  </si>
  <si>
    <t xml:space="preserve">https://www.mdpi.com/2076-3387/13/8/190 </t>
  </si>
  <si>
    <t>Wei, F ; Sial, MS; Haider, SN; Matac, LM; Nexus of economic policy uncertainty, economic expansion and clean energy consumption and their role in carbon neutrality of emerging economies; GEOLOGICAL JOURNAL</t>
  </si>
  <si>
    <t>Kaur, A., Gangwar, V.P.; Identifying the effect of motivation on employee job performance in people analytics: A review of the retail sector; HR Analytics in an Era of Rapid Automation</t>
  </si>
  <si>
    <t>https://www.igi-global.com/chapter/identifying-the-effect-of-motivation-on-employee-job-performance-in-people-analytics/327754</t>
  </si>
  <si>
    <t>Zafar, MZ (Pakistan); Maqbool, A (Pakistan); Cioca, LI; Shah, SGM (China); Masud, S (China)</t>
  </si>
  <si>
    <t>Accentuating the Interrelation between Consumer Intention and Healthy Packaged Food Selection during COVID-19: A Case Study of Pakistan</t>
  </si>
  <si>
    <t>Tacardon, ER; Ong, AKS; Gumasing, MJJ; The Perception of Food Quality and Food Value among the Purchasing Intentions of Street Foods in the Capital of the Philippines; SUSTAINABILITY</t>
  </si>
  <si>
    <t xml:space="preserve">https://www.mdpi.com/2071-1050/15/16/12549 </t>
  </si>
  <si>
    <t>Cai, LH; Yuen, KF ; Fang, MJ Wang, XQ; A literature review on the impact of the COVID-19 pandemic on consumer behaviour: implications for consumer-centric logistics; ASIA PACIFIC JOURNAL OF MARKETING AND LOGISTICS</t>
  </si>
  <si>
    <t xml:space="preserve">https://www.emerald.com/insight/content/doi/10.1108/APJML-08-2022-0731/full/html </t>
  </si>
  <si>
    <t>Shi, LZ; Chen, X; Chen, B; Covid-19-tested food labels; CANADIAN JOURNAL OF AGRICULTURAL ECONOMICS-REVUE CANADIENNE D AGROECONOMIE</t>
  </si>
  <si>
    <t xml:space="preserve">https://onlinelibrary.wiley.com/doi/10.1111/cjag.12327 </t>
  </si>
  <si>
    <t>Yan, XF (China); Espinosa-Cristia, JF (Chila); Kumari, K (Pakistan); Cioca, LI</t>
  </si>
  <si>
    <t>Relationship between Corporate Social Responsibility, Organizational Trust, and Corporate Reputation for Sustainable Performance</t>
  </si>
  <si>
    <t>Abd-El-Salam, EM; Exploring factors affecting Employee Loyalty through the relationship between Service Quality and Management Commitment a case study analysis in the iron and steel industry Al Ezz Dekheila Steel Company in Egypt; COGENT BUSINESS &amp; MANAGEMENT</t>
  </si>
  <si>
    <t xml:space="preserve">https://www.tandfonline.com/doi/full/10.1080/23311975.2023.2212492 </t>
  </si>
  <si>
    <t>Meng, TT; Yahya, MHDH; Ashhari, ZM; Yu, DN; ESG performance, investor attention, and company reputation: Threshold model analysis based on panel data from listed companies in China; HELIYON</t>
  </si>
  <si>
    <t xml:space="preserve">https://www.sciencedirect.com/science/article/pii/S2405844023081823?via%3Dihub </t>
  </si>
  <si>
    <t>Issa, A; Hanaysha, JR; Powering profits: how renewable energy boosts financial performance in European non-financial companies; INTERNATIONAL JOURNAL OF ACCOUNTING AND INFORMATION MANAGEMENT</t>
  </si>
  <si>
    <t xml:space="preserve">https://www.emerald.com/insight/content/doi/10.1108/IJAIM-03-2023-0055/full/html </t>
  </si>
  <si>
    <t>Ali, H; Yin, JH; Manzoor, F; An, MM; The impact of corporate social responsibility on firm reputation and organizational citizenship behavior: The mediation of organic organizational cultures; FRONTIERS IN PSYCHOLOGY</t>
  </si>
  <si>
    <t xml:space="preserve">https://www.frontiersin.org/journals/psychology/articles/10.3389/fpsyg.2022.1100448/full </t>
  </si>
  <si>
    <t>Jing, Z; Hossain, GS; Badiuzzaman; Rahman, S; Hasan, N; Does corporate reputation play a mediating role in the association between manufacturing companies' corporate social responsibility (CSR) and financial performance?; GREEN FINANCE</t>
  </si>
  <si>
    <t xml:space="preserve">http://www.aimspress.com/article/doi/10.3934/GF.2023010 </t>
  </si>
  <si>
    <t>Villegas, JRS; Linares, PF; Vallés, JEG; Abad, MV; MBA?s in Mexico and their impact on corporate reputation executive training; REVISTA LATINA DE COMUNICACION SOCIAL</t>
  </si>
  <si>
    <t>https://nuevaepoca.revistalatinacs.org/index.php/revista/article/view/1923</t>
  </si>
  <si>
    <t>Aljumah, A.I., Nuseir, M., El Refae, G., (...), Urabi, S., Alshehadeh, A.R.; Trust as a Mediator: Exploring the Relationship between Social Responsibility and Corporate Reputation within Social Systems; Proceedings - 2023 10th International Conference on Social Networks Analysis, Management and Security, SNAMS 2023</t>
  </si>
  <si>
    <t>https://ro.uow.edu.au/test2021/10865/</t>
  </si>
  <si>
    <t>Bîrgovan, AL; Lakatos, ES; Szilagyi, A; Cioca, LI; Pacurariu, RL; Ciobanu, G; Rada, EC (Italia)</t>
  </si>
  <si>
    <t>How Should We Measure? A Review of Circular Cities Indicators</t>
  </si>
  <si>
    <t>Matysik-Pejas, R; Bogusz, M; Daniek, K; Szafranska, M; Satola, L; Krasnodebski, A; Dziekanski, P; Rahman, S; An Assessment of the Spatial Diversification of Agriculture in the Conditions of the Circular Economy in European Union Countries; AGRICULTURE-BASEL</t>
  </si>
  <si>
    <t xml:space="preserve">https://www.mdpi.com/2077-0472/13/12/2235 </t>
  </si>
  <si>
    <t>Gonzalez, EDRS; Kandpal, V; Machado, M; Martens, ML; Majumdar, S; A Bibliometric Analysis of Circular Economies through Sustainable Smart Cities; SUSTAINABILITY</t>
  </si>
  <si>
    <t>https://www.mdpi.com/2071-1050/15/22/15892</t>
  </si>
  <si>
    <t>Elwakil, R; Schroder, I; Steemers, K; Circular Maker Cities: Maker Space Typologies and Circular Urban Design; BUILDINGS</t>
  </si>
  <si>
    <t xml:space="preserve">https://www.mdpi.com/2075-5309/13/11/2894 </t>
  </si>
  <si>
    <t>Brglez, K; Perc, M; Lukman, RK; A conceptual model for a circular city: a case study of Maribor, Slovenia; CLEAN TECHNOLOGIES AND ENVIRONMENTAL POLICY</t>
  </si>
  <si>
    <t xml:space="preserve">https://link.springer.com/article/10.1007/s10098-023-02579-z </t>
  </si>
  <si>
    <t>Skripnuk, D; Didenko, N; Gazizulina, A; Kikkas, KN; Skripniuk, K; Methodology of a Circular Economy in a Specific Territory; SUSTAINABILITY</t>
  </si>
  <si>
    <t xml:space="preserve">https://www.webofscience.com/wos/woscc/full-record/WOS:001028600800001 </t>
  </si>
  <si>
    <t>Karaeva, A; Magaril, E; Considering Waste Generation in the Energy Sector during the Transition to a Circular Economy; RECYCLING</t>
  </si>
  <si>
    <t xml:space="preserve">https://www.mdpi.com/2313-4321/8/2/42 </t>
  </si>
  <si>
    <t>Mosora, MH; Aceleanu, MI; Alexa, L; Gherman, AM; Mosora, CL; COLLECTION OF WASTE ELECTRICAL AND ELECTRONIC EQUIPMENT AT THE EUROPEAN LEVEL; AMFITEATRU ECONOMIC</t>
  </si>
  <si>
    <t xml:space="preserve">https://www.amfiteatrueconomic.ro/temp/Article_3176.pdf </t>
  </si>
  <si>
    <t>Zeng, XL; Win-Win: Anthropogenic circularity for metal criticality and carbon neutrality; FRONTIERS OF ENVIRONMENTAL SCIENCE &amp; ENGINEERING</t>
  </si>
  <si>
    <t xml:space="preserve">https://link.springer.com/article/10.1007/s11783-023-1623-2 </t>
  </si>
  <si>
    <t>Vlad, D; Cioca, LI</t>
  </si>
  <si>
    <t>Research Regarding the Influence of Raw Material and Knitted Fabric Geometry on the Tensile Strength and Breaking Elongation</t>
  </si>
  <si>
    <t>Ahmed, U; Hussain, T; Ahmad, HS; Novel knitted fabric structures for shielding against electromagnetic and thermal radiation from laptops and mobile phones; INTERNATIONAL JOURNAL OF THERMAL SCIENCES</t>
  </si>
  <si>
    <t xml:space="preserve">https://www.sciencedirect.com/science/article/pii/S1290072923004556?via%3Dihub </t>
  </si>
  <si>
    <t>Zou, LH; Sun, YY; (...); Lan, CT.; Low-temperature treated polypyrrole coated cotton fabrics for efficient electromagnetic interference shielding; CELLULOSE, Mar 2023
 30 (5) , pp.3283-3296</t>
  </si>
  <si>
    <t>Barbu, A; Catana, SA; Deselnicu, DC; Cioca, LI; Ioanid, A</t>
  </si>
  <si>
    <t>Factors Influencing Consumer Behavior toward Green Products: A Systematic Literature Review</t>
  </si>
  <si>
    <t>Yener, G; Secer, A; Ghazalian, PL; What Factors Influence Consumers to Buy Green Products? An Analysis through the Motivation-Opportunity-Ability Framework and Consumer Awareness; SUSTAINABILITY</t>
  </si>
  <si>
    <t xml:space="preserve">https://www.mdpi.com/2071-1050/15/18/13872 </t>
  </si>
  <si>
    <t>Traoré, L; Belinga, B; Lescuyer, G; A Systematic Review of the Scope and Patterns of Green Consumption in Sub-Saharan Africa; SUSTAINABILITY</t>
  </si>
  <si>
    <t>https://www.mdpi.com/2071-1050/15/8/6343</t>
  </si>
  <si>
    <t xml:space="preserve">
Fatoki, O; DETERMINANTS OF GREEN PURCHASE BEHAVIOUR OF UNIVERSITY STUDENTS IN SOUTH AFRICA; EKONOMIA I SRODOWISKO-ECONOMICS AND ENVIRONMENT</t>
  </si>
  <si>
    <t xml:space="preserve">https://www.ekonomiaisrodowisko.pl/journal/article/view/607 </t>
  </si>
  <si>
    <t>Oncioiu, I; Priescu, I; Banu, GS; Chirca, N; Green Consumers' Responses to Integrated Digital Communication in the Context of Multichannel Retail; SUSTAINABILITY</t>
  </si>
  <si>
    <t xml:space="preserve">https://www.mdpi.com/2071-1050/15/2/1419 </t>
  </si>
  <si>
    <t>Consumers in the Circular Economy: A Path Analysis of the Underlying Factors of Purchasing Behaviour</t>
  </si>
  <si>
    <t>Gomes, S; Lopes, JM; Unlocking the potential of circular consumption: The influence of circular habits, environmental concerns and the search for pro-sustainable information on circular consumption; BUSINESS STRATEGY AND DEVELOPMENT</t>
  </si>
  <si>
    <t xml:space="preserve">https://onlinelibrary.wiley.com/doi/10.1002/bsd2.327 </t>
  </si>
  <si>
    <t xml:space="preserve">
Lopes, JM; Pinho, M; Gomes, S; Green to gold: consumer circular choices may boost circular business models; ENVIRONMENT DEVELOPMENT AND SUSTAINABILITY</t>
  </si>
  <si>
    <t>https://link.springer.com/article/10.1007/s10668-023-03930-6</t>
  </si>
  <si>
    <t>Gonella, JDL; Godinho, M; Ganga, GMD; Latan, H; Jabbour, CJC; Towards a regenerative economy: An innovative scale to measure people's awareness of the circular economy; JOURNAL OF CLEANER PRODUCTION</t>
  </si>
  <si>
    <t xml:space="preserve">https://www.sciencedirect.com/science/article/pii/S0959652623025489?via%3Dihub </t>
  </si>
  <si>
    <t>Lopes, JM; Gomes, S; Trancoso, T; The Dark Side of Green Marketing: How Greenwashing Affects Circular Consumption?; SUSTAINABILITY</t>
  </si>
  <si>
    <t xml:space="preserve">https://www.mdpi.com/2071-1050/15/15/11649 </t>
  </si>
  <si>
    <t>Pathan, MS; Richardson, E; Galvan, E; Mooney, P; The Role of Artificial Intelligence within Circular Economy Activities-A View from Ireland; SUSTAINABILITY</t>
  </si>
  <si>
    <t xml:space="preserve">https://www.mdpi.com/2071-1050/15/12/9451 </t>
  </si>
  <si>
    <t>Ranieri, E (Itali); Montanaro, C (Itali); Ranieri, AC (Itali);  Campanaro, V (Itali); Cioca, LI</t>
  </si>
  <si>
    <t>Municipal solid wastes in the south-eastern mediterranean region: quality, quantity and management</t>
  </si>
  <si>
    <t xml:space="preserve">
Stadler, C; Fusé, VS; Linares, S; Guzmán, SA; Juliarena, MP; Accessible sampling methodologies to quantify the net methane emission from landfill cells; ATMOSPHERIC POLLUTION RESEARCH</t>
  </si>
  <si>
    <t xml:space="preserve">https://www.sciencedirect.com/science/article/pii/S1309104223003653?via%3Dihub </t>
  </si>
  <si>
    <t>Mohsin, M (China); Naseem, S (China); Ivascu, L; Cioca, LI; Sarfraz, M (China); Stanica, NC</t>
  </si>
  <si>
    <t>GAUGING THE EFFECT OF INVESTOR SENTIMENT ON CRYPTOCURRENCY MARKET: AN ANALYSIS OF BITCOIN CURRENCY</t>
  </si>
  <si>
    <t>Kanzari, D; Context-adaptive intelligent agents behaviors: multivariate LSTM-based decision making on the cryptocurrency market; INTERNATIONAL JOURNAL OF DATA SCIENCE AND ANALYTICS</t>
  </si>
  <si>
    <t>https://link.springer.com/article/10.1007/s41060-023-00435-3</t>
  </si>
  <si>
    <t>Zhu, HM; Xing, ZM; Ren, YH; Chen, YW; Hau, L; Frequency domain causality and quantile connectedness between investor sentiment and cryptocurrency returns; INTERNATIONAL REVIEW OF ECONOMICS &amp; FINANCE</t>
  </si>
  <si>
    <t>https://www.sciencedirect.com/science/article/pii/S1059056023002484?via%3Dihub</t>
  </si>
  <si>
    <t xml:space="preserve">
Alshamy, S; Measuring the function of Household Consumer Spending; An Evidence from Baghdad City; PACIFIC BUSINESS REVIEW INTERNATIONAL</t>
  </si>
  <si>
    <t>Prasad, S; Mohapatra, S; Rahman, MR; Puniyani, A; Investor Sentiment Index: A Systematic Review; INTERNATIONAL JOURNAL OF FINANCIAL STUDIES</t>
  </si>
  <si>
    <t>https://www.mdpi.com/2227-7072/11/1/6</t>
  </si>
  <si>
    <t>Aysan, AF; Khan, AU; Isac, N; Drammeh, O; Ozcan, R; THREAT OF INTERVENTION IN CRYPTOCURRENCY MARKET: WEST SIDE STORY OF BITCOIN AND RIPPLE; ECONOMIC COMPUTATION AND ECONOMIC CYBERNETICS STUDIES AND RESEARCH</t>
  </si>
  <si>
    <t xml:space="preserve">https://ecocyb.ase.ro/nr2023_4/03_AhmetFarukAysan_AsadUlIslamKhan.pdf </t>
  </si>
  <si>
    <t>Zou, LH; Sun, YY; Dou, TT; Yao, M; Xu, ZZ; Lan, CT; Low-temperature treated polypyrrole coated cotton fabrics for efficient electromagnetic interference shielding; CELLULOSE</t>
  </si>
  <si>
    <t xml:space="preserve">https://link.springer.com/article/10.1007/s10570-023-05052-8 </t>
  </si>
  <si>
    <t xml:space="preserve">Morosini, C; Conti, F; Torretta, V; Rada, EC; Passamani, G; Schiavon, M; Cioca, LI; Ragazzi, M; </t>
  </si>
  <si>
    <t>Biochemical methane potential assays to test the biogas production from the anaerobic digestion of sewage sludge and other organic matrices</t>
  </si>
  <si>
    <t>Madondo, NI; Rathilal, S; Bakare, BF; Tetteh, EK; Application of Magnetite-Nanoparticles and Microbial Fuel Cell on Anaerobic Digestion: Influence of External Resistance; MICROORGANISMS</t>
  </si>
  <si>
    <t xml:space="preserve">https://www.mdpi.com/2076-2607/11/3/643 </t>
  </si>
  <si>
    <t xml:space="preserve">
Alqurashi, YE; Almalki, SG; Ibrahim, IM; Mohammed, AO; Abd El Hady, AE; Kamal, M; Fatima, F; Iqbal, D; Biological Synthesis, Characterization, and Therapeutic Potential of S. commune-Mediated Gold Nanoparticles; BIOMOLECULES</t>
  </si>
  <si>
    <t xml:space="preserve">https://www.mdpi.com/2218-273X/13/12/1785 </t>
  </si>
  <si>
    <t>Prasad, S; Purohit, SR; Microbial exopolysaccharide: Sources, stress conditions, properties and application in food and environment: A comprehensive review; INTERNATIONAL JOURNAL OF BIOLOGICAL MACROMOLECULES</t>
  </si>
  <si>
    <t xml:space="preserve">https://www.sciencedirect.com/science/article/pii/S0141813023018196?via%3Dihub </t>
  </si>
  <si>
    <t>Behera, S; Panda, AK; Behera, SK; Gupta, N; Media optimization, extraction, purification and characterization of exopolysaccharide from Fusarium proliferatum: A novel source bioactive polysaccharide; RESULTS IN CHEMISTRY</t>
  </si>
  <si>
    <t xml:space="preserve">https://www.sciencedirect.com/science/article/pii/S2211715623001625?via%3Dihub </t>
  </si>
  <si>
    <t>Székely, S; Csata, Z; Cioca, LI; Benedek, A</t>
  </si>
  <si>
    <t>INDUSTRIAL MARKETING 4.0 - UPGRADING THE INDUSTRIAL COSTUMERS' PATH TO THE DIGITAL ECONOMY</t>
  </si>
  <si>
    <t>Mahdiraji, HA; Arabi, HS; Vrontis, D; Marketing 4.0 analytics in the B2B sector: a state-of-the-art review and integrated framework; JOURNAL OF STRATEGIC MARKETING</t>
  </si>
  <si>
    <t>https://www.tandfonline.com/doi/full/10.1080/0965254X.2023.2273501</t>
  </si>
  <si>
    <t>Khalid, B; Dacko-Pikiewicz, Z; Szczepanska-Woszczyna, K; GAMIFICATION AND ITS INFLUENCE ON FINANCIAL MANAGEMENT BEHAVIORS OF YOUNG INVESTORS; TRANSFORMATIONS IN BUSINESS &amp; ECONOMICS</t>
  </si>
  <si>
    <t>Bratu, ML; Cioca, LI</t>
  </si>
  <si>
    <t>Managerial strategies for optimizing ergonomics in organizations, tailored to the personality of engineers, to improve the quality of life and security of employees</t>
  </si>
  <si>
    <t>Ji, WJ; Liu, H; Pan, K; Huang, R; Xu, C; Wei, Z; Wang, JH; Knowledge mapping analysis of safety ergonomics: a bibliometric study; ERGONOMICS</t>
  </si>
  <si>
    <t xml:space="preserve">https://www.tandfonline.com/doi/full/10.1080/00140139.2023.2223788 </t>
  </si>
  <si>
    <t>Breaz, TO; Fülöp, MT; Cioca, LI</t>
  </si>
  <si>
    <t>The role of E-Learning generated by the COVID-19 epidemic in higher education</t>
  </si>
  <si>
    <t>Barbu, M; Zamfiroiu, A; Marinescu, IA; Iordache, D; Bumbac, R; Empowering Digital Education: Understanding Students' Perceptions about Risks and Threats in the Shifting Educational Paradigm; STUDIES IN INFORMATICS AND CONTROL</t>
  </si>
  <si>
    <t>https://sic.ici.ro/empowering-digital-education-understanding-students-perceptions-about-risks-and-threats-in-the-shifting-educational-paradigm/</t>
  </si>
  <si>
    <t xml:space="preserve">
Geng, YQ; Chen, LY ; Li, JY; Iqbal, K; Higher education and digital Economy: Analysis of their coupling coordination with the Yangtze River economic Belt in China as the example; ECOLOGICAL INDICATORS</t>
  </si>
  <si>
    <t>https://www.sciencedirect.com/science/article/pii/S1470160X23006520?via%3Dihub</t>
  </si>
  <si>
    <t>Marhasova, V; Kholiavko, N; Popelo, O; Krylov, D; Zhavoronok, A; Biliaze, O; The Impact of Digitalization on the Sustainable Development of Ukraine: COVID-19 and War Challenges for Higher Education; REVISTA DE LA UNIVERSIDAD DEL ZULIA</t>
  </si>
  <si>
    <t>https://produccioncientificaluz.org/index.php/rluz/article/view/40076/45466</t>
  </si>
  <si>
    <t>Gorina, L; Gordova, M; Khristoforova, I; Sundeeva, L; Strielkowski, W; Sustainable Education and Digitalization through the Prism of the COVID-19 Pandemic; SUSTAINABILITY</t>
  </si>
  <si>
    <t>https://www.mdpi.com/2071-1050/15/8/6846</t>
  </si>
  <si>
    <t>Birgovan, AL; Vatca, SD; Bacali, L; Szilagyi, A; Lakatos, ES; Cioca, LI; Ciobanu, G</t>
  </si>
  <si>
    <t>Enabling the Circular Economy Transition in Organizations: A Moderated Mediation Model</t>
  </si>
  <si>
    <t>Demko-Rihter, J; Sassanelli, C; Pantelic, M; Anisic, Z; A Framework to Assess Manufacturers' Circular Economy Readiness Level in Developing Countries: An Application Case in a Serbian Packaging Company; SUSTAINABILITY</t>
  </si>
  <si>
    <t>https://www.mdpi.com/2071-1050/15/8/6982</t>
  </si>
  <si>
    <t>Chirilus, GV; Lakatos, ES; Bslc, R; Badarau, AS; Cioca, LI; David, GM; Rosian, G</t>
  </si>
  <si>
    <t>Assessment of Organic Carbon Sequestration from Romanian Degraded Soils: Livada Forest Plantation Case Study</t>
  </si>
  <si>
    <t>Kelany, MS; El-sawy, MA; El-Gendy, AR; Beltagy, EA; Bioremediation of industrial wastewater heavy metals using solo and consortium Enterobacter spp.; ENVIRONMENTAL MONITORING AND ASSESSMENT</t>
  </si>
  <si>
    <t>https://link.springer.com/article/10.1007/s10661-023-11951-x</t>
  </si>
  <si>
    <t>Don, A; Seidel, F; Leifeld, J; Kätterer, T; Martin, M; Pellerin, S; Emde, D; Seitz, D; Chenu, C; Carbon sequestration in soils and climate change mitigation-Definitions and pitfalls; GLOBAL CHANGE BIOLOGY</t>
  </si>
  <si>
    <t xml:space="preserve">https://onlinelibrary.wiley.com/doi/10.1111/gcb.16983 </t>
  </si>
  <si>
    <t>Abdellatif, MA; Hassan, FO; Rashed, HSA; El Baroudy, AA; Mohamed, ES; Kucher, DE; Abd-Elmabod, SK; Shokr, MS; Abuzaid, AS; Assessing Soil Organic Carbon Pool for Potential Climate-Change Mitigation in Agricultural Soils-A Case Study Fayoum Depression, Egypt; LAND</t>
  </si>
  <si>
    <t xml:space="preserve">https://www.mdpi.com/2073-445X/12/9/1755 </t>
  </si>
  <si>
    <t>Karaeva, AP (Rusia); Magaril, ER (Rusia); Kiselev, AV (Rusia); Cioca, LI</t>
  </si>
  <si>
    <t>Screening of Factors for Assessing the Environmental and Economic Efficiency of Investment Projects in the Energy Sector</t>
  </si>
  <si>
    <t>Gitelman, L; Kozhevnikov, M; Visotskaya, Y; Diversification as a Method of Ensuring the Sustainability of Energy Supply within the Energy Transition; RESOURCES-BASEL</t>
  </si>
  <si>
    <t>https://www.mdpi.com/2079-9276/12/2/19</t>
  </si>
  <si>
    <t>Cioca, LI; Ciomos, AO; Seitoar, D; Druta, RM; David, GM</t>
  </si>
  <si>
    <t>Industrial Symbiosis through the Use of Biosolids as Fertilizer in Romanian Agriculture</t>
  </si>
  <si>
    <t>Shmeleva, N; Tolstykh, T; Dudareva, O; Integration as a Driver of Enterprise Sustainability: The Russian Experience; SUSTAINABILITY</t>
  </si>
  <si>
    <t xml:space="preserve">https://www.mdpi.com/2071-1050/15/12/9606 </t>
  </si>
  <si>
    <t>Allen, K; López, ER; Banwart, SA; Evans, B; A Systematic Review of the Effects of Fecal Sludge Derived Amendments on Crop Growth and Soil Health; ACS ES&amp;T ENGINEERING</t>
  </si>
  <si>
    <t>https://pubs.acs.org/doi/10.1021/acsestengg.2c00438</t>
  </si>
  <si>
    <t xml:space="preserve">
Tolstykh, T ; Shmeleva, N; Gamidullaeva, L; Krasnobaeva, V; The Role of Collaboration in the Development of Industrial Enterprises Integration; SUSTAINABILITY</t>
  </si>
  <si>
    <t>https://www.mdpi.com/2071-1050/15/9/7180</t>
  </si>
  <si>
    <t>Moraru, RI; Cioca, LI; Babut, GB</t>
  </si>
  <si>
    <t>Workforce active ageing case study in a Romanian manufacturing company</t>
  </si>
  <si>
    <t>Ortar, L; Doron, II; Lurie, Y; Time for Corporate Gerontology: A Systematic Literature Review; AGEING INTERNATIONAL</t>
  </si>
  <si>
    <t>https://link.springer.com/article/10.1007/s12126-023-09537-6</t>
  </si>
  <si>
    <t>Ivascu, L; Cioca, LI; Izvercian, M</t>
  </si>
  <si>
    <t>Investigating the Relationship Between Risk Management and Sustainable Development Management within the Organizations</t>
  </si>
  <si>
    <t>Baera, C ; Gruin, A; Enache, F; Bolborea, B; Chendes, RV; Ciobanu, A; Varga, L; Sandu, I; Corbu, O; OPPORTUNITIES REGARDING THE INNOVATIVE CONSERVATION OF THE ROMANIAN VERNACULAR URBANISTIC HERITAGE; INTERNATIONAL JOURNAL OF CONSERVATION SCIENCE</t>
  </si>
  <si>
    <t>https://ijcs.ro/public/IJCS-23-60_Baera.pdf</t>
  </si>
  <si>
    <t xml:space="preserve">Lakatos, ES; Cioca, LI; Szilagyi, A; Vladu, MG; Stoica, RM; Moscovici, M; </t>
  </si>
  <si>
    <t>A Systematic Review on Biosurfactants Contribution to the Transition to a Circular Economy</t>
  </si>
  <si>
    <t>Qamar, SA ; Pacifico, S; Cleaner production of biosurfactants via bio-waste valorization: A comprehensive review of characteristics, challenges, and opportunities in bio-sector applications; JOURNAL OF ENVIRONMENTAL CHEMICAL ENGINEERING</t>
  </si>
  <si>
    <t xml:space="preserve">https://www.sciencedirect.com/science/article/pii/S2213343723022947?via%3Dihub </t>
  </si>
  <si>
    <t>Legawiec, KJ ; Kruszelnicki, M; Zawadzka, M; Basarova, P; Zawala, J; Polowczyk, I; Towards green flotation: Investigating the effect of rhamnolipid biosurfactant on single bubble adhesion dynamics; JOURNAL OF MOLECULAR LIQUIDS</t>
  </si>
  <si>
    <t xml:space="preserve">https://www.sciencedirect.com/science/article/pii/S0167732223015647?via%3Dihub </t>
  </si>
  <si>
    <t>Cioca, LI; Breaz, RE; Racz, SG</t>
  </si>
  <si>
    <t>Wu, M; Liu, Q and Wang, ZY; A comparative evaluation of child health care in China using multicriteria decision analysis methods; Nov 7 2023
 23 (1); BMC HEALTH SERVICES RESEARCH</t>
  </si>
  <si>
    <t>https://bmchealthservres.biomedcentral.com/articles/10.1186/s12913-023-10204-4</t>
  </si>
  <si>
    <t>Racz, SG; Breaz, RE; Cioca, LI</t>
  </si>
  <si>
    <t>Kminiak, R; Nemec, M; (...); Gejdos, M; Advisability-Selected Parameters of Woodworking with a CNC Machine as a Tool for Adaptive Control of the Cutting Process; Forests, Feb 2023
 14 (2)</t>
  </si>
  <si>
    <t>https://www.mdpi.com/1999-4907/14/2/173</t>
  </si>
  <si>
    <t>Tamasila, M; Prostean, G; Ivascu, L; Cioca, LI; Draghici, A; Diaconescu, A</t>
  </si>
  <si>
    <t>Evaluating and prioritizing municipal solid waste management-related factors in Romania using fuzzy AHP and TOPSIS</t>
  </si>
  <si>
    <t>Simic, V; Dabic-Miletic, S; (...); Senapati, T; Neutrosophic CEBOM-MACONT model for sustainable management of end-of-life tires; APPLIED SOFT COMPUTING; Aug 2023
 143</t>
  </si>
  <si>
    <t>https://www.sciencedirect.com/science/article/pii/S1568494623004179?via%3Dihub</t>
  </si>
  <si>
    <t>Hagag, AM; Yousef, LS ; Abdelmaguid, TF; Multi-Criteria Decision-Making for Machine Selection in Manufacturing and Construction: Recent Trends; MATHEMATICS</t>
  </si>
  <si>
    <t>https://www.mdpi.com/2227-7390/11/3/631</t>
  </si>
  <si>
    <r>
      <rPr>
        <rFont val="Arial Narrow"/>
        <color theme="1"/>
        <sz val="10.0"/>
      </rPr>
      <t xml:space="preserve">KUMAR, A., KUMAR, P., DOGRA, N., &amp; JAGLAN, A. (2023). Application of Incremental Sheet Forming (ISF) Toward Biomedical and Medical Implants. In </t>
    </r>
    <r>
      <rPr>
        <rFont val="Arial Narrow"/>
        <i/>
        <color theme="1"/>
        <sz val="10.0"/>
      </rPr>
      <t>Handbook of Flexible and Smart Sheet Forming Techniques: Industry 4.0 Approaches</t>
    </r>
    <r>
      <rPr>
        <rFont val="Arial Narrow"/>
        <color theme="1"/>
        <sz val="10.0"/>
      </rPr>
      <t xml:space="preserve"> (pp. 247-263). https://doi.org/10.1002/9781119986454.ch13 </t>
    </r>
  </si>
  <si>
    <r>
      <rPr>
        <rFont val="Arial Narrow"/>
        <color theme="1"/>
        <sz val="10.0"/>
      </rPr>
      <t xml:space="preserve">KUMAR, A., KUMAR, P., SRIVASTAVA, A. K., &amp; GOYAT, V. (2023). </t>
    </r>
    <r>
      <rPr>
        <rFont val="Arial Narrow"/>
        <i/>
        <color theme="1"/>
        <sz val="10.0"/>
      </rPr>
      <t>Modeling, characterization, and processing of smart materials</t>
    </r>
    <r>
      <rPr>
        <rFont val="Arial Narrow"/>
        <color theme="1"/>
        <sz val="10.0"/>
      </rPr>
      <t xml:space="preserve">  [Book]. https://doi.org/10.4018/978-1-6684-9224-6 </t>
    </r>
  </si>
  <si>
    <r>
      <rPr>
        <rFont val="Arial Narrow"/>
        <color theme="1"/>
        <sz val="10.0"/>
      </rPr>
      <t xml:space="preserve">KUMAR, P., &amp; SINGH, H. (2023). Experimental analysis of tool geometry and tool rotation in SPIF process on AA7075-O alloy using ML and ANN approach [Article]. </t>
    </r>
    <r>
      <rPr>
        <rFont val="Arial Narrow"/>
        <i/>
        <color theme="1"/>
        <sz val="10.0"/>
      </rPr>
      <t>International Journal on Interactive Design and Manufacturing</t>
    </r>
    <r>
      <rPr>
        <rFont val="Arial Narrow"/>
        <color theme="1"/>
        <sz val="10.0"/>
      </rPr>
      <t xml:space="preserve">. https://doi.org/10.1007/s12008-023-01535-x </t>
    </r>
  </si>
  <si>
    <r>
      <rPr>
        <rFont val="Arial Narrow"/>
        <color theme="1"/>
        <sz val="10.0"/>
      </rPr>
      <t xml:space="preserve">KUMAR, R., KUMAR, V., &amp; KUMAR, A. (2023). A Review on Effect of Computer-Aided Machining Parameters in Incremental Sheet Forming. In </t>
    </r>
    <r>
      <rPr>
        <rFont val="Arial Narrow"/>
        <i/>
        <color theme="1"/>
        <sz val="10.0"/>
      </rPr>
      <t>Handbook of Flexible and Smart Sheet Forming Techniques: Industry 4.0 Approaches</t>
    </r>
    <r>
      <rPr>
        <rFont val="Arial Narrow"/>
        <color theme="1"/>
        <sz val="10.0"/>
      </rPr>
      <t xml:space="preserve"> (pp. 29-58). https://doi.org/10.1002/9781119986454.ch3 </t>
    </r>
  </si>
  <si>
    <r>
      <rPr>
        <rFont val="Arial Narrow"/>
        <color theme="1"/>
        <sz val="10.0"/>
      </rPr>
      <t xml:space="preserve">RATHEE, L., RATHEE, R., &amp; KUMAR, A. (2023). Experimental study of impact parameters on the deforming loads in incremental forming. In </t>
    </r>
    <r>
      <rPr>
        <rFont val="Arial Narrow"/>
        <i/>
        <color theme="1"/>
        <sz val="10.0"/>
      </rPr>
      <t>Modeling, Characterization, and Processing of Smart Materials</t>
    </r>
    <r>
      <rPr>
        <rFont val="Arial Narrow"/>
        <color theme="1"/>
        <sz val="10.0"/>
      </rPr>
      <t xml:space="preserve"> (pp. 140-150). https://doi.org/10.4018/978-1-6684-9224-6.ch006 </t>
    </r>
  </si>
  <si>
    <t>VLAD, D., OLEKSIK, M. (ambii ULBS)</t>
  </si>
  <si>
    <t>Research Regarding Uniaxial Tensile Strength of Nylon Woven Fabrics, Coated and Uncoated with Silicone, 9th INTERNATIONAL CONFERENCE
ON MANUFACTURING SCIENCE AND EDUCATION
-MSE 2019- MATEC Web of Conferences 290, article number 09003, https://doi.org/10.1051/matecconf/201929009003</t>
  </si>
  <si>
    <r>
      <rPr>
        <rFont val="Arial Narrow"/>
        <color theme="1"/>
        <sz val="10.0"/>
      </rPr>
      <t xml:space="preserve">PATERSON, M., MOORE, B., NEWCOMER, S. C., &amp; NESSLER, J. A. (2023). Insulation and material characteristics of smoothskin neoprene vs silicone-coated neoprene in surf wetsuits. </t>
    </r>
    <r>
      <rPr>
        <rFont val="Arial Narrow"/>
        <i/>
        <color theme="1"/>
        <sz val="10.0"/>
      </rPr>
      <t>Sports Engineering</t>
    </r>
    <r>
      <rPr>
        <rFont val="Arial Narrow"/>
        <color theme="1"/>
        <sz val="10.0"/>
      </rPr>
      <t>,</t>
    </r>
    <r>
      <rPr>
        <rFont val="Arial Narrow"/>
        <i/>
        <color theme="1"/>
        <sz val="10.0"/>
      </rPr>
      <t xml:space="preserve"> 26</t>
    </r>
    <r>
      <rPr>
        <rFont val="Arial Narrow"/>
        <color theme="1"/>
        <sz val="10.0"/>
      </rPr>
      <t>(1), Article 23. https://doi.org/10.1007/s12283-023-00417-5 WOS:000980508000001.</t>
    </r>
  </si>
  <si>
    <t>ROSCA, N., OLEKSIK, M. (ambii ULBS)</t>
  </si>
  <si>
    <t>Simulation of the Single Point Incremental Forming of Polyamide and Polyethylene Sheets, 9th INTERNATIONAL CONFERENCE
ON MANUFACTURING SCIENCE AND EDUCATION -MSE 2019- MATEC Web of Conferences, article number 03014, https://doi.org/10.1051/matecconf/201929003014</t>
  </si>
  <si>
    <r>
      <rPr>
        <rFont val="Arial Narrow"/>
        <color theme="1"/>
        <sz val="10.0"/>
      </rPr>
      <t xml:space="preserve">ALMADANI, M., GUNER, A., HASSANIN, H., &amp; ESSA, K. (2023). Hot-Air Contactless Single-Point Incremental Forming. </t>
    </r>
    <r>
      <rPr>
        <rFont val="Arial Narrow"/>
        <i/>
        <color theme="1"/>
        <sz val="10.0"/>
      </rPr>
      <t>Journal of Manufacturing and Materials Processing</t>
    </r>
    <r>
      <rPr>
        <rFont val="Arial Narrow"/>
        <color theme="1"/>
        <sz val="10.0"/>
      </rPr>
      <t>,</t>
    </r>
    <r>
      <rPr>
        <rFont val="Arial Narrow"/>
        <i/>
        <color theme="1"/>
        <sz val="10.0"/>
      </rPr>
      <t xml:space="preserve"> 7</t>
    </r>
    <r>
      <rPr>
        <rFont val="Arial Narrow"/>
        <color theme="1"/>
        <sz val="10.0"/>
      </rPr>
      <t>(5), Article 179. https://doi.org/10.3390/jmmp7050179 WOS:001089731500001.</t>
    </r>
  </si>
  <si>
    <t>https://www.mdpi.com/2504-4494/7/5/179</t>
  </si>
  <si>
    <r>
      <rPr>
        <rFont val="Arial Narrow"/>
        <color theme="1"/>
        <sz val="10.0"/>
      </rPr>
      <t xml:space="preserve">LI, T., ZHANG, Z., WANG, W. Y., MAO, A. J., CHEN, Y., XIONG, Y., &amp; GAO, F. (2023). Simulation and Experimental Investigation of Balloon Folding and Inserting Performance for Angioplasty: A Comparison of Two Materials, Polyamide-12 and Pebax. </t>
    </r>
    <r>
      <rPr>
        <rFont val="Arial Narrow"/>
        <i/>
        <color theme="1"/>
        <sz val="10.0"/>
      </rPr>
      <t>Journal of Functional Biomaterials</t>
    </r>
    <r>
      <rPr>
        <rFont val="Arial Narrow"/>
        <color theme="1"/>
        <sz val="10.0"/>
      </rPr>
      <t>,</t>
    </r>
    <r>
      <rPr>
        <rFont val="Arial Narrow"/>
        <i/>
        <color theme="1"/>
        <sz val="10.0"/>
      </rPr>
      <t xml:space="preserve"> 14</t>
    </r>
    <r>
      <rPr>
        <rFont val="Arial Narrow"/>
        <color theme="1"/>
        <sz val="10.0"/>
      </rPr>
      <t>(6), Article 312. https://doi.org/10.3390/jfb14060312 WOS:001015004700001.</t>
    </r>
  </si>
  <si>
    <t>https://www.mdpi.com/2079-4983/14/6/312</t>
  </si>
  <si>
    <r>
      <rPr>
        <rFont val="Arial Narrow"/>
        <color theme="1"/>
        <sz val="10.0"/>
      </rPr>
      <t xml:space="preserve">RUSU, G. P., BREAZ, R. E., POPP, M. O., OLEKSIK, V., &amp; RACZ, S. G. (2023). Experimental Research on Wolfram Inert Gas AA1050 Aluminum Alloy Tailor Welded Blanks Processed by Single Point Incremental Forming Process.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6408. https://doi.org/10.3390/ma16196408 WOS:001081829900001.</t>
    </r>
  </si>
  <si>
    <r>
      <rPr>
        <rFont val="Arial Narrow"/>
        <color theme="1"/>
        <sz val="10.0"/>
      </rPr>
      <t xml:space="preserve">KHARCHE, A., &amp; BARVE, S. (2023). Experimental investigations of machining parameters on polyamide 6 using single point incremental forming [Article]. </t>
    </r>
    <r>
      <rPr>
        <rFont val="Arial Narrow"/>
        <i/>
        <color theme="1"/>
        <sz val="10.0"/>
      </rPr>
      <t>Materials Today: Proceedings</t>
    </r>
    <r>
      <rPr>
        <rFont val="Arial Narrow"/>
        <color theme="1"/>
        <sz val="10.0"/>
      </rPr>
      <t>,</t>
    </r>
    <r>
      <rPr>
        <rFont val="Arial Narrow"/>
        <i/>
        <color theme="1"/>
        <sz val="10.0"/>
      </rPr>
      <t xml:space="preserve"> 80</t>
    </r>
    <r>
      <rPr>
        <rFont val="Arial Narrow"/>
        <color theme="1"/>
        <sz val="10.0"/>
      </rPr>
      <t xml:space="preserve">, 993-1001. https://doi.org/10.1016/j.matpr.2022.11.453 </t>
    </r>
  </si>
  <si>
    <r>
      <rPr>
        <rFont val="Arial Narrow"/>
        <color theme="1"/>
        <sz val="10.0"/>
      </rPr>
      <t xml:space="preserve">STAN, G., ROMAN, M. D., ORBAN, H., GEORGEANU, V. A., DECULESCU, R. S., BRINDUSE, L. A., &amp; GHEORGHIU, N. (2023). Survival Analysis and Failure Modes of Total Hip Arthroplasty Using a Cemented Semi-Retentive Acetabular Cup. </t>
    </r>
    <r>
      <rPr>
        <rFont val="Arial Narrow"/>
        <i/>
        <color theme="1"/>
        <sz val="10.0"/>
      </rPr>
      <t>Journal of Clinical Medicine</t>
    </r>
    <r>
      <rPr>
        <rFont val="Arial Narrow"/>
        <color theme="1"/>
        <sz val="10.0"/>
      </rPr>
      <t>,</t>
    </r>
    <r>
      <rPr>
        <rFont val="Arial Narrow"/>
        <i/>
        <color theme="1"/>
        <sz val="10.0"/>
      </rPr>
      <t xml:space="preserve"> 12</t>
    </r>
    <r>
      <rPr>
        <rFont val="Arial Narrow"/>
        <color theme="1"/>
        <sz val="10.0"/>
      </rPr>
      <t>(24), Article 7506. https://doi.org/10.3390/jcm12247506 WOS:001136177200001.</t>
    </r>
  </si>
  <si>
    <t>DOBROTA, D., RACZ, G., OLEKSIK, M., ROTARU, I., TOMESCU, M, SIMION, C.M.</t>
  </si>
  <si>
    <t>Smart Cutting Tools Used in the Processing of Aluminum Alloys, Sensors, 22, Issue 1, Article 28, 2022, https://doi.org/10.3390/s22010028, WOS:000751266200001</t>
  </si>
  <si>
    <r>
      <rPr>
        <rFont val="Arial Narrow"/>
        <color theme="1"/>
        <sz val="10.0"/>
      </rPr>
      <t xml:space="preserve">PIMENOV, D. Y., KIRAN, M., KHANNA, N., PINTAUDE, G., VASCO, M. C., DA SILVA, L. R. R., &amp; GIASIN, K. (2023). Review of improvement of machinability and surface integrity in machining on aluminum alloys. </t>
    </r>
    <r>
      <rPr>
        <rFont val="Arial Narrow"/>
        <i/>
        <color theme="1"/>
        <sz val="10.0"/>
      </rPr>
      <t>International Journal of Advanced Manufacturing Technology</t>
    </r>
    <r>
      <rPr>
        <rFont val="Arial Narrow"/>
        <color theme="1"/>
        <sz val="10.0"/>
      </rPr>
      <t>. https://doi.org/10.1007/s00170-023-12630-4 WOS:001104262100002.</t>
    </r>
  </si>
  <si>
    <r>
      <rPr>
        <rFont val="Arial Narrow"/>
        <color theme="1"/>
        <sz val="10.0"/>
      </rPr>
      <t xml:space="preserve">SERRANO, E., LÓPEZ-SÁNCHEZ, J., GARCÍA-GALVÁN, F., SERRANO, A., DE LA FUENTE, O., BARRANCO, V., GALVÁN, J., &amp; CARMONA, N. (2023). Evaluation of Low-Toxic Hybrid Sol-Gel Coatings with Organic pH-Sensitive Inhibitors for Corrosion Protection of AA2024 Aluminium Alloy. </t>
    </r>
    <r>
      <rPr>
        <rFont val="Arial Narrow"/>
        <i/>
        <color theme="1"/>
        <sz val="10.0"/>
      </rPr>
      <t>Gels</t>
    </r>
    <r>
      <rPr>
        <rFont val="Arial Narrow"/>
        <color theme="1"/>
        <sz val="10.0"/>
      </rPr>
      <t>,</t>
    </r>
    <r>
      <rPr>
        <rFont val="Arial Narrow"/>
        <i/>
        <color theme="1"/>
        <sz val="10.0"/>
      </rPr>
      <t xml:space="preserve"> 9</t>
    </r>
    <r>
      <rPr>
        <rFont val="Arial Narrow"/>
        <color theme="1"/>
        <sz val="10.0"/>
      </rPr>
      <t>(4), Article 294. https://doi.org/10.3390/gels9040294 WOS:000984049200001.</t>
    </r>
  </si>
  <si>
    <t>https://www.mdpi.com/2310-2861/9/4/294</t>
  </si>
  <si>
    <r>
      <rPr>
        <rFont val="Arial Narrow"/>
        <color theme="1"/>
        <sz val="10.0"/>
      </rPr>
      <t>SLAVOV, S., MARKOV, O. (2023). A tool for ball burnishing with ability for wire and wireless monitoring of the deforming force values. Acta Technica Napocensis-series: Applied Mathematics, Mechanics, and Engineering,</t>
    </r>
    <r>
      <rPr>
        <rFont val="Arial Narrow"/>
        <i/>
        <color theme="1"/>
        <sz val="10.0"/>
      </rPr>
      <t xml:space="preserve"> 65</t>
    </r>
    <r>
      <rPr>
        <rFont val="Arial Narrow"/>
        <color theme="1"/>
        <sz val="10.0"/>
      </rPr>
      <t>(4S). WOS:000969679100047</t>
    </r>
  </si>
  <si>
    <t>https://atna-mam.utcluj.ro/index.php/Acta/article/view/2066</t>
  </si>
  <si>
    <t>DING, M., LIU, X., YUE, C., FAN, M., GU, H. (2023). Design, Manufacturing, Management and Control Technology of Cutting Tools for Intelligent Manufacturing Process, Jixie Gongcheng Xuebao/Journal of Mechanical Engineering, Open Access, Volume 59, Issue 19, Pages 429 - 459, October 2023</t>
  </si>
  <si>
    <t>https://qikan.cmes.org/jxgcxb/EN/PDF/10.3901/JME.2023.19.429</t>
  </si>
  <si>
    <t xml:space="preserve">COFARU, N.F., PASCU, A., OLEKSIK, M., PETRUSE, R. (toți ULBS) </t>
  </si>
  <si>
    <t>Tensile Properties of 3D-Printed Continuous-Fiber-Reinforced Plastics, Materiale Plastice, 58(4), 2021, 271-282, https://doi.org/10.37358/Mat.Plast.1964</t>
  </si>
  <si>
    <r>
      <rPr>
        <rFont val="Arial Narrow"/>
        <color theme="1"/>
        <sz val="10.0"/>
      </rPr>
      <t xml:space="preserve">LEE, G. W., KIM, T. H., YUN, J. H., KIM, N. J., AHN, K. H., &amp; KANG, M. S. (2023). Strength of Onyx-based composite 3D printing materials according to fiber reinforcement. </t>
    </r>
    <r>
      <rPr>
        <rFont val="Arial Narrow"/>
        <i/>
        <color theme="1"/>
        <sz val="10.0"/>
      </rPr>
      <t>Frontiers in Materials</t>
    </r>
    <r>
      <rPr>
        <rFont val="Arial Narrow"/>
        <color theme="1"/>
        <sz val="10.0"/>
      </rPr>
      <t>,</t>
    </r>
    <r>
      <rPr>
        <rFont val="Arial Narrow"/>
        <i/>
        <color theme="1"/>
        <sz val="10.0"/>
      </rPr>
      <t xml:space="preserve"> 10</t>
    </r>
    <r>
      <rPr>
        <rFont val="Arial Narrow"/>
        <color theme="1"/>
        <sz val="10.0"/>
      </rPr>
      <t>, Article 1183816. https://doi.org/10.3389/fmats.2023.1183816 WOS:000986873300001.</t>
    </r>
  </si>
  <si>
    <r>
      <rPr>
        <rFont val="Arial Narrow"/>
        <color theme="1"/>
        <sz val="10.0"/>
      </rPr>
      <t xml:space="preserve">MORENO-NÚÑEZ, B. A., ABARCA-VIDAL, C. G., TREVIÑO-QUINTANILLA, C. D., SÁNCHEZ-SANTANA, U., CUAN-URQUIZO, E., &amp; URIBE-LAM, E. (2023). Experimental Analysis of Fiber Reinforcement Rings' Effect on Tensile and Flexural Properties of Onyx™-Kevlar® Composites Manufactured by Continuous Fiber Reinforcement. </t>
    </r>
    <r>
      <rPr>
        <rFont val="Arial Narrow"/>
        <i/>
        <color theme="1"/>
        <sz val="10.0"/>
      </rPr>
      <t>Polymers</t>
    </r>
    <r>
      <rPr>
        <rFont val="Arial Narrow"/>
        <color theme="1"/>
        <sz val="10.0"/>
      </rPr>
      <t>,</t>
    </r>
    <r>
      <rPr>
        <rFont val="Arial Narrow"/>
        <i/>
        <color theme="1"/>
        <sz val="10.0"/>
      </rPr>
      <t xml:space="preserve"> 15</t>
    </r>
    <r>
      <rPr>
        <rFont val="Arial Narrow"/>
        <color theme="1"/>
        <sz val="10.0"/>
      </rPr>
      <t>(5), Article 1252. https://doi.org/10.3390/polym15051252 WOS:000948163400001.</t>
    </r>
  </si>
  <si>
    <r>
      <rPr>
        <rFont val="Arial Narrow"/>
        <color theme="1"/>
        <sz val="10.0"/>
      </rPr>
      <t xml:space="preserve">SANCIC, T., BRCIC, M., KOTARSKI, D., &amp; LUKASZEWICZ, A. (2023). Experimental Characterization of Composite-Printed Materials for the Production of Multirotor UAV Airframe Parts. </t>
    </r>
    <r>
      <rPr>
        <rFont val="Arial Narrow"/>
        <i/>
        <color theme="1"/>
        <sz val="10.0"/>
      </rPr>
      <t>Materials</t>
    </r>
    <r>
      <rPr>
        <rFont val="Arial Narrow"/>
        <color theme="1"/>
        <sz val="10.0"/>
      </rPr>
      <t>,</t>
    </r>
    <r>
      <rPr>
        <rFont val="Arial Narrow"/>
        <i/>
        <color theme="1"/>
        <sz val="10.0"/>
      </rPr>
      <t xml:space="preserve"> 16</t>
    </r>
    <r>
      <rPr>
        <rFont val="Arial Narrow"/>
        <color theme="1"/>
        <sz val="10.0"/>
      </rPr>
      <t>(14), Article 5060. https://doi.org/10.3390/ma16145060 WOS:001038933300001.</t>
    </r>
  </si>
  <si>
    <t>KOKNER, Y., DELPIERRE, A., COUZIS, J.P., ARDEBILI, M., DELALE, F. (2023). A Study on the Effect of Fiber Orientation on the Strength and Failure of 3D-Printed Carbon Fiber Reinforced Polymers, ASME International Mechanical Engineering Congress and Exposition, Proceedings (IMECE), Volume 42023, Article number v004t04a068, ASME 2023 International Mechanical Engineering Congress and Exposition, IMECE 2023</t>
  </si>
  <si>
    <r>
      <rPr>
        <rFont val="Arial Narrow"/>
        <color theme="1"/>
        <sz val="10.0"/>
      </rPr>
      <t xml:space="preserve">SOFIA, J., KUMAR, K. C. K., ETHIRAJ, N., &amp; NIKOLOVA, M. P. (2023). CHARACTERISATION OF PLA-PMMA LAMINATE WITHOUT RESIN FABRICATED BY FDM [Article]. </t>
    </r>
    <r>
      <rPr>
        <rFont val="Arial Narrow"/>
        <i/>
        <color theme="1"/>
        <sz val="10.0"/>
      </rPr>
      <t>Academic Journal of Manufacturing Engineering</t>
    </r>
    <r>
      <rPr>
        <rFont val="Arial Narrow"/>
        <color theme="1"/>
        <sz val="10.0"/>
      </rPr>
      <t>,</t>
    </r>
    <r>
      <rPr>
        <rFont val="Arial Narrow"/>
        <i/>
        <color theme="1"/>
        <sz val="10.0"/>
      </rPr>
      <t xml:space="preserve"> 21</t>
    </r>
    <r>
      <rPr>
        <rFont val="Arial Narrow"/>
        <color theme="1"/>
        <sz val="10.0"/>
      </rPr>
      <t xml:space="preserve">(3), 42-52. </t>
    </r>
  </si>
  <si>
    <r>
      <rPr>
        <rFont val="Arial Narrow"/>
        <color theme="1"/>
        <sz val="10.0"/>
      </rPr>
      <t xml:space="preserve">WANG, F., SUN, R., ZHANG, S. D., &amp; WU, X. T. (2023). Comparison of thoracolumbar versus non-thoracolumbar osteoporotic vertebral compression fractures in risk factors, vertebral compression degree and pre-hospital back pain. </t>
    </r>
    <r>
      <rPr>
        <rFont val="Arial Narrow"/>
        <i/>
        <color theme="1"/>
        <sz val="10.0"/>
      </rPr>
      <t>Journal of Orthopaedic Surgery and Research</t>
    </r>
    <r>
      <rPr>
        <rFont val="Arial Narrow"/>
        <color theme="1"/>
        <sz val="10.0"/>
      </rPr>
      <t>,</t>
    </r>
    <r>
      <rPr>
        <rFont val="Arial Narrow"/>
        <i/>
        <color theme="1"/>
        <sz val="10.0"/>
      </rPr>
      <t xml:space="preserve"> 18</t>
    </r>
    <r>
      <rPr>
        <rFont val="Arial Narrow"/>
        <color theme="1"/>
        <sz val="10.0"/>
      </rPr>
      <t>(1), Article 643. https://doi.org/10.1186/s13018-023-04140-6 WOS:001058547200002.</t>
    </r>
  </si>
  <si>
    <t>OLEKSIK, M. (ULBS)</t>
  </si>
  <si>
    <t xml:space="preserve">Comparative study about different experimental layouts used on single point incremental forming process, Acta Universitatis Cibiniensis. Technical Series, 2018, Vol. LXX, DOI: 10.2478/aucts-2018-0004, 21-27, </t>
  </si>
  <si>
    <r>
      <rPr>
        <rFont val="Arial Narrow"/>
        <color theme="1"/>
        <sz val="10.0"/>
      </rPr>
      <t xml:space="preserve">RUSU, G. P., BREAZ, R. E., POPP, M. O., OLEKSIK, V., &amp; RACZ, S. G. (2023). Experimental Research on Wolfram Inert Gas AA1050 Aluminum Alloy Tailor Welded Blanks Processed by Single Point Incremental Forming Process.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6408. https://doi.org/10.3390/ma16196408 WOS:001081829900001.</t>
    </r>
  </si>
  <si>
    <t xml:space="preserve">OLEKSIK, M., DOBROTA, D., DIMULESCU, C. S., DUMITRASCU, O., PETRASCU, R. (toți ULBS) </t>
  </si>
  <si>
    <t>Advanced use of waste rubber and fly ash to ensure an efficient circular economy, Ain Shams Engineering Journal, first online 2023, 15(1), 2024 https://doi.org/10.1016/j.asej.2023.102264</t>
  </si>
  <si>
    <r>
      <rPr>
        <rFont val="Arial Narrow"/>
        <color theme="1"/>
        <sz val="10.0"/>
      </rPr>
      <t xml:space="preserve">LAZAR, S., DOBROTA, D., BREAZ, R. E., &amp; RACZ, S. G. (2023). Eco-Design of Polymer Matrix Composite Parts: A Review. </t>
    </r>
    <r>
      <rPr>
        <rFont val="Arial Narrow"/>
        <i/>
        <color theme="1"/>
        <sz val="10.0"/>
      </rPr>
      <t>Polymers</t>
    </r>
    <r>
      <rPr>
        <rFont val="Arial Narrow"/>
        <color theme="1"/>
        <sz val="10.0"/>
      </rPr>
      <t>,</t>
    </r>
    <r>
      <rPr>
        <rFont val="Arial Narrow"/>
        <i/>
        <color theme="1"/>
        <sz val="10.0"/>
      </rPr>
      <t xml:space="preserve"> 15</t>
    </r>
    <r>
      <rPr>
        <rFont val="Arial Narrow"/>
        <color theme="1"/>
        <sz val="10.0"/>
      </rPr>
      <t>(17), Article 3634. https://doi.org/10.3390/polym15173634 WOS:001061188300001.</t>
    </r>
  </si>
  <si>
    <t>OLEKSIK, M. (ULBS), DOBROTA, D. (ULBS), TOMESCU, M. (ULBS),  PETRESCU, V. (ULBS)</t>
  </si>
  <si>
    <t>Improving the Performance of Steel Machining Processes through Cutting by Vibration Control, Materials, 14(19), 2021, article number 5712, https://doi.org/10.3390/ma14195712, WOS:000700782700001</t>
  </si>
  <si>
    <r>
      <rPr>
        <rFont val="Arial Narrow"/>
        <color theme="1"/>
        <sz val="10.0"/>
      </rPr>
      <t xml:space="preserve">LELEN, M., BIRUK-URBAN, K., JÓZWIK, J., &amp; TOMILO, P. (2023). Modeling and Machine Learning of Vibration Amplitude and Surface Roughness after Waterjet Cutting. </t>
    </r>
    <r>
      <rPr>
        <rFont val="Arial Narrow"/>
        <i/>
        <color theme="1"/>
        <sz val="10.0"/>
      </rPr>
      <t>Materials</t>
    </r>
    <r>
      <rPr>
        <rFont val="Arial Narrow"/>
        <color theme="1"/>
        <sz val="10.0"/>
      </rPr>
      <t>,</t>
    </r>
    <r>
      <rPr>
        <rFont val="Arial Narrow"/>
        <i/>
        <color theme="1"/>
        <sz val="10.0"/>
      </rPr>
      <t xml:space="preserve"> 16</t>
    </r>
    <r>
      <rPr>
        <rFont val="Arial Narrow"/>
        <color theme="1"/>
        <sz val="10.0"/>
      </rPr>
      <t>(19), Article 6474. https://doi.org/10.3390/ma16196474 WOS:001084035500001.</t>
    </r>
  </si>
  <si>
    <t>https://www.mdpi.com/1996-1944/16/19/6474</t>
  </si>
  <si>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Tribologia-Finnish Journal of Tribology</t>
    </r>
    <r>
      <rPr>
        <rFont val="Arial Narrow"/>
        <color theme="1"/>
        <sz val="10.0"/>
      </rPr>
      <t>,</t>
    </r>
    <r>
      <rPr>
        <rFont val="Arial Narrow"/>
        <i/>
        <color theme="1"/>
        <sz val="10.0"/>
      </rPr>
      <t xml:space="preserve"> 40</t>
    </r>
    <r>
      <rPr>
        <rFont val="Arial Narrow"/>
        <color theme="1"/>
        <sz val="10.0"/>
      </rPr>
      <t xml:space="preserve">(1), 4-17. https://doi.org/10.30678/fjt.127844 </t>
    </r>
  </si>
  <si>
    <r>
      <rPr>
        <rFont val="Arial Narrow"/>
        <color theme="1"/>
        <sz val="10.0"/>
      </rPr>
      <t xml:space="preserve">TRZEPIECIŃSKI, T., &amp; SZPUNAR, M. (2023). Prediction Of The Coefficient Of Friction In The Single Point Incremental Forming Of Truncated Cones From A Grade 2 Titanium Sheet [Review]. </t>
    </r>
    <r>
      <rPr>
        <rFont val="Arial Narrow"/>
        <i/>
        <color theme="1"/>
        <sz val="10.0"/>
      </rPr>
      <t>Tribologia-Finnish Journal of Tribology</t>
    </r>
    <r>
      <rPr>
        <rFont val="Arial Narrow"/>
        <color theme="1"/>
        <sz val="10.0"/>
      </rPr>
      <t>,</t>
    </r>
    <r>
      <rPr>
        <rFont val="Arial Narrow"/>
        <i/>
        <color theme="1"/>
        <sz val="10.0"/>
      </rPr>
      <t xml:space="preserve"> 40</t>
    </r>
    <r>
      <rPr>
        <rFont val="Arial Narrow"/>
        <color theme="1"/>
        <sz val="10.0"/>
      </rPr>
      <t xml:space="preserve">(1), 4-17. https://doi.org/10.30678/fjt.127844 </t>
    </r>
  </si>
  <si>
    <t>COFARU, II (ULBS), OLEKSIK, M. (ULBS), COFARU, N. F. (ULBS), BRANESCU, A. H. (ULBS), HASEGAN, A. (ULBS), ROMAN, M. D.(ULBS), FLEACA, S. R. (ULBS), &amp; DOBROTA, R. D. (Spitalul Universitar de Urgență Militar Central Carol Davila București)</t>
  </si>
  <si>
    <t>A Computer-Assisted Approach Regarding the Optimization of the Geometrical Planning of Medial Opening Wedge High Tibial Osteotomy, Applied-Sciences Basel, 12(13), 2022, article number 6636, https://doi.org/10.3390/app12136636, WOS:000822293000001</t>
  </si>
  <si>
    <r>
      <rPr>
        <rFont val="Arial Narrow"/>
        <color theme="1"/>
        <sz val="10.0"/>
      </rPr>
      <t xml:space="preserve">ZHONG, R., YU, G., WANG, Y. M., FANG, C., LU, S., LIU, Z. L., GAO, J. Y., YAN, C. Y., &amp; ZHAO, Q. C. (2023). Research on the Influence of the Allogeneic Bone Graft in Postoperative Recovery After MOWHTO: A Retrospective Study. </t>
    </r>
    <r>
      <rPr>
        <rFont val="Arial Narrow"/>
        <i/>
        <color theme="1"/>
        <sz val="10.0"/>
      </rPr>
      <t>Therapeutics and Clinical Risk Management</t>
    </r>
    <r>
      <rPr>
        <rFont val="Arial Narrow"/>
        <color theme="1"/>
        <sz val="10.0"/>
      </rPr>
      <t>,</t>
    </r>
    <r>
      <rPr>
        <rFont val="Arial Narrow"/>
        <i/>
        <color theme="1"/>
        <sz val="10.0"/>
      </rPr>
      <t xml:space="preserve"> 19</t>
    </r>
    <r>
      <rPr>
        <rFont val="Arial Narrow"/>
        <color theme="1"/>
        <sz val="10.0"/>
      </rPr>
      <t>, 193-205. https://doi.org/10.2147/tcrm.S400354 WOS:000937234100001.</t>
    </r>
  </si>
  <si>
    <t>DOBROTA, D., OLEKSIK, M., &amp; CHICEA, A. L. (toți ULBS)</t>
  </si>
  <si>
    <t>Ecodesign of the Aluminum Bronze Cutting Process, Materials, 2022, 15(8), article number 2735, https://doi.org/10.3390/ma15082735, WOS:000786980300001</t>
  </si>
  <si>
    <r>
      <rPr>
        <rFont val="Arial Narrow"/>
        <color theme="1"/>
        <sz val="10.0"/>
      </rPr>
      <t xml:space="preserve">LAZAR, S., DOBROTA, D., BREAZ, R. E., &amp; RACZ, S. G. (2023). Eco-Design of Polymer Matrix Composite Parts: A Review. </t>
    </r>
    <r>
      <rPr>
        <rFont val="Arial Narrow"/>
        <i/>
        <color theme="1"/>
        <sz val="10.0"/>
      </rPr>
      <t>Polymers</t>
    </r>
    <r>
      <rPr>
        <rFont val="Arial Narrow"/>
        <color theme="1"/>
        <sz val="10.0"/>
      </rPr>
      <t>,</t>
    </r>
    <r>
      <rPr>
        <rFont val="Arial Narrow"/>
        <i/>
        <color theme="1"/>
        <sz val="10.0"/>
      </rPr>
      <t xml:space="preserve"> 15</t>
    </r>
    <r>
      <rPr>
        <rFont val="Arial Narrow"/>
        <color theme="1"/>
        <sz val="10.0"/>
      </rPr>
      <t>(17), Article 3634. https://doi.org/10.3390/polym15173634 WOS:001061188300001.</t>
    </r>
  </si>
  <si>
    <t>Heinisch M.(MHI Ingenieurgesellschaft mbH, B+H Solutions GmbH, Germania), Jacome J.(B+H Solutions GmbH, Germania), Miricescu D. (ULBS)</t>
  </si>
  <si>
    <t>Current Experience with Application of Metal-based Nanofertilizers</t>
  </si>
  <si>
    <r>
      <rPr>
        <rFont val="Arial Narrow"/>
        <color theme="1"/>
        <sz val="10.0"/>
      </rPr>
      <t xml:space="preserve">Saraiva, R; Ferreira, Q; Rodrigues, GC; Oliveira, M </t>
    </r>
    <r>
      <rPr>
        <rFont val="Arial Narrow"/>
        <i/>
        <color theme="1"/>
        <sz val="10.0"/>
      </rPr>
      <t>Nanofertilizer Use for Adaptation and Mitigation of the Agriculture/Climate Change Dichotomy Effects</t>
    </r>
    <r>
      <rPr>
        <rFont val="Arial Narrow"/>
        <color theme="1"/>
        <sz val="10.0"/>
      </rPr>
      <t>, Climate, Volume11, Issue 6
DOI10.3390/cli11060129, Art number 129, June 2023</t>
    </r>
  </si>
  <si>
    <t>https://www.mdpi.com/2225-1154/11/6/129</t>
  </si>
  <si>
    <t>WoS
WOS:001016981100001</t>
  </si>
  <si>
    <t>Miricescu Dan</t>
  </si>
  <si>
    <r>
      <rPr>
        <rFont val="Arial Narrow"/>
        <color theme="1"/>
        <sz val="10.0"/>
      </rPr>
      <t xml:space="preserve">Szuplewska A,
Sikorski J, Matczuk M,  Ruzik L,
Bernhard K. Keppler B. K., Timerbaev A. R.,
Jarosz M. - </t>
    </r>
    <r>
      <rPr>
        <rFont val="Arial Narrow"/>
        <i/>
        <color theme="1"/>
        <sz val="10.0"/>
      </rPr>
      <t xml:space="preserve">Enhanced edible plant production using nano-manganese and nano-iron
fertilizers: Current status, detection methods and risk assessmen, </t>
    </r>
    <r>
      <rPr>
        <rFont val="Arial Narrow"/>
        <color theme="1"/>
        <sz val="10.0"/>
      </rPr>
      <t>Plant Physiology and Biochemistry
Volume 199, June 2023, 107745</t>
    </r>
  </si>
  <si>
    <t xml:space="preserve">https://www.sciencedirect.com/science/article/pii/S0981942823002565?fr=RR-2&amp;ref=pdf_download&amp;rr=88406be5c95e0549 </t>
  </si>
  <si>
    <t>WoS
WOS:001001196300001</t>
  </si>
  <si>
    <t>Petruse Radu</t>
  </si>
  <si>
    <t xml:space="preserve">Matei, A.; Pirvu, B.C.; Petruse, R.E.; Candea, C.; Zamfirescu, B.C. </t>
  </si>
  <si>
    <t>Designing a Multi-agent Control System for a Reconfigurable Manufacturing System</t>
  </si>
  <si>
    <t>Impediments and Requirements for ICT Technology Adoption in Special Machinery Engineering and Its Impact on Sustainability</t>
  </si>
  <si>
    <t>https://link.springer.com/chapter/10.1007/978-3-031-53445-4_27</t>
  </si>
  <si>
    <t>Sasa Cukovic, Radu Emanuil Petruse, Lea Buchweitz, and Gerrit Meixner.</t>
  </si>
  <si>
    <t>Supporting Diagnosis and Treatment of Scoliosis: Using Augmented Reality to Calculate 3D Spine Models in Real-Time - ARScoliosis</t>
  </si>
  <si>
    <t>Segmentation of Vertebral X-ray Image Based on Recurrent Residual Skip Connection Structure</t>
  </si>
  <si>
    <t>https://dl.acm.org/doi/10.1145/3627377.3627447</t>
  </si>
  <si>
    <t>The Application of Virtual Reality Using Kinect Sensor in Biomedical and Healthcare Environment: A Review</t>
  </si>
  <si>
    <t>https://link.springer.com/chapter/10.1007/978-981-97-1463-6_2</t>
  </si>
  <si>
    <t>Petruse, R.E., Brîndaşu, P.D.</t>
  </si>
  <si>
    <t>Augmented Reality Applied in Machining Processes and Cutting Tools Management</t>
  </si>
  <si>
    <t>Application of Fuzzy Case-Based Reasoning and Fuzzy Analytic Hierarchy Process for Machining Cutter Planning and Control</t>
  </si>
  <si>
    <t>https://www.scopus.com/record/display.uri?eid=2-s2.0-85175340005&amp;origin=resultslist&amp;sort=plf-f&amp;src=s&amp;sid=9db89847fc7cc189734918284387f8dd&amp;sot=b&amp;sdt=b&amp;s=TITLE-ABS-KEY%28Application+of+Fuzzy+Case-Based+Reasoning+and+Fuzzy+Analytic+Hierarchy+Process+for+Machining+Cutter+Planning+and+Control%29&amp;sl=110&amp;sessionSearchId=9db89847fc7cc189734918284387f8dd&amp;relpos=0</t>
  </si>
  <si>
    <t>Pămărac, R.; Petruse, R</t>
  </si>
  <si>
    <t>Study Regarding the Optimal Milling Parameters for Finishing 3D Printed Parts from ABS and PLA Materials</t>
  </si>
  <si>
    <t>Process Parameter Optimization for Hybrid Manufacturing of PLA Components with Improved Surface Quality</t>
  </si>
  <si>
    <t>https://www.mdpi.com/2073-4360/15/17/3610</t>
  </si>
  <si>
    <t>3D Printing and CNC Machining: Materials, Technologies, and Process Parameters</t>
  </si>
  <si>
    <t>https://link.springer.com/chapter/10.1007/978-3-031-46432-4_23</t>
  </si>
  <si>
    <t>Effects of milling parameters on roughness and burr formation in 3D- printed PLA components</t>
  </si>
  <si>
    <t>https://www.sciencedirect.com/science/article/pii/S1877050922024413?via%3Dihub</t>
  </si>
  <si>
    <t>Cofaru, N.F.; Pascu, A.; Oleksik, M.; Petruse, R. </t>
  </si>
  <si>
    <t>Tensile Properties of 3D-printed Continuous-Fiber-Reinforced Plastics</t>
  </si>
  <si>
    <t>Experimental Characterization of Composite-Printed Materials for the Production of Multirotor UAV Airframe Parts</t>
  </si>
  <si>
    <t>Strength of Onyx-based composite 3D printing materials according to fiber reinforcement</t>
  </si>
  <si>
    <t>CHARACTERISATION OF PLA-PMMA LAMINATE WITHOUT
RESIN FABRICATED BY FDM</t>
  </si>
  <si>
    <t>Study of walls’ influence on the mechanical properties of 3D
printed onyx parts: Experimental, analytical and
numerical investigations</t>
  </si>
  <si>
    <t>Additive Manufacturing for Polymers</t>
  </si>
  <si>
    <t>https://books.google.ro/books?hl=en&amp;lr=&amp;id=GRTdEAAAQBAJ&amp;oi=fnd&amp;pg=PP1&amp;ots=sTbkGqTIaQ&amp;sig=L8vwwSQvXsNBzliVUqxAHUUnhcM&amp;redir_esc=y#v=onepage&amp;q&amp;f=false</t>
  </si>
  <si>
    <t>A Study on the Effect of Fiber Orientation on the Strength and Failure of 3D-Printed Carbon Fiber Reinforced Polymers </t>
  </si>
  <si>
    <t>https://asmedigitalcollection.asme.org/IMECE/proceedings/IMECE2023/87615/V004T04A068/1195728</t>
  </si>
  <si>
    <t>Experimental Analysis of Fiber Reinforcement Rings’ Effect on Tensile and Flexural Properties of Onyx™–Kevlar® Composites Manufactured by Continuous Fiber Reinforcement</t>
  </si>
  <si>
    <t xml:space="preserve">ANDREEA ANGELA ŞTEŢIU, VALENTIN OLEKSIK, MIRCEA ŞTEŢIU, RADU PETRUSE, MIHAI BURLIBAŞA, MIHAELA CERNUŞCĂ-MIŢARIU, ILEANA IONESCU </t>
  </si>
  <si>
    <t>Finite element analysis of stress in oral mucosa and titanium mesh interface</t>
  </si>
  <si>
    <t>Radu Petruse, Alexandru Matei, Marco Kayser, Michael Maier, Sasa Ćuković</t>
  </si>
  <si>
    <t>Academia-industry Collaboration for Augmented Reality Application Development</t>
  </si>
  <si>
    <t>A systematic review on the use of augmented reality in management and business</t>
  </si>
  <si>
    <t>https://www.sciencedirect.com/science/article/pii/S1877050923012310?via%3Dihub</t>
  </si>
  <si>
    <t>Petruse, R.E., Grecu, V., Chiliban, B.M.</t>
  </si>
  <si>
    <t>Augmented reality applications in the transition towards the sustainable organization</t>
  </si>
  <si>
    <t>Charting the Course of AI in Business Sustainability: A Bibliometric Analysis</t>
  </si>
  <si>
    <t>https://www.scopus.com/record/display.uri?eid=2-s2.0-85182703275&amp;origin=resultslist&amp;sort=plf-f&amp;src=s&amp;sid=9db89847fc7cc189734918284387f8dd&amp;sot=b&amp;sdt=b&amp;s=TITLE-ABS-KEY%28Charting+the+Course+of+AI+in+Business+Sustainability%3A+A+Bibliometric+Analysis%29&amp;sl=110&amp;sessionSearchId=9db89847fc7cc189734918284387f8dd&amp;relpos=0</t>
  </si>
  <si>
    <t>Ileana Ioana Cofaru (ULBS), Mihaela Oleksik (ULBS), Nicolae Florin Cofaru (ULBS), Andrei Horia Brănescu (ULBS), Adrian Hașegan (ULBS), Mihai Dan Roman (ULBS), Sorin Radu Fleacă (ULBS), Robert Daniel DOBROTĂ (Spitalul Universitar de Urgenţă Militar Central “Dr. Carol Davila”)</t>
  </si>
  <si>
    <t>A computer-assisted approach regarding the optimization of the geometrical planning of medial opening wedge high tibial osteotomy</t>
  </si>
  <si>
    <t>Rui Zhong, Gang Yu, Yingming Wang, Chao Fang, Shuai Lu, Zhilin Liu, Jingyu Gao, Chengyuan Yan &amp; Qichun Zhao, Research on the Influence of the Allogeneic Bone Graft in Postoperative Recovery After MOWHTO: A Retrospective Study, Therapeutics and Clinical Risk Management 
Volume 19, 2023</t>
  </si>
  <si>
    <t>https://www.tandfonline.com/doi/epub/10.2147/TCRM.S400354?needAccess=true</t>
  </si>
  <si>
    <t>Branescu Horia</t>
  </si>
  <si>
    <t>Grecu V (ULBS) si Denes C (ULBS)</t>
  </si>
  <si>
    <t>Denes Calin</t>
  </si>
  <si>
    <t>Dobrotă, D. (ULBS), Dobrotă, G. (U. C Brâncuși Târgu Jiu), Dobrescu, T. (UPB)</t>
  </si>
  <si>
    <t>Improvement of waste tyre recycling technology based on a new tyre markings, (2020) Journal of Cleaner Production, 260, art. no. 121141. doi: 10.1016/j.jclepro.2020.121141</t>
  </si>
  <si>
    <t>Islam, M.R., Ruponti, S.A., Rakib, M.A. et al. Current scenario and challenges of plastic pollution in Bangladesh: a focus on farmlands and terrestrial ecosystems. Front. Environ. Sci. Eng. 17, 66 (2023). https://doi.org/10.1007/s11783-023-1666-4</t>
  </si>
  <si>
    <t>https://link.springer.com/article/10.1007/s11783-023-1666-4#citeas</t>
  </si>
  <si>
    <t>Zefeng Wang, Jinwen Zhong, Chao Pan, Yutao Jiang, Application of supercritical carbon dioxide jet to recycle waste tire rubber: An experimental and optimization study,The Journal of Supercritical Fluids,
Volume 192, 2023, 105790, https://doi.org/10.1016/j.supflu.2022.105790.</t>
  </si>
  <si>
    <t>https://www.sciencedirect.com/science/article/pii/S089684462200273X</t>
  </si>
  <si>
    <t>Dobrota, D. (ULBS); Dobrota, G. (U. C. Brâncuși Târgu Jiu)</t>
  </si>
  <si>
    <t xml:space="preserve"> Reducing of Energy Consumption by Improving the Reclaiming Technology in Autoclave of a Rubber Wastes. Energies 2019, 12, 1460</t>
  </si>
  <si>
    <t>Gschwind, L.; Jordan, C.-S. Upscaling of a Mechanochemical Devulcanization Process for EPDM Rubber Waste from a Batch to a Continuous System. Recycling 2023, 8, 8. https://doi.org/10.3390/recycling8010008</t>
  </si>
  <si>
    <t>https://www.mdpi.com/2313-4321/8/1/8</t>
  </si>
  <si>
    <t>Dobrotă, D. (ULBS), Dobrotă, G. (U. C. Brâncuși Târgu Jiu), Dobrescu, T. (UPB)</t>
  </si>
  <si>
    <t>Álvarez, M.; Ferrández, D.; Guijarro-Miragaya, P.; Morón, C. Characterization and under Water Action Behaviour of a New Plaster-Based Lightened Composites for Precast. Materials 2023, 16, 872. https://doi.org/10.3390/ma16020872</t>
  </si>
  <si>
    <t>https://www.mdpi.com/1996-1944/16/2/872</t>
  </si>
  <si>
    <t>C. Modrogan (UPB), A.M. Pandele (UPB), C. Bobirică (UPB), D. Dobrotǎ (ULBS), A.M. Dăncilă (UPB), G. Gârleanu (UPB), O.D. Orbuleţ (UPB), C. Borda (UPB), D. Gârleanu (UPB), C. Orbeci (UPB)</t>
  </si>
  <si>
    <t xml:space="preserve"> Synthesis, characterization and sorption capacity examination for a novel hydrogel composite based on gellan gum and graphene oxide (GG/GO), Polymers, 12 (5) (2020), p. 1182</t>
  </si>
  <si>
    <t>Ahmed M. Elgarahy, Hamida Y. Mostafa, Elsayed G. Zaki, Shymaa M. ElSaeed, Khalid Z. Elwakeel, Abdullah Akhdhar, Eric Guibal, Methylene blue removal from aqueous solutions using a biochar/gellan gum hydrogel composite: Effect of agitation mode on sorption kinetics, International Journal of Biological Macromolecules, 2023, 123355, https://doi.org/10.1016/j.ijbiomac.2023.123355.</t>
  </si>
  <si>
    <t>https://www.sciencedirect.com/science/article/pii/S0141813023002416?via%3Dihub</t>
  </si>
  <si>
    <t>Siddiqui, I.H. (U.S); Alshehri, H.(U.S); Orfi, J.(U.S.); Ali, M. (U.S.); Dobrotă, D. (ULBS)</t>
  </si>
  <si>
    <t xml:space="preserve">Computational Fluid Dynamics (CFD) Simulation of Inclusion Motion under Interfacial Tension in a Flash Welding Process. Metals 2021, 11, 1073. </t>
  </si>
  <si>
    <t>Siddiqui, M.I.H.; Arifudin, L.; Alnaser, I.A.; Ali, M.A.; Alluhydan, K. Modeling of Interfacial Tension and Inclusion Motion Behavior in Steelmaking Continuous Casting Mold. Materials 2023, 16, 968. https://doi.org/10.3390/ma16030968</t>
  </si>
  <si>
    <t>https://www.mdpi.com/1996-1944/16/3/968</t>
  </si>
  <si>
    <t>Gârleanu, D. (UPB); Borda, C. (UPB); Gârleanu, G. (UPB); Modrogan, C. (UPB); Dumitraș, M. (UPB); Dobrotă, D. (ULBS); Racz, S.-G. (ULBS); Dascălu, L.C. (UPB)</t>
  </si>
  <si>
    <t xml:space="preserve"> Increasing the Durability of Trimming Dies Used to Clean Anodes in the Aluminum Industry. Metals 2021, 11, 1157. https://doi.org/10.3390/met11081157</t>
  </si>
  <si>
    <t xml:space="preserve"> Liu, S., Wei, Y., Li, Z. et al., Research on Repairing Edge of Trimming Die with Arc Welding Robot. Trans Indian Inst Met (2023). https://doi.org/10.1007/s12666-022-02832-x</t>
  </si>
  <si>
    <t>https://link.springer.com/article/10.1007/s12666-022-02832-x</t>
  </si>
  <si>
    <t>Dobrotă Dan  (ULBS), Dobrotă Gabriela (U. C. Brâncuși Târgu Jiu)</t>
  </si>
  <si>
    <t>An innovative method in the regeneration of waste rubber and the sustainable development, . J Cleaner Prod, 2017, 172（4 3591-3599.</t>
  </si>
  <si>
    <t>Jing YAO, Ming-Ming, Preparation and Properties of Reclaimed Rubber Based on Passenger Car Tire Tread Powder, Chinese Journal of Applied Chemistry ›› 2023, Vol. 40 ›› Issue (1): 52-58.</t>
  </si>
  <si>
    <t>http://yyhx.ciac.jl.cn/EN/10.19894/j.issn.1000-0518.210536</t>
  </si>
  <si>
    <t>D. Dobrotă  (ULBS)</t>
  </si>
  <si>
    <t>Optimizing the shape of welded constructions made through the technique “temper bead welding”
Metals, 10 (12) (2020), p. 1655, 10.3390/met10121655</t>
  </si>
  <si>
    <t>Sajjad Barzegar-Mohammadi, Mohammad Haghpanahi, Mostafa Zeinoddini, Reza Miresmaeili, Effects of TIG dressing, PWHT and temper bead techniques on microstructure and fatigue strength of fillet welded steel patch repairs: an experimental investigation, Journal of Materials Research and Technology, Volume 22, 2023, Pages 3442-3462,</t>
  </si>
  <si>
    <t>https://www.sciencedirect.com/science/article/pii/S223878542202035X</t>
  </si>
  <si>
    <t xml:space="preserve">Dobrotă, D.(ULBS), Dobrotă, G. (U. C. Brâncuși Târgu Jiu), Dobrescu, T. (UPB) </t>
  </si>
  <si>
    <t>Ružickij, R.; Kizinievič, O.; Grubliauskas, R.; Astrauskas, T. Development of Composite Acoustic Panels of Waste Tyre Textile Fibres and Paper Sludge. Sustainability 2023, 15, 2799. https://doi.org/10.3390/su15032799</t>
  </si>
  <si>
    <t>https://www.mdpi.com/2071-1050/15/3/2799</t>
  </si>
  <si>
    <r>
      <rPr>
        <rFont val="Arial Narrow"/>
        <color theme="1"/>
        <sz val="10.0"/>
      </rPr>
      <t>Gajdosikova, D.; Lăzăroiu, G.; Valaskova, K. How Particular Firm-Specific Features Influence Corporate Debt Level: A Case Study of Slovak Enterprises. </t>
    </r>
    <r>
      <rPr>
        <rFont val="Arial Narrow"/>
        <i/>
        <color rgb="FF333333"/>
        <sz val="10.0"/>
      </rPr>
      <t>Axioms</t>
    </r>
    <r>
      <rPr>
        <rFont val="Arial Narrow"/>
        <color rgb="FF333333"/>
        <sz val="10.0"/>
      </rPr>
      <t> 2023, </t>
    </r>
    <r>
      <rPr>
        <rFont val="Arial Narrow"/>
        <i/>
        <color rgb="FF333333"/>
        <sz val="10.0"/>
      </rPr>
      <t>12</t>
    </r>
    <r>
      <rPr>
        <rFont val="Arial Narrow"/>
        <color rgb="FF333333"/>
        <sz val="10.0"/>
      </rPr>
      <t>, 183. https://doi.org/10.3390/axioms12020183</t>
    </r>
  </si>
  <si>
    <t>Dăncilă, A.M. (UPB); Căprărescu, S. (UPB); Bobiricǎ, C.(UPB); Purcar, V.(UPB); Gârleanu, G.(UPB); Vasile, E.(UPB); Modrogan, C.(UPB); Borda, C.(UPB); Dobrotǎ, D. (ULBS)</t>
  </si>
  <si>
    <t xml:space="preserve">Optimization of the Technological Parameters for Obtaining Zn-Ti Based Composites to Increase the Performance of H2S Removal from Syngas. </t>
  </si>
  <si>
    <t>Zhukov, A.; Alexandrov, S.; Rodionova, V.; Zhukova, V. Special Issue “Advances in Innovative Engineering Materials and Processes”. Processes 2023, 11, 578. https://doi.org/10.3390/pr11020578</t>
  </si>
  <si>
    <t>https://www.mdpi.com/2227-9717/11/2/578</t>
  </si>
  <si>
    <t>Dan Dobrotă (ULBS), Gabriela Dobrotă (U. C. Brâncuși Târgu Jiu)</t>
  </si>
  <si>
    <t>Reducing of Energy Consumption by Improving the Reclaiming Technology in Autoclave of a Rubber Wastes</t>
  </si>
  <si>
    <t>Gschwind, L., Jordan, C.-S., Vennemann, N., Susoff, M. L., J. Appl. Polym. Sci. 2023, e53768. https://doi.org/10.1002/app.53768</t>
  </si>
  <si>
    <t>https://onlinelibrary.wiley.com/doi/10.1002/app.53768</t>
  </si>
  <si>
    <t>D’Amora, U.; Ronca, A.; Scialla, S.; Soriente, A.; Manini, P.; Phua, J.W.; Ottenheim, C.; Pezzella, A.; Calabrese, G.; Raucci, M.G.; Ambrosio, L. Bioactive Composite Methacrylated Gellan Gum for 3D-Printed Bone Tissue-Engineered Scaffolds. Nanomaterials 2023, 13, 772. https://doi.org/10.3390/nano13040772</t>
  </si>
  <si>
    <t>https://www.mdpi.com/2079-4991/13/4/772</t>
  </si>
  <si>
    <t>Susik, A.; Rodak, A.; Cañavate, J.; Colom, X.; Wang, S.; Formela, K. Processing, Mechanical and Morphological Properties of GTR Modified by SBS Copolymers. Materials 2023, 16, 1788. https://doi.org/10.3390/ma16051788</t>
  </si>
  <si>
    <t>https://www.mdpi.com/1996-1944/16/5/1788</t>
  </si>
  <si>
    <t>Naeim Farouk, Azher M. Abed, Pradeep Kumar Singh, H. Elhosiny Ali, Bader Alshuraiaan, Van Giao Nguyen, Makatar Wae-hayee, Dinh Tuyen Nguyen, M.A. El Bouz, Thermal performance analysis of artificially roughened solar air heater under turbulent pulsating flow with various wave shapes, Case Studies in Thermal Engineering, Volume 41, 2023, 102664, https://doi.org/10.1016/j.csite.2022.102664.</t>
  </si>
  <si>
    <t>https://www.sciencedirect.com/science/article/pii/S2214157X22009017</t>
  </si>
  <si>
    <t>Leonid Vasiliu, Osman Gencel, Ioan Damian, Maria Harja,
Capitalization of tires waste as derived fuel for sustainable cement production,
Sustainable Energy Technologies and Assessments,
Volume 56,
2023,
103104,
ISSN 2213-1388,
https://doi.org/10.1016/j.seta.2023.103104.</t>
  </si>
  <si>
    <t>https://www.sciencedirect.com/science/article/abs/pii/S2213138823000978?via%3Dihub</t>
  </si>
  <si>
    <t>Anil Singh Yadav, Tabish Alam, Abhishek Sharma, Rajiv Saxena, Vipin Shrivastava, Rajan Kumar, Yogesh Agrawal, Subhendu Chakroborty, A revisit to recent development in enhancement of thermal and hydraulic performance of solar air heater, Materials Today: Proceedings, 2023, ISSN 2214-7853, https://doi.org/10.1016/j.matpr.2023.02.374.</t>
  </si>
  <si>
    <t>https://www.sciencedirect.com/science/article/pii/S2214785323009380</t>
  </si>
  <si>
    <t>Bendic, V. (UPB); Dobrotă, D. (ULBS)</t>
  </si>
  <si>
    <t xml:space="preserve"> Theoretical and Experimental Contributions on the Use of Smart Composite Materials in the Construction of Civil Buildings with Low Energy Consumption. Energies 2018, 11, 2310</t>
  </si>
  <si>
    <t>Hinojosa, J.F.; Moreno, S.F.; Maytorena, V.M. Low-Temperature Applications of Phase Change Materials for Energy Storage: A Descriptive Review. Energies 2023, 16, 3078. https://doi.org/10.3390/en16073078</t>
  </si>
  <si>
    <t>https://www.mdpi.com/1996-1073/16/7/3078</t>
  </si>
  <si>
    <t>Jaldo Serrano, E.; López-Sánchez, J.; García-Galván, F.; Serrano, A.; Rodríguez de la Fuente, Ó.; Barranco, V.; Galván, J.C.; Carmona, N. Evaluation of Low-Toxic Hybrid Sol-Gel Coatings with Organic pH-Sensitive Inhibitors for Corrosion Protection of AA2024 Aluminium Alloy. Gels 2023, 9, 294. https://doi.org/10.3390/gels9040294</t>
  </si>
  <si>
    <t>Karmveer, N. K. G., M. Irfanul Haque Siddiqui, D. Dobrotă, T. Alam, M. Ashraf Ali, and J. Orfi.</t>
  </si>
  <si>
    <t>The effect of roughness in absorbing materials on solar air heater performance. Materials 15 (9): 2022, 3088. doi:10.3390/MA15093088</t>
  </si>
  <si>
    <t xml:space="preserve">
Ankush Hedau, R. P. Saini, A review on artificial roughened solar air heaters with and without thermal energy storage, International Journal of Green Energy, Published online: 02 Apr 2023, https://doi.org/10.1080/15435075.2023.2194387
</t>
  </si>
  <si>
    <t>https://www.tandfonline.com/doi/ref/10.1080/15435075.2023.2194387?scroll=top&amp;role=tab</t>
  </si>
  <si>
    <t>Bosco, C.D., De Cesaris, M.G., Felli, N. et al. Carbon nanomaterial-based membranes in solid-phase extraction. Microchim Acta 190, 175 (2023). https://doi.org/10.1007/s00604-023-05741-y</t>
  </si>
  <si>
    <t>https://link.springer.com/article/10.1007/s00604-023-05741-y</t>
  </si>
  <si>
    <t>Danila, V., Januševičius, T. Adsorption of aqueous Pb(II) using non-devulcanized and devulcanized tyre rubber powder: a comparative study. Environ Sci Pollut Res (2023). https://doi.org/10.1007/s11356-023-27271-z</t>
  </si>
  <si>
    <t>https://link.springer.com/article/10.1007/s11356-023-27271-z#citeas</t>
  </si>
  <si>
    <t xml:space="preserve">Saha, S.; Alam, T.; Siddiqui, M.I.H.; Kumar, M.; Ali, M.A.; Gupta, N.K.; Dobrotă, D. </t>
  </si>
  <si>
    <t>Analysis of Microchannel Heat Sink of Silicon Material with Right Triangular Groove on Sidewall of Passage. Materials 2022, 15, 7020. https://doi.org/10.3390/ma15197020</t>
  </si>
  <si>
    <t>Chinmaya Mund, Sushil Kumar Rathore, Ranjit Kumar Sahoo, Experimental analysis of thermal performance of SAH with impinging jet having varying length of perforated jet plate, International Communications in Heat and Mass Transfer, Volume 145, Part A, 2023, 106809, https://doi.org/10.1016/j.icheatmasstransfer.2023.106809.</t>
  </si>
  <si>
    <t>https://www.sciencedirect.com/science/article/pii/S0735193323001987</t>
  </si>
  <si>
    <t>Abdullah, Z. T. (2023). Waste Tire Remanufacturing: Quantitative-aided Qualitative Sustainability Analysis. Environmental Quality Management, 00, 1– 12. https://doi.org/10.1002/tqem.22009</t>
  </si>
  <si>
    <t>https://onlinelibrary.wiley.com/doi/full/10.1002/tqem.220</t>
  </si>
  <si>
    <t xml:space="preserve">Karmveer; Kumar Gupta, N.; Siddiqui, M.I.H.; Dobrotă, D.; Alam, T.; Ali, M.A.; Orfi, J. </t>
  </si>
  <si>
    <t>The Effect of Roughness in Absorbing Materials on Solar Air Heater Performance. Materials 2022, 15, 3088. https://doi.org/10.3390/ma15093088</t>
  </si>
  <si>
    <t>Karmveer, Naveen Kumar Gupta, Tabish Alam, Experimental investigation of thermohydraulic performance of solar thermal collector for sustainable built environment,
Sustainable Energy Technologies and Assessments, Volume 57, 2023, 103257,</t>
  </si>
  <si>
    <t>https://www.sciencedirect.com/science/article/pii/S2213138823002503</t>
  </si>
  <si>
    <t>Singupuram, R.; Alam, T.; Ali, M.A.; Shaik, S.; Gupta, N.K.; Akkurt, N.; Kumar, M.; Eldin, S.M.; Dobrotă, D.</t>
  </si>
  <si>
    <t xml:space="preserve"> Numerical analysis of heat transfer and fluid flow in microchannel heat sinks for thermal management. Case Stud. Therm. Eng. 2023, 45, 102964</t>
  </si>
  <si>
    <t>Ivanov, Y.D.; Shumov, I.D.; Kozlov, A.F.; Ershova, M.O.; Valueva, A.A.; Ivanova, I.A.; Tatur, V.Y.; Lukyanitsa, A.A.; Ivanova, N.D.; Ziborov, V.S. Stopped Flow of Glycerol Induces the Enhancement of Adsorption and Aggregation of HRP on Mica. Micromachines 2023, 14, 1024. https://doi.org/10.3390/mi14051024</t>
  </si>
  <si>
    <t>https://www.mdpi.com/2072-666X/14/5/1024</t>
  </si>
  <si>
    <t>Wan Ting Tee, Nicholas Yung Li Loh, Billie Yan Zhang Hiew, Wee Siong Chiu, Poi Sim Khiew, Suchithra Thangalazhy-Gopakumar, Suyin Gan, Lai Yee Lee,
Design and development of a high-performance 3D graphene system for adsorptive removal of organic toxins from wastewater: Mechanisms and process optimization,
Chemical Engineering Research and Design,
2023</t>
  </si>
  <si>
    <t>https://www.sciencedirect.com/science/article/pii/S0263876223003118?via%3Dihub</t>
  </si>
  <si>
    <t>Linwei Du, Jian Zuo, Kyle O'Farrell, Ruidong Chang, George Zillante, Liancheng Li, Transnational recycling of Australian export waste: An exploratory study, Resources, Conservation and Recycling, Volume 196, 2023, 107041,</t>
  </si>
  <si>
    <t>https://www.sciencedirect.com/science/article/pii/S0921344923001775</t>
  </si>
  <si>
    <t>Kallioğlu, M.A.; Yılmaz, A.; Sharma, A.; Mohamed, A.; Dobrotă, D. (ULBS); Alam, T.; Khargotra, R.; Singh, T.</t>
  </si>
  <si>
    <t xml:space="preserve"> Optimal Insulation Assessment, Emission Analysis, and Correlation Formulation for Indian Region. Buildings 2023, 13, 569.</t>
  </si>
  <si>
    <t>Rohit Khargotra, Tabish Alam, Kyaw Thu, Kovács András, Tauseef Uddin Siddiqui, Tej Singh,
Influence of heat enhancement technique on the thermal performance of solar water heater for sustainable built environment. Start-of-the-art review,
Sustainable Energy Technologies and Assessments,
Volume 57,
2023,
103293,</t>
  </si>
  <si>
    <t>https://www.sciencedirect.com/science/article/pii/S2213138823002862</t>
  </si>
  <si>
    <t>Paulina Wiśniewska, Józef T. Haponiuk, Xavier Colom, Mohammad Reza Saeb, Green Approaches in Rubber Recycling Technologies: Present Status and Future Perspective, ACS Sustainable Chem. Eng. 2023, https://doi.org/10.1021/acssuschemeng.3c01314</t>
  </si>
  <si>
    <t>https://pubs.acs.org/doi/pdf/10.1021/acssuschemeng.3c01314</t>
  </si>
  <si>
    <t>Wenmei Zhou, Jinxu Mo, Sheng Xiang, Lei Zeng, Impact of elevated temperatures on the mechanical properties and microstructure of waste rubber powder modified polypropylene fiber reinforced concrete,
Construction and Building Materials, Volume 392, 2023, 131982,</t>
  </si>
  <si>
    <t>https://www.sciencedirect.com/science/article/abs/pii/S0950061823016963</t>
  </si>
  <si>
    <t>Raghav Singupuram, Tabish Alam, Masood Ashraf Ali, Saboor Shaik, Naveen Kumar Gupta, Nevzat Akkurt, Mukesh Kumar, Sayed M. Eldin, Dan Dobrotă (ULBS)</t>
  </si>
  <si>
    <t>Numerical analysis of heat transfer and fluid flow in microchannel heat sinks for thermal management, Case Studies in Thermal Engineering, Volume 45, 2023,</t>
  </si>
  <si>
    <t>Shivasheesh Kaushik, Subhan Ali, Nikhil Kanojia, Vipin Uniyal, Ajay Kumar Verma, Sohit Panwar, Shrish Uniyal, Subhanesh Goswami, Sushobhit Kindo, Debajit Som, Nitish Kumar Yadav,
Experimental and CFD analysis of fluid flow in rectangular strip based micro channel with nano fluid,
Materials Today: Proceedings,
2023,</t>
  </si>
  <si>
    <t>https://www.sciencedirect.com/science/article/abs/pii/S2214785323032819?via%3Dihub</t>
  </si>
  <si>
    <t>Mohammed F. Hamza, Eric Guibal, Yuezhou Wei, Amr Fouda, Khalid Althumayri, Hanaa A. Abu Khoziem, Noha M. Mashaal, Functionalization of thiosemicarbazide/gellan gum for the enhancement of cadmium removal from aqueous solutions – Grafting of tributyl phosphate derivative, Journal of Water Process Engineering, Volume 54, 2023, 103928, ISSN 2214-7144, https://doi.org/10.1016/j.jwpe.2023.103928.</t>
  </si>
  <si>
    <t>https://www.sciencedirect.com/science/article/pii/S2214714423004476</t>
  </si>
  <si>
    <t>Dobrotă D. (ULBS), Dobrotă G.(UCB), DOBRESCU T.(UPB), MOHORA C.(UPB)</t>
  </si>
  <si>
    <t>The Redesigning of Tires and the Recycling Process to Maintain an Efficient Circular Economy. Sustainability. 11
(19), 5204, 2019.</t>
  </si>
  <si>
    <t>Markéta Šourková*, Dana Adamcová, Establishing Impact of the Long-Term Action of Waste Dumps with the Occurrence
of Waste Tires on the Soil Environment, Pol. J. Environ. Stud. Vol. 32, No. 4 (2023), 1-12.</t>
  </si>
  <si>
    <t>http://www.pjoes.com/pdf-163567-91682?filename=Establishing%20Impact%20of.pdf</t>
  </si>
  <si>
    <t>Siddiqui, M.I.H. (A:s); Alshehri, H. (A.S); Orfi, J. (A.S); Ali, M.A. (A.S); Dobrotă, D. (ULBS)</t>
  </si>
  <si>
    <t xml:space="preserve"> Computational Fluid Dynamics (CFD) Simulation of Inclusion Motion under Interfacial Tension in a Flash Welding Process. Metals 2021, 11, 1073. </t>
  </si>
  <si>
    <t>Shi-Jiao Li, Li-Tao Zhu, Xi-Bao Zhang, and Zheng-Hong Luo, Recent Advances in CFD Simulations of Multiphase Flow Processes with Phase Change, Industrial &amp; Engineering Chemistry Research Article ASAP
DOI: 10.1021/acs.iecr.3c00706.</t>
  </si>
  <si>
    <t>https://pubs.acs.org/action/showCitFormats?doi=10.1021%2Facs.iecr.3c00706&amp;href=/doi/10.1021%2Facs.iecr.3c00706</t>
  </si>
  <si>
    <t>Saha, S. (AS); Alam, T.(AS); Siddiqui, M.I.H.(AS); Kumar, M.(AS); Ali, M.A.(AS); Gupta, N.K.(AS); Dobrotă, D.(ULBS)</t>
  </si>
  <si>
    <t>Sayantan Mukherjee, Sylwia Wciślik, Vidyasri Khadanga, Purna Chandra Mishra, Influence of nanofluids on the thermal performance and entropy generation of varied geometry microchannel heat sink,
Case Studies in Thermal Engineering, Volume 49, 2023, 103241</t>
  </si>
  <si>
    <t>https://www.sciencedirect.com/science/article/pii/S2214157X23005476?via%3Dihub</t>
  </si>
  <si>
    <t>Aida Atiqah Atil, Nik Normunira Mat Hassan, Fernandez Anak Julius Tungkiong, Tengku Nur Azila Raja Mamat, Fatimah Mohamed Yusop, Abdul Mutalib Leman, Izuan Amin Ishak, Adyla Illyana Roseli, Najibah Abd Latif; Physical properties of flexible polyurethane waste as filler by difference preparation method. AIP Conference Proceedings 22 May 2023; 2530 (1): 110012. https://doi.org/10.1063/5.0120890</t>
  </si>
  <si>
    <t>https://pubs.aip.org/aip/acp/article-abstract/2530/1/110012/2891672/Physical-properties-of-flexible-polyurethane-waste?redirectedFrom=PDF</t>
  </si>
  <si>
    <t xml:space="preserve">Voda, A. D. (ULBS), Dobrotă, G. (UCB), Țîrcă, D. M. (UCB), Dumitrașcu, D. D. (ULBS), Dobrotă, D.(ULBSS) </t>
  </si>
  <si>
    <t>(2021), Corporate bankruptcy
and insolvency prediction model, Technological
and Economic Development of Economy, 27(5):
1039-1056. DOI: 10.3846/tede.2021.15106.</t>
  </si>
  <si>
    <t>LUBOS ELEXA, LADISLAV KLEMENT, LENKA HVOLKOVA, Reasons for potential bankruptcy:
evidence from the construction
industry in Slovakia, Forum Scientiae Oeconomia, Volume 11 (2023), No. 2</t>
  </si>
  <si>
    <t>file:///C:/Users/ASUS%20VivoBook/Downloads/Scientiae+Oeconomia+2_2023_2%20(1).pdf</t>
  </si>
  <si>
    <t>Kumari N, Alam T, Ali MA, Yadav AS, Gupta NK, Siddiqui MIH, (AS) Dobrotă D, (ULBS) Rotaru IM, (ULBS) Sharma A. (AS)</t>
  </si>
  <si>
    <t xml:space="preserve"> A Numerical Investigation on Hydrothermal Performance of Micro Channel Heat Sink with Periodic Spatial Modification on Sidewalls. Micromachines. 2022; 13(11):1986. https://doi.org/10.3390/mi13111986</t>
  </si>
  <si>
    <t>Sayantan Mukherjee, Sylwia Wciślik, Vidyasri Khadanga, Purna Chandra Mishra, Influence of nanofluids on the thermal performance and entropy generation of varied geometry microchannel heat sink,
Case Studies in Thermal Engineering, Volume 49, 2023, 10324</t>
  </si>
  <si>
    <t>https://www.sciencedirect.com/science/article/pii/S2214157X23005476</t>
  </si>
  <si>
    <t>Saha S, Alam T, Siddiqui MIH, Kumar M, Ali MA, Gupta NK, (AS) Dobrotă D.(ULBS)</t>
  </si>
  <si>
    <t xml:space="preserve"> Analysis of Microchannel Heat Sink of Silicon Material with Right Triangular Groove on Sidewall of Passage. Materials. 2022; 15(19):7020. https://doi.org/10.3390/ma15197020</t>
  </si>
  <si>
    <t>Wenmei Zhou, Jinxu Mo, Sheng Xiang, Lei Zeng, Impact of elevated temperatures on the mechanical properties and microstructure of waste rubber powder modified polypropylene fiber reinforced concrete,
Construction and Building Materials, Volume 392, 2023, 131982, https://doi.org/10.1016/j.conbuildmat.2023.131982.</t>
  </si>
  <si>
    <t>https://www.sciencedirect.com/science/article/pii/S0950061823016963?via%3Dihub</t>
  </si>
  <si>
    <t>Linwei Du, Jian Zuo, Kyle O'Farrell, Ruidong Chang, George Zillante, Liancheng Li, Transnational recycling of Australian export waste: An exploratory study, Resources, Conservation and Recycling,
Volume 196, 2023, 107041,https://doi.org/10.1016/j.resconrec.2023.107041.</t>
  </si>
  <si>
    <t>https://www.sciencedirect.com/science/article/pii/S0921344923001775?via%3Dihub</t>
  </si>
  <si>
    <t>R. Singupuram, T. Alam, M.A. Ali, S. Shaik, N.K. Gupta, N. Akkurt, M. Kumar, S.M. Eldin, (AS) D. Dobrotă (ULBS)</t>
  </si>
  <si>
    <t>Numerical analysis of heat transfer and fluid flow in microchannel heat sinks for thermal management, Case Stud. Therm. Eng., 45 (2023), Article 102964, 10.1016/j.csite.2023.102964</t>
  </si>
  <si>
    <t>Zhao Shuqi, Yan Limei, Vishal Goyal, Sameer Alghanmi, Tamim Alkhalifah, Salem Alkhalaf, Fahad Alturise, H. Elhosiny Ali, Ahmed Deifalla, Artificial neural network-based optimization of baffle geometries for maximized heat transfer efficiency in microchannel heat sinks, Case Studies in Thermal Engineering, 2023, 103331, https://doi.org/10.1016/j.csite.2023.103331.</t>
  </si>
  <si>
    <t>https://www.sciencedirect.com/science/article/pii/S2214157X23006378?via%3Dihub</t>
  </si>
  <si>
    <t>Karmveer (AS), Gupta N.K.(AS), Md Irfanul Haque Siddiqui(AS), Dan Dobrota, Alam T(AS)., Ali M.A.(AS), Orfi J.(AS)</t>
  </si>
  <si>
    <t>Udayvir Singh; Naveen Kumar Gupta, Thermal performance and operating limitations of heat pipe with nanofluids - A review, AIP Conference Proceedings 2721, 070065 (2023)
https://doi.org/10.1063/5.0154242</t>
  </si>
  <si>
    <t>https://pubs.aip.org/aip/acp/article/2721/1/070065/2904674</t>
  </si>
  <si>
    <t>Mohammed F. Hamza, Eric Guibal, Yuezhou Wei, Amr Fouda, Khalid Althumayri, Hanaa A. Abu Khoziem, Noha M. Mashaal, Functionalization of thiosemicarbazide/gellan gum for the enhancement of cadmium removal from aqueous solutions – Grafting of tributyl phosphate derivative, Journal of Water Process Engineering, Volume 54, 2023, 103928, https://doi.org/10.1016/j.jwpe.2023.103928.</t>
  </si>
  <si>
    <t>https://www.sciencedirect.com/science/article/abs/pii/S2214714423004476?via%3Dihub</t>
  </si>
  <si>
    <t>Krzysztof Formela, Strategies for compatibilization of polymer/waste tire rubber systems prepared via melt-blending, Advanced Industrial and Engineering Polymer Research, 2023, https://doi.org/10.1016/j.aiepr.2023.08.001.</t>
  </si>
  <si>
    <t>https://www.sciencedirect.com/science/article/pii/S2542504823000519?via%3Dihub</t>
  </si>
  <si>
    <t xml:space="preserve">Shashi Rastogi,  Vinay Arya &amp;Chirodeep Bakli, Interplay of geometry and shape-engineered-nanoparticles for efficient thermal performance in forced convection-based electronic cooling, Numerical Heat Transfer, Part A: Applications, Received 21 Apr 2023, Accepted 03 Aug 2023, Published online: 30 Aug 2023, https://doi.org/10.1080/10407782.2023.2251090
</t>
  </si>
  <si>
    <t>https://www.tandfonline.com/doi/citedby/10.1080/10407782.2023.2251090?scroll=top&amp;needAccess=true&amp;role=tab</t>
  </si>
  <si>
    <t>Heeraman, J. (AS); Kumar, R. (AS); Chaurasiya, P.K.(AS); Gupta, N.K. (AS); Dobrotă, D. (ULBS)</t>
  </si>
  <si>
    <t>Develop a New Correlation between Thermal Radiation and Heat Source in Dual-Tube Heat Exchanger with a Twist Ratio Insert and Dimple Configurations: An Experimental Study. Processes 2023, 11, 860. https://doi.org/10.3390/pr11030860</t>
  </si>
  <si>
    <t>Lima, C.C.X.S.; Ochoa, A.A.V.; da Costa, J.A.P.; de Menezes, F.D.; Alves, J.V.P.; Ferreira, J.M.G.A.; Azevedo, C.C.A.; Michima, P.S.A.; Leite, G.N.P. Experimental and Computational Fluid Dynamic—CFD Analysis Simulation of Heat Transfer Using Graphene Nanoplatelets GNP/Water in the Double Tube Heat Exchanger. Processes 2023, 11, 2735. https://doi.org/10.3390/pr11092735</t>
  </si>
  <si>
    <t>https://www.mdpi.com/2227-9717/11/9/2735</t>
  </si>
  <si>
    <t>Zhenghao Ma, Chuanyi Ma, Cong Du, Shengtao Zhang, Hongbo Zhang, Xinyi Zhang, Xinya Zhang, Jun Wang, Mingzhen Tian, Yanzi Wang, Research on dynamic mechanical properties of polypropylene fiber-modified rubber foamed concrete, Construction and Building Materials, Volume 404, 2023, 133282,https://doi.org/10.1016/j.conbuildmat.2023.133282.</t>
  </si>
  <si>
    <t>https://www.sciencedirect.com/science/article/pii/S0950061823029999</t>
  </si>
  <si>
    <t>Dan Dobrotă (ULBS), Gabriela Dobrotă (UCB), Tiberiu Dobrescu (UPB)</t>
  </si>
  <si>
    <t>Improvement of waste tyre recycling technology based on a new tyre markings, Journal of Cleaner Production,
Volume 260, 2020, 121141, https://doi.org/10.1016/j.jclepro.2020.121141.</t>
  </si>
  <si>
    <t xml:space="preserve">Kotani, Kyohei, Tsunoda, Katsuhiko, Otsuka, Hideyuki, Tough and adherable styreneâ€“butadiene rubber with zinc-nitrogen coordination linkages via tetrazine click reactions, RSC Applied Polymers, 2023, 10.1039/D3LP00112A,
</t>
  </si>
  <si>
    <t>https://pubs.rsc.org/en/Content/ArticleLanding/2023/LP/D3LP00112A</t>
  </si>
  <si>
    <t>Modrogan, C. (UPB); Pandele, A.M.(UPB); Bobirică, C.(UPB); Dobrotǎ, D. (ULBS; Dăncilă, A.M.(UPB); Gârleanu, G.(UPB); Orbuleţ, O.D.(UPB); Borda, C.(UPB); Gârleanu, D.(UPB); Orbeci, C.(UPB)</t>
  </si>
  <si>
    <t xml:space="preserve"> Synthesis, Characterization and Sorption Capacity Examination for a Novel Hydrogel Composite Based on Gellan Gum and Graphene Oxide (GG/GO). Polymers 2020, 12, 1182.</t>
  </si>
  <si>
    <t>Jing, Q.; Ma, Y.; He, J.; Ren, Z. Highly Stable, Mechanically Enhanced, and Easy-to-Collect Sodium Alginate/NZVI-rGO Gel Beads for Efficient Removal of Cr(VI). Polymers 2023, 15, 3764. https://doi.org/10.3390/polym15183764</t>
  </si>
  <si>
    <t>https://www.mdpi.com/2073-4360/15/18/3764</t>
  </si>
  <si>
    <t>Rajesh Maithani (AS), Anil Kumar (AS), Masood Ashraf Ali (AS), Naveen Kumar Gupta (AS), Sachin Sharma (AS), Tabish Alam (AS), Sayed M. Eldin (AS), Javed Khan Bhutto (AS), Dan Dobrota (ULBS), Florin Cristian Ciofu (ULBS</t>
  </si>
  <si>
    <t>Exergy and sustainability analysis of a solar heat collector with wavy delta winglets as turbulent promoters: A numerical analysis,
Case Studies in Thermal Engineering, Volume 49, 2023, 103293, https://doi.org/10.1016/j.csite.2023.103293.</t>
  </si>
  <si>
    <t>Ahmed Alghamdi, Joffin Jose Ponnore, Ahmed M Hassan, Sultan Alqahtani, Sultan Alshehery, Ali E Anqi, Exergy-economic analysis of a hybrid combined supercritical Brayton cycle-organic Rankine cycle using biogas and solar PTC system as energy sources, Case Studies in Thermal Engineering, 2023, 103484, https://doi.org/10.1016/j.csite.2023.103484.</t>
  </si>
  <si>
    <t>Jianliang Jianga, Junxue Zhai, Yanqing Chen, Dongqi Zhao and Yakai Feng, A novel reprocessable chloroprene rubber based on dynamic disulfide metathesis, NTERNATIONAL JOURNAL OF SMART AND NANO MATERIALS https://doi.org/10.1080/19475411.2023.2258830, 2023</t>
  </si>
  <si>
    <t>https://www.tandfonline.com/doi/full/10.1080/19475411.2023.2258830</t>
  </si>
  <si>
    <t>de Sousa, F.D.B. (2023). Recycling of Ground Tire Rubber According to the Literature. In: Ismail, H., S. M., S., R. A., I. (eds) Recycled Polymer Blends and Composites. Springer, Cham. https://doi.org/10.1007/978-3-031-37046-5_6</t>
  </si>
  <si>
    <t>https://link.springer.com/chapter/10.1007/978-3-031-37046-5_6</t>
  </si>
  <si>
    <t>Anas Alkhazaleh, Fadi Alnaimat, Bobby Mathew, Characterization of MEMS Heat Sinks Having Straight Microchannels Integrating Square Pin-Fins for Liquid Cooling of Microelectronic Chips,
Thermal Science and Engineering Progress, 2023, 102154,https://doi.org/10.1016/j.tsep.2023.102154.</t>
  </si>
  <si>
    <t>https://www.sciencedirect.com/science/article/pii/S2451904923005073?via%3Dihub</t>
  </si>
  <si>
    <t>A. Vatsa, T. Alam, M.I.H. Siddiqui, M.A. Ali, D. Dobrota</t>
  </si>
  <si>
    <t>Performance of microchannel heat sink made of silicon material with the two-sided wedge
Materials., 15 (2022), p. 4740, 10.3390/ma15144740</t>
  </si>
  <si>
    <t>Anas Alkhazaleh, Fadi Alnaimat, Bobby Mathew, Characterization of MEMS Heat Sinks Having Straight Microchannels Integrating Square Pin-Fins for Liquid Cooling of Microelectronic Chips,
Thermal Science and Engineering Progress, 2023, 102154, https://doi.org/10.1016/j.tsep.2023.102154.</t>
  </si>
  <si>
    <t>S. Saha, T. Alam, M.I.H. Siddiqui, M. Kumar, M.A. Ali, N.K. Gupta, D. Dobrota</t>
  </si>
  <si>
    <t>Analysis of microchannel heat sink of silicon material with right triangular groove on sidewall of passage
Materials., 15 (2022),</t>
  </si>
  <si>
    <t>Karmveer, Gupta, N.K., Siddiqui, M.I.H., Dobrotă, D., Alam, T., Ali, M.A. and Orfi, J.</t>
  </si>
  <si>
    <t xml:space="preserve"> The effect of roughness in absorbing materials on solar air heater performance. Materials, 15 (9), pp.3088. 2022</t>
  </si>
  <si>
    <t>Mayank Rautela, Sohan Lal Sharma, Vijay Singh Bisht, Ajoy Debbarma, Rahul Bahuguna, Numerical Analysis of Solar Air Heater Roughened with B-Shape and D-Shape Roughness Geometry, journal of Heat and Mass Transfer Research, Volume 10, Issue 1 - Serial Number 19, June 2023, Pages 101-120</t>
  </si>
  <si>
    <t>Karmveer, Gupta, N.K., Siddiqui, M.I.H., Dobrotă, D., Alam, T., Ali, M.A. and Orfi, J., 2022. The effect of roughness in absorbing materials on solar air heater performance. Materials, 15 (9), pp.3088.</t>
  </si>
  <si>
    <t>Voda, A.D., Dobrotă, G., Dobrotă D. &amp; Dumitrașcu, D.</t>
  </si>
  <si>
    <t>Oleksik, M.; Dobrotă, D.; Tomescu, M.; Petrescu, V.</t>
  </si>
  <si>
    <t xml:space="preserve"> Improving the Performance of Steel Machining Processes through Cutting by Vibration Control. Materials 2021, 14, 5712. https://doi.org/10.3390/ma14195712</t>
  </si>
  <si>
    <t>Leleń, M.; Biruk-Urban, K.; Józwik, J.; Tomiło, P. Modeling and Machine Learning of Vibration Amplitude and Surface Roughness after Waterjet Cutting. Materials 2023, 16, 6474. https://doi.org/10.3390/ma16196474</t>
  </si>
  <si>
    <t>Shashank Singh, Anup Malik, Harlal Singh Mali, A critical review on single-phase thermo-hydraulic enhancement in geometrically modified microchannel devices, Applied Thermal Engineering, 2023,
121729, https://doi.org/10.1016/j.applthermaleng.2023.121729.</t>
  </si>
  <si>
    <t>https://www.sciencedirect.com/science/article/abs/pii/S1359431123017581</t>
  </si>
  <si>
    <t xml:space="preserve"> Experimental evaluation of diesel blends mixed with municipal plastic waste pyrolysis oil on performance and emission characteristics of CI engine, Case Studies in Thermal Engineering, Volume 47, 2023, 103074, https://doi.org/10.1016/j.csite.2023.103074.</t>
  </si>
  <si>
    <t>Rex, P., Miranda, L.R. Co-pyrolysis of real-world plastics polystyrene, polypropylene and low-density polyethylene, its thermal behaviour and kinetic studies. Int. J. Environ. Sci. Technol. (2023). https://doi.org/10.1007/s13762-023-05227-7</t>
  </si>
  <si>
    <t>https://link.springer.com/article/10.1007/s13762-023-05227-7#citeas</t>
  </si>
  <si>
    <t>Fatimah Noaman Ghadhban, Hayder Mohammad Jaffal, Numerical and experimental thermohydraulic performance evaluation of multi-minichannel heat sinks considering channel structure modification,
International Communications in Heat and Mass Transfer, Volume 1</t>
  </si>
  <si>
    <t>https://pubs.aip.org/aip/pof/article-abstract/35/10/102015/2916680/Study-on-heat-transfer-and-pressure-drop?redirectedFrom=fulltext</t>
  </si>
  <si>
    <t>Gururaj Lalagi, P. B. Nagaraj, Vinayak Talugeri, Mallikarjuna Veerabhadrappa Bidari; Study on heat transfer and pressure drop characteristics for nanofluids in microchannel heat exchangers. Physics of Fluids 1 October 2023; 35 (10): 102015.</t>
  </si>
  <si>
    <t>https://pubs.aip.org/aip/pof/article/35/10/102015/2916680</t>
  </si>
  <si>
    <t xml:space="preserve">Parvez, S., Siddiqui, M.I.H., Ali, M.A., Dobrotă, D. </t>
  </si>
  <si>
    <t>Parvez, S., Siddiqui, M.I.H., Ali, M.A., Dobrotă, D. (2021) Modeling of melt flow and Heat transfer in stationary gas tungsten arc Welding with vertical and tilted torches. Materials (Basel), 14(22), 6845, 2021</t>
  </si>
  <si>
    <t>Nurzhanova Oxana, Zharkevich Olga, Bessonov Alexander, Naboko Yelena, Abdugaliyeva Gulnur, Taimanova Gulnara, Nikonova Tatyana, Simulation of the distribution of temperature, stresses and deformations during splined shafts hardfacing, Journal of Applied Engineering Science
2023, vol. 21, iss. 3, pp. 837-845</t>
  </si>
  <si>
    <t>https://scindeks.ceon.rs/Article.aspx?artid=1451-41172303837N&amp;lang=en</t>
  </si>
  <si>
    <t>Riyadh Hasan Mohammed Ali, Chou-Yi Hsu, Karkaz M. Thalij, Raed H. Althomali, Sherzod Abdullaev, Sajjad Firas Abdulameer, Ahmed Hussien Alawadi, Ali Alsaalamy, Farah A. Dawood, Nahed Mahmood Ahmed,
An efficient magnetic nanoadsorbent based on functionalized graphene oxide with gellan gum hydrogel embedded with MnFe layered double hydroxide for adsorption of Indigo carmine from water,
International Journal of Biological Macromolecules, 2023, 127479, https://doi.org/10.1016/j.ijbiomac.2023.127479.</t>
  </si>
  <si>
    <t>https://www.sciencedirect.com/science/article/abs/pii/S0141813023043763?via%3Dihub</t>
  </si>
  <si>
    <t>https://www.igi-global.com/gateway/chapter/332901</t>
  </si>
  <si>
    <t>Ocolisanu, A. (Curtea de Conturi), Dobrota, G. (UCB), Dobrota, D. (ULBS)</t>
  </si>
  <si>
    <t>The Effects of Public Investment on Sustainable Economic Growth: Empirical Evidence from Emerging Countries in Central
and Eastern Europe. Sustainability, Vol. 14, Iss. 14. 2022, https://doi.org/10.3390/su14148721.</t>
  </si>
  <si>
    <t>M. Li, S. Li, M. Liu and J. Zhao, "Analysis of the Impact of Government Investment on Economic Growth in Xinjiang Based on Data Mining Techniques," 2023 IEEE 7th Information Technology and Mechatronics Engineering Conference (ITOEC), Chongqing, China, 2023, pp. 499-503, doi: 10.1109/ITOEC57671.2023.10291289.</t>
  </si>
  <si>
    <t>https://ieeexplore.ieee.org/document/10291289</t>
  </si>
  <si>
    <t>A. Kumar, M.A. Ali, R. Maithani, N.K. Gupta, S. Sharma, S. Kumar, L. Sharma, R. Thakur, T. Alam, D. Dobrota, S.M. Eldin</t>
  </si>
  <si>
    <t>Experimental analysis of heat exchanger using perforated conical rings, twisted tape inserts and CuO/H2O nanofluids
Case Stud. Therm. Eng., 49 (September 2023), Article 103255</t>
  </si>
  <si>
    <t>Ganesh S. Dhumal, Sanjay N. Havaldar, Enhancing heat transfer performance in a double tube heat exchanger: Experimental study with twisted and helical tapes,
Case Studies in Thermal Engineering, Volume 51, 2023, 103613, https://doi.org/10.1016/j.csite.2023.103613</t>
  </si>
  <si>
    <t>https://www.sciencedirect.com/science/article/pii/S2214157X2300919X?via%3Dihub</t>
  </si>
  <si>
    <t>Sujata Kalsi, Sunil Kumar, Anil Kumar, Tabish Alam, Dan Dobrotă,</t>
  </si>
  <si>
    <t>Thermophysical properties of nanofluids and their potential applications in heat transfer enhancement: A review,
Arabian Journal of Chemistry,
Volume 16, Issue 11,
2023,
105272,
ISSN 1878-5352,
https://doi.org/10.1016/j.arabjc.2023.105272.</t>
  </si>
  <si>
    <t>Venkateswarlu, B, Narayana, PVS, Joo, SW. Exploration of entropy analysis and viscous dissipation on radially convective flow of (Cu-Al2O3:H2O) hybrid nanofluid over a stretching disk. Asia-Pac J Chem Eng. 2023;e3002. doi:10.1002/apj.3002</t>
  </si>
  <si>
    <t>https://onlinelibrary.wiley.com/doi/10.1002/apj.3002</t>
  </si>
  <si>
    <t xml:space="preserve">The Effect of Roughness in Absorbing Materials on Solar Air Heater Performance. Materials 2022, 15, 3088. </t>
  </si>
  <si>
    <t>Phu, N.M., Nam, L.H. &amp; Son, N.L.H. Unsteady analysis of a solar air heater with sensible heat storage using 2D finite difference approximation. J Mech Sci Technol (2023). https://doi.org/10.1007/s12206-023-1038-9</t>
  </si>
  <si>
    <t>https://link.springer.com/article/10.1007/s12206-023-1038-9</t>
  </si>
  <si>
    <t>Meena, P., Singh, S., Sharma, N. et al. Performance, combustion, and emission characteristics of bio-oil produced by in situ catalytic pyrolysis of polypropylene using spent FCC. Environ Sci Pollut Res (2023). https://doi.org/10.1007/s11356-023-30786-0</t>
  </si>
  <si>
    <t>https://link.springer.com/article/10.1007/s11356-023-30786-0</t>
  </si>
  <si>
    <t>Bhavik V. Patel, R.M. Sarviya &amp; S.P.S. Rajput (2023) Improving hydrothermal performance of a tubular heat exchanger with different types of twisted tapes using graphene nanoplatelets/water nanofluid, Energy Sources, Part A: Recovery, Utilization, and Environmental Effects, 45:4, 12695-12710, DOI: 10.1080/15567036.2023.2276383</t>
  </si>
  <si>
    <t>https://www.tandfonline.com/doi/abs/10.1080/15567036.2023.2276383</t>
  </si>
  <si>
    <t>Cheng, Y, Liu, Q, Wang, Q. Experimental and application of waste rubber low-temperature green regeneration through ultrasound-assisted method. Polym Eng Sci. 2023; 1-15. doi:10.1002/pen.26560</t>
  </si>
  <si>
    <t>https://4spepublications.onlinelibrary.wiley.com/doi/10.1002/pen.26560</t>
  </si>
  <si>
    <t>A review of different twisted tape configurations used in heat exchanger and their impact on thermal performance of the system,
Heliyon,
Volume 9, Issue 6,
2023,
e16390,
ISSN 2405-8440,
https://doi.org/10.1016/j.heliyon.2023.e16390</t>
  </si>
  <si>
    <t>Kadbhane, SV, Pangavhane, DR. Numerical modeling and optimization of perforated twisted tape insert based on hybrid ANSYS-RSM approach. Heat Transfer. 2023; 1-31. doi:10.1002/htj.22971</t>
  </si>
  <si>
    <t>https://onlinelibrary.wiley.com/doi/abs/10.1002/htj.22971</t>
  </si>
  <si>
    <t>https://www.degruyter.com/document/doi/10.1515/9783111323749-019/html</t>
  </si>
  <si>
    <t>Heeraman, J, Kumar, R, Chaurasiya, PK, Gupta, NK, Dobrotă, D.</t>
  </si>
  <si>
    <t>Heeraman, J, Kumar, R, Chaurasiya, PK, Gupta, NK, Dobrotă, D. Develop a new correlation between thermal radiation and heat source in dual-tube heat exchanger with a twist ratio insert and dimple configurations: an experimental study. Processes 2023;11:860. https://doi.org/10.3390/pr11030860.</t>
  </si>
  <si>
    <t>Wang, Limin, Wang, Junqiang, Tang, Jiajia and Zho, Xuliong. "Enhancing heat exchanger efficiency with novel perforated cone-shaped turbulators and nanofluids: a computational study" Chemical Product and Process Modeling, 2023. https://doi.org/10.1515/cppm-2023-0034</t>
  </si>
  <si>
    <t>https://www.degruyter.com/document/doi/10.1515/cppm-2023-0034/html</t>
  </si>
  <si>
    <t>Kallioğlu, M.A.; Yılmaz, A.; Sharma, A.; Mohamed, A.; Dobrotă, D.; Alam, T.; Khargotra, R.; Singh, T.</t>
  </si>
  <si>
    <t>Optimal Insulation Assessment, Emission Analysis, and Correlation Formulation for Indian Region. Buildings 2023, 13, 569. https://doi.org/10.3390/buildings13020569</t>
  </si>
  <si>
    <t>Khargotra, R., Kumar, R., Kovács, A. et al. Techno-economic analysis of solar thermal collector for sustainable built environment. J Therm Anal Calorim (2023). https://doi.org/10.1007/s10973-023-12775-0</t>
  </si>
  <si>
    <t>https://link.springer.com/article/10.1007/s10973-023-12775-0</t>
  </si>
  <si>
    <t>Dobrota, D.; Petrescu, V.; Dimulescu, C.S.; Oleksik, M.</t>
  </si>
  <si>
    <t xml:space="preserve"> Preparation and Characterization of Composites Materials with Rubber Matrix and with Polyvinyl Chloride Addition (PVC). Polymers 2020, 12, 1978</t>
  </si>
  <si>
    <t>Tkac, J.; Toth, T.; Fedorko, G.; Molnar, V.; Dovica, M.; Samborski, S. Surface Evaluation of Gyroid Structures for Manufacturing Rubber–Textile Conveyor Belt Carcasses Using Micro-CT. Polymers 2024, 16, 48. https://doi.org/10.3390/polym16010048</t>
  </si>
  <si>
    <t>https://www.mdpi.com/2073-4360/16/1/48</t>
  </si>
  <si>
    <t>Hasan, K., Rahaman, M.M., Ali, M.B. et al. A comprehensive review of the application of waste tire rubber in concrete/mortar as fine aggregate replacement. Archit. Struct. Constr. (2023). https://doi.org/10.1007/s44150-023-00102-y</t>
  </si>
  <si>
    <t>https://link.springer.com/article/10.1007/s44150-023-00102-y</t>
  </si>
  <si>
    <t>Editura Springer</t>
  </si>
  <si>
    <t xml:space="preserve">
Ali, Syed Ibad, Kalaivaani, Padmavathi Thasappan, Ambigaipriya S. Rafeeq M.D., Toward Artificial General Intelligence: Deep Learning, Neural Networks, Generative AIPages 125 - 1446 November 2023
</t>
  </si>
  <si>
    <t>https://www.degruyter.com/document/doi/10.1515/9783111323749/html</t>
  </si>
  <si>
    <t>Kumar, P., Widjaja, G., Patankar, N.S., Suresh Kumar, B.A novel blockchain-based artificial intelligence application for healthcare automation (  Book Chapter), Toward Artificial General Intelligence: Deep Learning, Neural Networks, Generative AI, pp. 373-385, 2023</t>
  </si>
  <si>
    <t>Ruiz-Vanoye, J.A., Management, technology, and economic growth in smart and sustainable cities (  Book), Management, Technology, and Economic Growth in Smart and Sustainable Cities
pp. 1-341, 2023</t>
  </si>
  <si>
    <t>https://www.igi-global.com/book/management-technology-economic-growth-smart/322090</t>
  </si>
  <si>
    <t>Dobroă Dan</t>
  </si>
  <si>
    <t>Vulcanization of rubber conveyor belts with metallic insertion using ultrasounds. Procedia Eng., 100, 1160–1166</t>
  </si>
  <si>
    <t>Santos, L.S.; Macêdo, E.N.; Ribeiro Filho, P.R.C.F.; Cunha, A.P.A.; Cheung, N. Belt Rotation in Pipe Conveyors: Failure Mode Analysis and Overlap Stability Assessment. Sustainability 2023, 15, 11312. https://doi.org/10.3390/su151411312</t>
  </si>
  <si>
    <t>https://www.mdpi.com/2071-1050/15/14/11312</t>
  </si>
  <si>
    <t>Sönmez, H. İ., Okumuş, F., Safa, A., Aydin, Z., Kaya, C., &amp; Kökkülünk, G. (2023). Renewable energy resources: Combustion and environmental impact of diesel with pyrolytic and biodiesel blends. Energy &amp; Environment, 34(4), 855-872. https://doi.org/10.1177/0958305X221078262</t>
  </si>
  <si>
    <t>https://journals.sagepub.com/doi/full/10.1177/0958305X221078262</t>
  </si>
  <si>
    <t>B. Varun Kumar, Chithirai Pon Selvan, P. Rajesh Kanna, Dawid Taler, Magdalena Szymkiewicz, Jan Taler, Numerical investigation of heat transfer enhancement in solar air heaters using polygonal-shaped ribs and grooves, Front. Energy Res., 28 November 2023 Sec. Solar Energy, Volume 11 - 2023 | https://doi.org/10.3389/fenrg.2023.1279225</t>
  </si>
  <si>
    <t>Cheng Y, Liu Q, Wang Q. Experimental and application of waste rubber low-temperature green regeneration through ultrasound-assisted method. Polym Eng Sci. 2023; 1-15. doi:10.1002/pen.26560</t>
  </si>
  <si>
    <t>https://4spepublications.onlinelibrary.wiley.com/doi/abs/10.1002/pen.26560</t>
  </si>
  <si>
    <t>Dimitrescu, A., Niţoi, D.F., Dobrotă, D., Apostolescu, Z.</t>
  </si>
  <si>
    <t>Researches and studies regarding brazed aluminium alloys microstructure used in aeronautic industry,  Metalurgija, 54 (2), pp. 383-386.</t>
  </si>
  <si>
    <t xml:space="preserve">Shi, Mingxiao, Li, Jingyong;  Li J.; Mao Weidong; Yang, Zhidong; Ma, Xiang, Strengthening the HAZ of an MIG welded joint of 6082-T6 aluminum alloy via mechanical-thermal hybrid aging treatment, Journal of Adhesion Science and Technology, Published online: 06 Dec 2023, DOI 10.1080/01694243.2023.2290340
</t>
  </si>
  <si>
    <t>https://www.tandfonline.com/doi/full/10.1080/01694243.2023.2290340?scroll=top&amp;needAccess=true</t>
  </si>
  <si>
    <t>A. Ab Wahid, A.K., Salim, M.A., Masripan, N.A., Saad, A.M., Dobrota, D., Omar, G.b., Sudin, M.N., Naroh</t>
  </si>
  <si>
    <t>Driving monitoring system application with stretchable conductive inks: A review</t>
  </si>
  <si>
    <t>AS Conter, MN Kapp, JC Padilha, Health monitoring of smart vehicle occupants: A review, Revista de Ciencia y Tecnología, 2023</t>
  </si>
  <si>
    <t>https://www.fceqyn.unam.edu.ar/recyt/index.php/recyt/article/view/765</t>
  </si>
  <si>
    <t>Dolny J.,  TESTING OF INSOLVENCY AND IMMINENT INSOLVENCY OF THE DEBTOR FROM THE POINT OF VIEW OF THE SLOVAK LEGAL ORDER, Studia Iuridica Cassoviensia, 11(2), pp. 3-13., 2023</t>
  </si>
  <si>
    <t>https://heinonline.org/HOL/LandingPage?handle=hein.journals/saiacsva11&amp;div=13&amp;id=&amp;page=</t>
  </si>
  <si>
    <t>Handbook of Recycling
State-of-the-art for Practitioners, Analysts, and Scientists
2nd Edition - October 17, 2023
Editors: Christina Meskers, Ernst Worrell, Markus A. Reuter
Language: English
Paperback ISBN: 9780323855143
9 7 8 - 0 - 3 2 3 - 8 5 5 1 4 - 3
eBook ISBN: 9780323860130</t>
  </si>
  <si>
    <t>https://shop.elsevier.com/books/handbook-of-recycling/meskers/978-0-323-85514-3</t>
  </si>
  <si>
    <t>I. -E. Achouri, T. Zeghloul, K. Medles, T. Simonelli, C. Le-Clerc and L. Dascalescu, "Experimental Modelling and Optimization of the Tribo-Electrostatic Separation of PET Fibers from End-of-Life Tires," &lt;em&gt;2023 IEEE Industry Applications Society Annual Meeting (IAS)&lt;/em&gt;, Nashville, TN, USA, 2023, pp. 1-3, doi: 10.1109/IAS54024.2023.10406882.&lt;br&gt; keywords: {Electrodes;Particle separators;Tires;Textile fibers;Rubber;Optical fiber testing;Triboelectricity;electrostatic separation;triboelectricity;waste materials;recycling},</t>
  </si>
  <si>
    <t>https://ieeexplore.ieee.org/abstract/document/10406882/keywords#keywords</t>
  </si>
  <si>
    <t>Borza S., Inta M., Serbu R., Marza B</t>
  </si>
  <si>
    <t xml:space="preserve">Multi-criteria analysis of pollution caused by auto traffic in a geographical area limited to applicability for an eco-economy environment
</t>
  </si>
  <si>
    <t>Auttha, W ; Klungboonkrong, P , Evaluation of the Transport Environmental Effects of an Urban Road Network in a Medium-Sized City in a Developing Country</t>
  </si>
  <si>
    <t>https://www.webofscience.com/wos/woscc/summary/f216eaea-1583-442a-ada3-458e95193c12-e99e7e2a/date-descending/1 . Sustainability 15(24)</t>
  </si>
  <si>
    <t>Inta Marinela</t>
  </si>
  <si>
    <t>Inţă, M., Muntean, A.</t>
  </si>
  <si>
    <t>Integrated system for monitoring the tool state using temperature measuring by natural thermocouple method</t>
  </si>
  <si>
    <t>Liu, W., Li, G., Shao, Z., (...), Ma, G., Wang, F., Advance in experimental research on cutting temperature of titanium alloys. International Journal of Advanced Manufacturing Technology
126(5-6), pp. 1827-1844</t>
  </si>
  <si>
    <t>https://link.springer.com/article/10.1007/s00170-023-11263-x</t>
  </si>
  <si>
    <t xml:space="preserve">Occupational emerging risks affecting international virtual project Team Results
</t>
  </si>
  <si>
    <r>
      <rPr>
        <rFont val="Arial Narrow"/>
        <color rgb="FF222222"/>
        <sz val="10.0"/>
      </rPr>
      <t>Arana-Landín, G., Laskurain-Iturbe, 
I., Iturrate, M., &amp; Landeta-Manzano, B. (2023). Assessing the influence of industry 4.0 technologies on occupational health and safety. </t>
    </r>
    <r>
      <rPr>
        <rFont val="Arial Narrow"/>
        <i/>
        <color rgb="FF222222"/>
        <sz val="10.0"/>
      </rPr>
      <t>Heliyon</t>
    </r>
    <r>
      <rPr>
        <rFont val="Arial Narrow"/>
        <color rgb="FF222222"/>
        <sz val="10.0"/>
      </rPr>
      <t>, </t>
    </r>
    <r>
      <rPr>
        <rFont val="Arial Narrow"/>
        <i/>
        <color rgb="FF222222"/>
        <sz val="10.0"/>
      </rPr>
      <t>9</t>
    </r>
    <r>
      <rPr>
        <rFont val="Arial Narrow"/>
        <color rgb="FF222222"/>
        <sz val="10.0"/>
      </rPr>
      <t>(3).</t>
    </r>
  </si>
  <si>
    <t>https://www.sciencedirect.com/science/article/pii/S2405844023009271</t>
  </si>
  <si>
    <t xml:space="preserve"> WOS</t>
  </si>
  <si>
    <t>Dumitrascu Baldau Iulia</t>
  </si>
  <si>
    <t xml:space="preserve">Dumitraşcu, Iulia (ULBS), Dumitraşcu, Dănuţ, Dumitru (ULBS)
</t>
  </si>
  <si>
    <t xml:space="preserve">Skills and competences international project managers need to be successful in a virtual work environment.
</t>
  </si>
  <si>
    <r>
      <rPr>
        <rFont val="Arial Narrow"/>
        <color rgb="FF222222"/>
        <sz val="10.0"/>
      </rPr>
      <t>Blak Bernat, G., 
Qualharini, E. L., Castro, M. S., Barcaui, A. B., &amp; Soares, R. R. (2023). Sustainability in Project Management and Project Success with Virtual Teams: A Quantitative Analysis Considering Stakeholder Engagement and Knowledge Management. </t>
    </r>
    <r>
      <rPr>
        <rFont val="Arial Narrow"/>
        <i/>
        <color rgb="FF222222"/>
        <sz val="10.0"/>
      </rPr>
      <t>Sustainability</t>
    </r>
    <r>
      <rPr>
        <rFont val="Arial Narrow"/>
        <color rgb="FF222222"/>
        <sz val="10.0"/>
      </rPr>
      <t>, </t>
    </r>
    <r>
      <rPr>
        <rFont val="Arial Narrow"/>
        <i/>
        <color rgb="FF222222"/>
        <sz val="10.0"/>
      </rPr>
      <t>15</t>
    </r>
    <r>
      <rPr>
        <rFont val="Arial Narrow"/>
        <color rgb="FF222222"/>
        <sz val="10.0"/>
      </rPr>
      <t>(12), 9834.</t>
    </r>
  </si>
  <si>
    <t>Dumitraşcu-Băldău, Iulia (ULBS), Dumitraşcu, Oana (ULBS)</t>
  </si>
  <si>
    <r>
      <rPr>
        <rFont val="Arial Narrow"/>
        <color rgb="FF222222"/>
        <sz val="10.0"/>
      </rPr>
      <t>Muleya, F., Tembo, 
C. K., Phiri, E., &amp; Zulu, S. (2023). Deciphering cultural differences between local and foreign contracting firms using Hofstede’s national culture model in the construction industry. </t>
    </r>
    <r>
      <rPr>
        <rFont val="Arial Narrow"/>
        <i/>
        <color rgb="FF222222"/>
        <sz val="10.0"/>
      </rPr>
      <t>Social Sciences &amp; Humanities Open</t>
    </r>
    <r>
      <rPr>
        <rFont val="Arial Narrow"/>
        <color rgb="FF222222"/>
        <sz val="10.0"/>
      </rPr>
      <t>, </t>
    </r>
    <r>
      <rPr>
        <rFont val="Arial Narrow"/>
        <i/>
        <color rgb="FF222222"/>
        <sz val="10.0"/>
      </rPr>
      <t>8</t>
    </r>
    <r>
      <rPr>
        <rFont val="Arial Narrow"/>
        <color rgb="FF222222"/>
        <sz val="10.0"/>
      </rPr>
      <t>(1), 100728.</t>
    </r>
  </si>
  <si>
    <t>https://www.sciencedirect.com/science/article/pii/S2590291123003339</t>
  </si>
  <si>
    <t xml:space="preserve">Iulia Dumitrașcu-Băldău (ULBS), Dănuț-Dumitru Dumitrașcu (ULBS), Gabriela Dobrotă (ULBS)
</t>
  </si>
  <si>
    <r>
      <rPr>
        <rFont val="Arial Narrow"/>
        <color rgb="FF222222"/>
        <sz val="10.0"/>
      </rPr>
      <t>Blak Bernat, G., 
Qualharini, E. L., Castro, M. S., Barcaui, A. B., &amp; Soares, R. R. (2023). Sustainability in Project Management and Project Success with Virtual Teams: A Quantitative Analysis Considering Stakeholder Engagement and Knowledge Management. </t>
    </r>
    <r>
      <rPr>
        <rFont val="Arial Narrow"/>
        <i/>
        <color rgb="FF222222"/>
        <sz val="10.0"/>
      </rPr>
      <t>Sustainability</t>
    </r>
    <r>
      <rPr>
        <rFont val="Arial Narrow"/>
        <color rgb="FF222222"/>
        <sz val="10.0"/>
      </rPr>
      <t>, </t>
    </r>
    <r>
      <rPr>
        <rFont val="Arial Narrow"/>
        <i/>
        <color rgb="FF222222"/>
        <sz val="10.0"/>
      </rPr>
      <t>15</t>
    </r>
    <r>
      <rPr>
        <rFont val="Arial Narrow"/>
        <color rgb="FF222222"/>
        <sz val="10.0"/>
      </rPr>
      <t>(12), 9834.</t>
    </r>
  </si>
  <si>
    <t>https://www.mdpi.com/2071-1050/15/12/9834/pdf</t>
  </si>
  <si>
    <r>
      <rPr>
        <rFont val="Arial Narrow"/>
        <color rgb="FF222222"/>
        <sz val="10.0"/>
      </rPr>
      <t>Blak Bernat, G., Qualharini, 
E. L., &amp; Castro, M. S. (2023). Enhancing Sustainability in Project Management: The Role of Stakeholder Engagement and Knowledge Management in Virtual Team Environments. </t>
    </r>
    <r>
      <rPr>
        <rFont val="Arial Narrow"/>
        <i/>
        <color rgb="FF222222"/>
        <sz val="10.0"/>
      </rPr>
      <t>Sustainability</t>
    </r>
    <r>
      <rPr>
        <rFont val="Arial Narrow"/>
        <color rgb="FF222222"/>
        <sz val="10.0"/>
      </rPr>
      <t>, </t>
    </r>
    <r>
      <rPr>
        <rFont val="Arial Narrow"/>
        <i/>
        <color rgb="FF222222"/>
        <sz val="10.0"/>
      </rPr>
      <t>15</t>
    </r>
    <r>
      <rPr>
        <rFont val="Arial Narrow"/>
        <color rgb="FF222222"/>
        <sz val="10.0"/>
      </rPr>
      <t>(6), 4896.</t>
    </r>
  </si>
  <si>
    <t>https://www.mdpi.com/2071-1050/15/6/4896/pdf</t>
  </si>
  <si>
    <t>Tomaszewska E.J. (Univ. of Bialystok), Florea A.(ULBS)</t>
  </si>
  <si>
    <t>Tomaszewska E.J., Florea A., Urban smart mobility in the scientific literature — bibliometric analysis, Engineering Management in Production and Services, Volume 10, Issue 2, 2018, ISSN 2543-6597, Ed. Bialystok University of Technology, Faculty of Engineering Management, International Society for Manufacturing, Service and Management Engineering, Poland, DOI: 10.2478/emj-2018-0010.</t>
  </si>
  <si>
    <t>Szpilko, D., Naharro, F. J., Lăzăroiu, G., Nica, E., &amp; de la Torre Gallegos, A. (2023). Artificial intelligence in the smart city—a literature review. Engineering Management in Production and Services, 15(4), 53-75.</t>
  </si>
  <si>
    <t>https://sciendo.com/article/10.2478/emj-2023-0028</t>
  </si>
  <si>
    <t>Raţiu, A., Maniu, I., &amp; Pop, E. L. (2023). EntreComp framework: A bibliometric review and research trends.Sustainability, 15(2), 1285.</t>
  </si>
  <si>
    <t>https://www.mdpi.com/2071-1050/15/2/1285</t>
  </si>
  <si>
    <t>SARS-CoV-2 Antibody Responses in Pediatric Patients: A Bibliometric Analysis</t>
  </si>
  <si>
    <t>https://www.mdpi.com/2227-9059/11/5/1455</t>
  </si>
  <si>
    <t>Simonofski, A., Handekyn, P., Vandennieuwenborg, C., Wautelet, Y., &amp; Snoeck, M. (2023). Smart mobility projects: Towards the formalization of a policy-making lifecycle. Land Use Policy, 125, 106474.</t>
  </si>
  <si>
    <t>https://www.sciencedirect.com/science/article/pii/S0264837722005014?casa_token=oO4A68UJqeIAAAAA:6tp1QJEVeZ2tSdDtVouoeY5gbs6e4jhYUARnEsEdONOuEbIMldKCx1xnEQSqg67wKaQEMfulp44</t>
  </si>
  <si>
    <t>Waqar, A., Alshehri, A. H., Alanazi, F., Alotaibi, S., &amp; Almujibah, H. R. (2023). Evaluation of challenges to the adoption of intelligent transportation system for urban smart mobility. Research in Transportation Business &amp; Management, 51, 101060.</t>
  </si>
  <si>
    <t>https://www.sciencedirect.com/science/article/pii/S2210539523001189?casa_token=Lcp_pH-f3R0AAAAA:FiTSLqB4vSe-_dqkZGRcHOph0ArQzHGU3TODGA8cmZ67pM52jVDFK8StIIu0t-xMHPO-haAONAg</t>
  </si>
  <si>
    <t>Iamtrakul, P., Chayphong, S., &amp; Mateo-Babiano, D. (2023). The Transition of Land Use and Road Safety Studies: A Systematic Literature Review (2000–2021). Sustainability, 15(11), 8894.</t>
  </si>
  <si>
    <t>https://www.mdpi.com/2071-1050/15/11/8894</t>
  </si>
  <si>
    <t>Lorenz, A., Madeja, N., &amp; Leyh, C. (2023, September). A Framework for Assessing the Sustainability Impact of Intelligent Transport Systems in the Smart City Context. In 2023 18th Conference on Computer Science and Intelligence Systems (FedCSIS) (pp. 161-169). IEEE.</t>
  </si>
  <si>
    <t>https://ieeexplore.ieee.org/abstract/document/10306145</t>
  </si>
  <si>
    <t>Rodrigues, P., Real, E., Barbosa, I., &amp; Durães, L. (2023). Rethinking Smart Mobility: A Systematic Literature Review of Its Effects on Sustainability. Marketing and Smart Technologies: Proceedings of ICMarkTech 2022, Volume 2, 219-232.</t>
  </si>
  <si>
    <t>https://link.springer.com/chapter/10.1007/978-981-19-9099-1_15</t>
  </si>
  <si>
    <t>Boršoš, P., &amp; Koman, G. (2023). Smart mobility management supported by modern information and communication technologies. Transportation Research Procedia, 74, 1156-1163.</t>
  </si>
  <si>
    <t>https://www.sciencedirect.com/science/article/pii/S2352146523005537</t>
  </si>
  <si>
    <t>Prima, A. P., &amp; Yahya, I. (2023). EXPLORING THE IMPACT OF THE QUALITY OF ACCOUNTING INFORMATION SYSTEMS, INTERNAL AUDITS, AND GOOD CORPORATE GOVERNANCE ON FIRM PERFORMANCE: A META-ANALYSIS. International Journal of Economics and Finance Studies, 15(4), 125-144.</t>
  </si>
  <si>
    <t>https://sobiad.org/menuscript/index.php/ijefs/article/view/1803</t>
  </si>
  <si>
    <t>Gellert, A. (FING2), Florea, A. (FING2), Fiore, U. (UniSa), Palmieri, F. (UniSa), &amp; Zanetti, P. (UniSa)</t>
  </si>
  <si>
    <t>Gellert, A., Florea, A., Fiore, U., Palmieri, F., &amp; Zanetti, P. (2019). A study on forecasting electricity production and consumption in smart cities and factories. International Journal of Information Management, 49, 546-556.</t>
  </si>
  <si>
    <t>Theodoropoulos, T., Makris, A., Kontopoulos, I., Violos, J., Tarkowski, P., Ledwoń, Z., ... &amp; Tserpes, K. (2023). Graph neural networks for representing multivariate resource usage: A multiplayer mobile gaming case-study. International Journal of Information Management Data Insights, 3(1), 100158.</t>
  </si>
  <si>
    <t>https://www.sciencedirect.com/science/article/pii/S2667096823000058</t>
  </si>
  <si>
    <t>Edmonds, J., &amp; Abdallah, Z. S. (2023, March). IMG-NILM: A Deep learning NILM approach using energy heatmaps. In Proceedings of the 38th ACM/SIGAPP Symposium on Applied Computing (pp. 1151-1153).</t>
  </si>
  <si>
    <t>https://dl.acm.org/doi/abs/10.1145/3555776.3578604?casa_token=ojYMZN-p7wcAAAAA:Vo1ZM_HcH07kGvIp9UUco8PXJ0-Dtjm3P7fonQUduW6j1VUICS-TEz4erY0DJIvUSXLZ8fZ2yy4Q3Q</t>
  </si>
  <si>
    <t>Ishwarya, S., Akash, S., Kathireshwar, R., Keerthana, B., &amp; Keerthivasan, R. (2023, March). Smart energy modeling in buildings with distributed energy generation by using Discrete Wavelet Transform-LSTM method. In 2023 9th International Conference on Electrical Energy Systems (ICEES) (pp. 393-402). IEEE.</t>
  </si>
  <si>
    <t>https://ieeexplore.ieee.org/abstract/document/10110071?casa_token=VcMMj5GrOOQAAAAA:0KDGn5QxuTbNGn78MYfeayQyp51dIrmxZOF7WcL53XVMFj8SFc7882a3tlANiv5tL0OhSEUcZaBbGg</t>
  </si>
  <si>
    <t>abed Almoussawi, Z., Kurdi, W. H. M., Khaleel, B. M., Kassem, A. A., Sabah, H. A., &amp; Alazzai, W. K. (2023, July). Planet Optimization with Machine Learning Enabled Power Usage Forecasting Modeling in Smart Grid Environment. In 2023 6th International Conference on Engineering Technology and its Applications (IICETA) (pp. 726-732). IEEE.</t>
  </si>
  <si>
    <t>https://ieeexplore.ieee.org/abstract/document/10351470?casa_token=Vn2Ve-GB8c0AAAAA:4R-CUAesLuQASbn0GuArll4qcC6WUlfinTcrW8Wow6qtb25ulJ4SQwY3NVLyFJBFSDJAPff86bW9pA</t>
  </si>
  <si>
    <t>Rana, A., &amp; Dhobal, K. (2023, February). An Improved Method of Calculating Electricity for Household Consumption and Storing Excess Electricity. In 2023 IEEE International Conference on Integrated Circuits and Communication Systems (ICICACS) (pp. 1-6). IEEE.</t>
  </si>
  <si>
    <t>https://ieeexplore.ieee.org/abstract/document/10099761?casa_token=v77a7JHybR4AAAAA:md8GgFgXvEildr8thxiCdB7SYR911HLxxtxEKPPZj_3ZllI-45lzNIlXdGjODhDboQ7KDR2WLqeG7A</t>
  </si>
  <si>
    <t>Man-Im, A., Ongsakul, W. &amp; Madhu, N. Reliability Enhanced Multi-objective Economic Dispatch Strategy for Hybrid Renewable Energy System with Storage. J. Oper. Res. Soc. China 11, 51–81 (2023). https://doi.org/10.1007/s40305-020-00308-7</t>
  </si>
  <si>
    <t>https://link.springer.com/article/10.1007/s40305-020-00308-7</t>
  </si>
  <si>
    <t>Nicolaescu, S. S. (ULBS), Florea, A. (FING2), Kifor, C. V. (ULBS), Fiore, U. (UniSa), Cocan, N. (UiPath company), Receu, I. (Sobis company), Zanetti, P. (Univ. of Pathenope)</t>
  </si>
  <si>
    <t>Nicolaescu, S. S., Florea, A., Kifor, C. V., Fiore, U., Cocan, N., Receu, I., &amp; Zanetti, P. (2020). Human capital evaluation in knowledge-based organizations based on big data analytics. Future Generation Computer Systems, 111, 654-667.</t>
  </si>
  <si>
    <t>Dadd, D., &amp; Hinton, M. (2023). Performance measurement and evaluation: Applying return on investment (ROI) to human capital investments. International Journal of Productivity and Performance Management, 72(9), 2736-2764.</t>
  </si>
  <si>
    <t>https://www.emerald.com/insight/content/doi/10.1108/IJPPM-10-2021-0573/full/html</t>
  </si>
  <si>
    <t>Graczyk-Kucharska, M., Olszewski, R., &amp; Weber, G. W. (2023). The use of spatial data mining methods for modeling HR challenges of generation Z in greater Poland Region. Central European Journal of Operations Research, 31(1), 205-237.</t>
  </si>
  <si>
    <t>https://link.springer.com/article/10.1007/s10100-022-00805-5</t>
  </si>
  <si>
    <t>Espegren, Y., &amp; Hugosson, M. (2023). HR analytics-as-practice: a systematic literature review. Journal of Organizational Effectiveness: People and Performance.</t>
  </si>
  <si>
    <t>https://www.emerald.com/insight/content/doi/10.1108/JOEPP-11-2022-0345/full/html</t>
  </si>
  <si>
    <t>Belizón, M. J., Majarín, D., &amp; Aguado, D. (2023). Human resources analytics in practice: A knowledge discovery process. European Management Review.</t>
  </si>
  <si>
    <t>https://onlinelibrary.wiley.com/doi/full/10.1111/emre.12605</t>
  </si>
  <si>
    <t>Cao, R. (2023). A data and knowledge-jointly driven multimodal intelligent system for enterprise culture assessment. Alexandria Engineering Journal, 83, 140-147.</t>
  </si>
  <si>
    <t>https://www.sciencedirect.com/science/article/pii/S1110016823007792</t>
  </si>
  <si>
    <t>Stolyarova, V. F., Tulupyeva, T. V., Abramov, M. V., &amp; Salakhova, V. B. (2023). Identification of the characteristics of individual human capital of organization employees based on self-reports of professional skills and personal characteristics. Computer Science and Automation, 22(1), 190-214.</t>
  </si>
  <si>
    <t>http://ia.spcras.ru/index.php/sp/article/view/15545</t>
  </si>
  <si>
    <t>Prince, M., &amp; Prathap, P. J. (2023). A Novel Approach to Design Distribution Preserving Framework for Big Data. Intell. Autom. Soft Comput, 35, 2789-2803.</t>
  </si>
  <si>
    <t>https://cdn.techscience.cn/ueditor/files/iasc/TSP_IASC-35-3/TSP_IASC_29533/TSP_IASC_29533.pdf</t>
  </si>
  <si>
    <t>Polevoi, D.V., Pronichkin, S.V., Chernyshova, Y.S. (2023). Applying Verbal Decision Analysis for Public Research and Technology Advancement. In: Silhavy, R., Silhavy, P., Prokopova, Z. (eds) Software Engineering Application in Systems Design. CoMeSySo 2022. Lecture Notes in Networks and Systems, vol 596. Springer, Cham.</t>
  </si>
  <si>
    <t>https://link.springer.com/chapter/10.1007/978-3-031-21435-6_74</t>
  </si>
  <si>
    <t>Gellert, A. (ULBS), Fiore, U. (UniSa), Florea, A. (ULBS), Chis, R. (ULBS), &amp; Palmieri, F. (UniSa)</t>
  </si>
  <si>
    <t>Gellert, A., Fiore, U., Florea, A., Chis, R., &amp; Palmieri, F. (2022). Forecasting electricity consumption and production in smart homes through statistical methods. Sustainable Cities and Society, 76, 103426.</t>
  </si>
  <si>
    <t>Afzal, S., Ziapour, B. M., Shokri, A., Shakibi, H., &amp; Sobhani, B. (2023). Building energy consumption prediction using multilayer perceptron neural network-assisted models; comparison of different optimization algorithms. Energy, 282, 128446.</t>
  </si>
  <si>
    <t>https://www.sciencedirect.com/science/article/pii/S0360544223018406?casa_token=oU9aezdhk2UAAAAA:VSNtcgSwkVpqZ6PZ-2LCkx3H70x7fq5W6gAhr_x2lasSQgJxl2lGchHwttwxXgsPbgysl8qG4qc</t>
  </si>
  <si>
    <t>Fatemi, S., Ketabi, A., &amp; Mansouri, S. A. (2023). A four-stage stochastic framework for managing electricity market by participating smart buildings and electric vehicles: Towards smart cities with active end-users. Sustainable Cities and Society, 93, 104535.</t>
  </si>
  <si>
    <t>https://www.sciencedirect.com/science/article/pii/S2210670723001464?casa_token=uzcY85U93iAAAAAA:gf4hKmuIbSJeYMadmF_TEJjrNAYCBsX0oZo5XvB138CGabpZkbQjlIBK788GpmV170Ands-LTiQ</t>
  </si>
  <si>
    <t>Wu, H., Liang, Y., &amp; Heng, J. (2023). Pulse-diagnosis-inspired multi-feature extraction deep network for short-term electricity load forecasting. Applied Energy, 339, 120995.</t>
  </si>
  <si>
    <t>https://www.sciencedirect.com/science/article/pii/S0306261923003598?casa_token=tB-ke103EU8AAAAA:MLDzf7EmaP2tRuvr0Mu14OIB_yi2loUrpmGWYyrDa5EQ9JX_yhpdfoxZIQLAfTiKqd9xKGlogzw</t>
  </si>
  <si>
    <t>Santos, M. L., García, S. D., García-Santiago, X., Ogando-Martínez, A., Camarero, F. E., Gil, G. B., &amp; Ortega, P. C. (2023). Deep learning and transfer learning techniques applied to short-term load forecasting of data-poor buildings in local energy communities. Energy and Buildings, 292, 113164.</t>
  </si>
  <si>
    <t>https://www.sciencedirect.com/science/article/abs/pii/S0378778823003948?casa_token=0Lclhgmmei0AAAAA:ropfZSSdovKnmn7QRy8cGMGaSWJPcyjzO5oM-y22kH5dzD0Rjga3_xgkCb3vbXuMJcWIUPs0avw</t>
  </si>
  <si>
    <t>Fang, L., &amp; He, B. (2023). A deep learning framework using multi-feature fusion recurrent neural networks for energy consumption forecasting. Applied Energy, 348, 121563.</t>
  </si>
  <si>
    <t>https://www.sciencedirect.com/science/article/abs/pii/S0306261923009273?casa_token=myXDZrE2sqoAAAAA:ldayCr5pFLa3XPYjHKY-J149HIGw16LM_6c4WOdfWh3h7CSCuCqEqg4jwtg_nOo7XOrJ1GR-iTg</t>
  </si>
  <si>
    <t>Seema, P. N., &amp; Nair, M. G. (2023). The key modules involved in the evolution of an effective instrumentation and communication network in smart grids: a review. Smart Science, 11(3), 519-537.</t>
  </si>
  <si>
    <t>https://www.tandfonline.com/doi/abs/10.1080/23080477.2023.2239612?casa_token=e6BRCQby3JEAAAAA:mXkTJEnJ-AYJx-A8ll_Kvq6CMSxr36ZjGfnlzVwY8yNkSglheGkmhgvT2DRVoyJmZ1FroqhqPRUbdQ</t>
  </si>
  <si>
    <t>Ritchie, M. J., Engelbrecht, J. A. A., &amp; Booysen, M. J. (2023). Predicting residential water and electricity usage profiles with a temporal histogram model. Sustainable Cities and Society, 99, 104884.</t>
  </si>
  <si>
    <t>https://www.sciencedirect.com/science/article/pii/S221067072300495X</t>
  </si>
  <si>
    <t>Sefene, E. M., Tsai, Y. H., Jamil, M., Jatti, V. S., Mishra, A., AsmareTsegaw, A., &amp; Costa, E. C. (2023). A multi-criterion optimization of mechanical properties and sustainability performance in friction stir welding of 6061-T6 AA. Materials Today Communications, 36, 106838.</t>
  </si>
  <si>
    <t>https://www.sciencedirect.com/science/article/abs/pii/S2352492823015295?casa_token=WeNsuQRh4i0AAAAA:ukGCIJMPojZ0B1uP98rL0a3tKyLotjksJgi8y8Pm93vAV-gspcSOYd0t66mH_c7sbPFVhpxi4FU</t>
  </si>
  <si>
    <t>de Bekker, P., Cremers, S., Norbu, S., Flynn, D., &amp; Robu, V. (2023). Improving the efficiency of renewable energy assets by optimizing the matching of supply and demand using a smart battery scheduling algorithm. Energies, 16(5), 2425.</t>
  </si>
  <si>
    <t>https://www.mdpi.com/1996-1073/16/5/2425</t>
  </si>
  <si>
    <t>Iram, S., Al-Aqrabi, H., Shakeel, H. M., Farid, H. M. A., Riaz, M., Hill, R., ... &amp; Alsboui, T. (2023). An Innovative Machine Learning Technique for the Prediction of Weather Based Smart Home Energy Consumption. IEEE Access.</t>
  </si>
  <si>
    <t>https://ieeexplore.ieee.org/abstract/document/10155398</t>
  </si>
  <si>
    <t>Hari, N. G., &amp; Jisha, G. (2023). Analysing the geographical impact on short-term solar irradiance forecasting using univariate and multivariate time series models. Energy Sources, Part A: Recovery, Utilization, and Environmental Effects, 45(4), 11981-11999.</t>
  </si>
  <si>
    <t>https://www.tandfonline.com/doi/full/10.1080/15567036.2023.2267487?casa_token=K7kgR8Xc59kAAAAA%3AUKoctuHknQIa3WK1wrfyyEb8bYBvlFlBRHGdqSrDagd_gVN4nrv8UxTtKidzY4DRkqEGWjQSnAsckg</t>
  </si>
  <si>
    <t>Zhang, H., Jia, R., Du, H., Liang, Y., &amp; Li, J. (2023). Short-term interval prediction of PV power based on quantile regression-stacking model and tree-structured parzen estimator optimization algorithm. Frontiers in Energy Research, 11, 1252057.</t>
  </si>
  <si>
    <t>https://www.frontiersin.org/articles/10.3389/fenrg.2023.1252057/full</t>
  </si>
  <si>
    <t>Abdalkafor, A. S., Yaseen, Y. S., &amp; Jihad, A. A. (2023, December). Artificial Intelligence Techniques for Adaptive Controlled Air Conditions. In 2023 16th International Conference on Developments in eSystems Engineering (DeSE) (pp. 812-817). IEEE.</t>
  </si>
  <si>
    <t>https://ieeexplore.ieee.org/abstract/document/10469179?casa_token=zdnclSKW6qUAAAAA:KYp2xuqifxYxODhx49qn72EhWYhktwPvLrRJrkajjEjmATq5RJrhjl5Kud0RMEaKR3sG9AsFU92QfA</t>
  </si>
  <si>
    <t>Sefene, E. M., Chen, C. C. A., &amp; Wang, S. H. M. (2023, June). Sustainable Analysis of Energy Consumption and Surface Quality of Monocrystalline Silicon in Diamond Wire Sawing. In International Manufacturing Science and Engineering Conference (Vol. 87240, p. V002T06A002). American Society of Mechanical Engineers.</t>
  </si>
  <si>
    <t>https://asmedigitalcollection.asme.org/MSEC/proceedings/MSEC2023/87240/V002T06A002/1168752?casa_token=kR-xtA2HohQAAAAA:2WQxzGuXqwX3tg5iokSa9ft6w6iOdp9ZSBLiwtNB-1DSMV6EkQ-9noo6Rh-ry57JznY1Y_S3KaEWeVlI</t>
  </si>
  <si>
    <t xml:space="preserve">Lekshmi, R.R., Bansi, C. (2023). A Demand Management Planning System for a Meat Factory Based on the Predicted Market Price Under Indian Market Scenario. In: Bindhu, V., Tavares, J.M.R.S., Vuppalapati, C. (eds) Proceedings of Fourth International Conference on Communication, Computing and Electronics Systems . Lecture Notes in Electrical Engineering, vol 977. Springer, Singapore. </t>
  </si>
  <si>
    <t>https://link.springer.com/chapter/10.1007/978-981-19-7753-4_34</t>
  </si>
  <si>
    <t>OLIVEIRA-LIMA J.A. (CTS/UNINOVA), MORAIS R. (CTS/UNINOVA), MARTINS J.F. (CTS/UNINOVA), FLOREA A. (ULBS), LIMA C. (UFOPA)</t>
  </si>
  <si>
    <t>OLIVEIRA-LIMA J.A., MORAIS R., MARTINS J.F., FLOREA A., LIMA C. - Load forecast on intelligent buildings based on temporary occupancy monitoring, Energy and Buildings 2016, Volume 116, 15 March 2016, Pages 512–521, Elsevier, Received date: 4-5-2015, Revised date: 20-1-2016, Accepted date: 21-1-2016, Available online 22 January 2016, DOI 10.1016/j.enbuild.2016.01.028.</t>
  </si>
  <si>
    <t>Tian, Z., Song, W., Lu, Y., Lin, X., &amp; Niu, J. (2023). Load extraction from actual operation data for data-driven ultra-short-term room air-conditioning load prediction. Energy and Buildings, 296, 113348.</t>
  </si>
  <si>
    <t>https://www.sciencedirect.com/science/article/pii/S0378778823005789?casa_token=10nbT74iiZkAAAAA:hYniIghYObyqG0lkQfQ1lz0L3-nHNAPFJOGKnL0NHITQWY0Ytj855GqrmgsziCxW7LVZAYyN3WM</t>
  </si>
  <si>
    <t>Karagiannis, D. (Univ. of Vienna), Buchmann, R. A. (UBB Cluj), Boucher, X. (EMSE), Cavalieri, S. (Univ. of Bergamo), Florea, A. (ULBS), Kiritsis, D. (SCI-STI-DK),  Lee, M. (Chonbuk University)</t>
  </si>
  <si>
    <t>Karagiannis, D., Buchmann, R. A., Boucher, X., Cavalieri, S., Florea, A., Kiritsis, D., &amp; Lee, M. (2020). OMiLAB: a smart innovation environment for digital engineers. In Boosting Collaborative Networks 4.0: 21st IFIP WG 5.5 Working Conference on Virtual Enterprises, PRO-VE 2020, Valencia, Spain, November 23–25, 2020, Proceedings 21 (pp. 273-282). Springer International Publishing.</t>
  </si>
  <si>
    <t>Ma, Q., Kaczmarek-Heß, M., &amp; de Kinderen, S. (2023). Validation and verification in domain-specific modeling method engineering: an integrated life-cycle view. Software and Systems Modeling, 22(2), 647-666.</t>
  </si>
  <si>
    <t>https://link.springer.com/article/10.1007/s10270-022-01056-3</t>
  </si>
  <si>
    <t>Fedeli, A., Beutling, N., Laurenzi, E., &amp; Polini, A. (2023). Comparison of general-purpose and domain-specific modeling languages in the IoT domain: A case study from the OMiLAB community.</t>
  </si>
  <si>
    <t>https://ceur-ws.org/Vol-3514/paper85.pdf</t>
  </si>
  <si>
    <t>Voelz, A., Muck, C., Amlashi, D. M., &amp; Karagiannis, D. (2023). Bridging haptic Design Thinking and cyber-physical environments through Digital Twins using conceptual modeling. Joint Proceedings of the BIR, 195-208.</t>
  </si>
  <si>
    <t>https://ceur-ws.org/Vol-3514/paper93.pdf</t>
  </si>
  <si>
    <t>Muck, C., &amp; Utz, W. (2023). A Recognition Service for Haptic Modelling in Scene2Model. In Proceedings of the AAAI2023 Spring Symposium on Challenges Requiring the Combination of Machine Learning and Knowledge Engineering (AAAI-MAKE 2023)„CEUR Workshop Proceedings.</t>
  </si>
  <si>
    <t>https://ceur-ws.org/Vol-3433/short4.pdf</t>
  </si>
  <si>
    <t>Fiore, U. (UniSa), Florea, A. (ULBS), &amp; Pérez Lechuga, G. (Univ Autonoma Estado Hidalgo)</t>
  </si>
  <si>
    <t>Fiore, U., Florea, A., &amp; Pérez Lechuga, G. (2019). An interdisciplinary review of smart vehicular traffic and its applications and challenges. Journal of Sensor and Actuator Networks, 8(1), 13.</t>
  </si>
  <si>
    <t>Mukunthan, M. A. (2023, December). The Evolution of Emotion Recognition in Speech: A Deep Learning Perspective. In 2023 International Conference on Energy, Materials and Communication Engineering (ICEMCE) (pp. 1-6). IEEE.</t>
  </si>
  <si>
    <t>https://ieeexplore.ieee.org/abstract/document/10434020?casa_token=k2qsaGWoZxgAAAAA:2q4hrbtOts_hJHRT6IdKf4OpwKTeFcd6CqLrKuQfoPToJDXJMYjoIw_NFBCJyEYeBpg4VzSaVmtMFA</t>
  </si>
  <si>
    <t>Reis, A., Madureira, R., &amp; Teixeira, L. (2023, June). Information and Communication Technologies in Smart Mobility: Exploratory study based on literature. In 2023 18th Iberian Conference on Information Systems and Technologies (CISTI) (pp. 1-6). IEEE.</t>
  </si>
  <si>
    <t>https://ieeexplore.ieee.org/abstract/document/10212023?casa_token=J02-79QCYBoAAAAA:FDlZ0QP8C51zvp4JTUaN0-tVGxWbBZAyWU4hlbLy_dM7Amg0A1wCqceW795bvne0E-jiT6GbRCRD9w</t>
  </si>
  <si>
    <t>Pavithra, A., Ledalla, S., Devi, J. S., Dinesh, G., Singh, M., &amp; Reddy, G. V. (2023). Deep Learning-based Speech Emotion Recognition: An Investigation into a sustainably Emotion-Speech Relationship. In E3S Web of Conferences (Vol. 430, p. 01091). EDP Sciences.</t>
  </si>
  <si>
    <t>https://www.e3s-conferences.org/articles/e3sconf/abs/2023/67/e3sconf_icmpc2023_01091/e3sconf_icmpc2023_01091.html</t>
  </si>
  <si>
    <t>Grecu, V. (ULBS), Ciobotea, R. I. G. (Endava company), &amp; Florea, A. (ULBS)</t>
  </si>
  <si>
    <t>Grecu, V., Ciobotea, R. I. G., &amp; Florea, A. (2020). Software application for organizational sustainability performance assessment. Sustainability, 12(11), 4435.</t>
  </si>
  <si>
    <t>Mengistu, A. T., &amp; Panizzolo, R. (2023). Analysis of indicators used for measuring industrial sustainability: a systematic review. Environment, Development and Sustainability, 25(3), 1979-2005.</t>
  </si>
  <si>
    <t>https://link.springer.com/article/10.1007/s10668-021-02053-0</t>
  </si>
  <si>
    <t>Ibrahim, S. R. A., Sallehudin, H., &amp; Yahaya, J. (2023, October). Exploring Software Development Waste and Lean Approach in Green Perspective. In 2023 International Conference on Electrical Engineering and Informatics (ICEEI) (pp. 1-6). IEEE.</t>
  </si>
  <si>
    <t>https://ieeexplore.ieee.org/abstract/document/10346869?casa_token=Br5CKUC-3FsAAAAA:RdNfnlKry-3f4u7CIR0ZW3si2cemG35425FtVzofKCnvWD52omB3upYRvSIpvCUov_G5ivWhKcDrfQ</t>
  </si>
  <si>
    <t>Gellert A.(ULBS), Florea A. (ULBS), Fiore U. (UniSa), Paolo Zanetti (Univ. of Parthenope), Vintan L. (ULBS)</t>
  </si>
  <si>
    <t>Gellert, A., Florea, A., Fiore, U., Zanetti, P., &amp; Vintan, L. (2019). Performance and energy optimisation in CPUs through fuzzy knowledge representation. Information Sciences, 476, 375-391.</t>
  </si>
  <si>
    <t>Boroujerdian, B., Jing, Y., Tripathy, D., Kumar, A., Subramanian, L., Yen, L., ... &amp; Reddi, V. J. (2023). FARSI: An early-stage design space exploration framework to tame the domain-specific system-on-chip complexity. ACM Transactions on Embedded Computing Systems, 22(2), 1-35.</t>
  </si>
  <si>
    <t>https://dl.acm.org/doi/full/10.1145/3544016</t>
  </si>
  <si>
    <t>Fan, T. (2023). Research on Multirelational Entity Modeling based on Knowledge Graph Representation Learning. Recent Advances in Computer Science and Communications (Formerly: Recent Patents on Computer Science), 16(8), 38-44.</t>
  </si>
  <si>
    <t>https://www.ingentaconnect.com/content/ben/rascs/2023/00000016/00000008/art00005</t>
  </si>
  <si>
    <t>Gellert, A. (ULBS), Palermo, G.(Politecnica di Milano), Zaccaria, V.(Politecnica di Milano), Florea, A.(ULBS), Vintan, L.(ULBS), &amp; Silvano, C.(Politecnica di Milano)</t>
  </si>
  <si>
    <t>Gellert, A., Palermo, G., Zaccaria, V., Florea, A., Vintan, L., &amp; Silvano, C. (2010, March). Energy-performance design space exploration in SMT architectures exploiting selective load value predictions. In 2010 Design, Automation &amp; Test in Europe Conference &amp; Exhibition (DATE 2010) (pp. 271-274). IEEE.</t>
  </si>
  <si>
    <t>Huang Libo, Yang Ling, Yang Qianming, Ma Sheng, Wang Yongwen, Sui Bingcai, ... &amp; Xu Weixia. (2023). Research on processor value prediction technology. Journal of Electronics, 51(12), 3591-3618.</t>
  </si>
  <si>
    <t>https://www.ejournal.org.cn/CN/PDF/10.12263/DZXB.20230206</t>
  </si>
  <si>
    <t>Berntzen, L. (USN), Johannessen, M. R.(USN), &amp; Florea, A.(ULBS)</t>
  </si>
  <si>
    <t>Berntzen, L., Johannessen, M. R., &amp; Florea, A. (2016). Sensors and the smart city: Creating a research design for sensor-based smart city projects. In ThinkMind//SMART 2016, The Fifth International Conference on Smart Cities, Systems, Devices and Technologies.</t>
  </si>
  <si>
    <t>Jang, H., Ryu, H., &amp; Kwahk, J. (2023). A framework for simulating the suitability of data usage in designing smart city services. Journal of Urban Planning and Development, 149(3), 04023019.</t>
  </si>
  <si>
    <t>https://ascelibrary.org/doi/abs/10.1061/JUPDDM.UPENG-4280</t>
  </si>
  <si>
    <t>Nagpal, R., Mehrotra, D., Sehgal, R., Srivastava, G., &amp; Lin, J. C. W. (2023). Overcoming smart city barriers using multi-modal interpretive structural modeling. Journal of Signal Processing Systems, 95(2), 253-269.</t>
  </si>
  <si>
    <t>https://link.springer.com/article/10.1007/s11265-022-01751-w</t>
  </si>
  <si>
    <t>Raja, R., &amp; Saraswathi, R. (2023, January). An GMM Method in IoT Approach to Improve Energy Efficiency in Smart Building. In 2023 5th International Conference on Smart Systems and Inventive Technology (ICSSIT) (pp. 407-414). IEEE.</t>
  </si>
  <si>
    <t>https://ieeexplore.ieee.org/abstract/document/10061096?casa_token=spRmoOAWbbUAAAAA:6bVZJuj0WOQ4i2LbESnPgQzaKal0_a6duMkrK3SOMFAo9uuf4gsHPKP0mSWV5HKQbyjr4INN44z4GQ</t>
  </si>
  <si>
    <t>Naranjo, F. V., Vivar, S. M., Arias, E. J., &amp; Atassi, R. (2023). Early Energy Consumption Prediction as a Key Element in Smart City Sustainability. Journal of Intelligent Systems and Internet of Things, 11(1), 12-2.</t>
  </si>
  <si>
    <t>https://www.americaspg.com/articleinfo/18/show/2277</t>
  </si>
  <si>
    <t>Florea, A.(ULBS), Buduleci, C.(ULBS), Chiş, R.(ULBS), Gellert, A.(ULBS), &amp; Vinţan, L.(ULBS)</t>
  </si>
  <si>
    <t>Florea, A., Buduleci, C., Chiş, R., Gellert, A., &amp; Vinţan, L. (2014, October). Enhancing the Sniper simulator with thermal measurement. In 2014 18th International Conference on System Theory, Control and Computing (ICSTCC) (pp. 31-36). IEEE.</t>
  </si>
  <si>
    <t>Jiang, L., Dowling, A., Cheng, M. C., &amp; Liu, Y. (2023). PODTherm-GP: A Physics-based Data-Driven Approach for Effective Architecture-Level Thermal Simulation of Multi-Core CPUs. IEEE Transactions on Computers.</t>
  </si>
  <si>
    <t>https://ieeexplore.ieee.org/abstract/document/10130335?casa_token=qMCVB3OHeGoAAAAA:AxhpsRkigh-pJ8o8wHfsNFPIedQUcd6ySZr8LizbOfFFJg73zn72dqBQBZCybx50TGsFuMFELvfYvQ</t>
  </si>
  <si>
    <t>Gellert, A. (ULBS), Calborean, H.(ULBS), Vintan, L.(ULBS), &amp; Florea, A.(ULBS)</t>
  </si>
  <si>
    <t>Gellert, A., Calborean, H., Vintan, L., &amp; Florea, A. (2012). Multi-objective optimisations for a superscalar architecture with selective value prediction. IET computers &amp; digital techniques, 6(4), 205-213.</t>
  </si>
  <si>
    <t>Zaourar, L., Chillet, A., &amp; Philippe, J. M. (2023, September). A-DECA: an Automated Design space Exploration approach for Computing Architectures to develop efficient high-performance many core processors. In DSD/SEAA 2023-26th Euromicro Conference Series on Digital System Design (DSD) and 49th Euromicro Conference Series on Software Engineering and Advanced Applications (SEAA) (pp. 756-763).</t>
  </si>
  <si>
    <t>https://cea.hal.science/cea-04224485/</t>
  </si>
  <si>
    <t xml:space="preserve">Jurczuk, A. (Univ. of Byalistok), &amp; Florea, A. (ULBS) </t>
  </si>
  <si>
    <t>Jurczuk, A., &amp; Florea, A. (2022). Future-oriented digital skills for process design and automation. Human Technology, 18(2), 122-142.</t>
  </si>
  <si>
    <t>Siderska, J., &amp; Alsaqoor, S. (2023). Employees’ attitudes towards implementing robotic process automation technology at service companies. Human Technology, 19(1), 23-40.</t>
  </si>
  <si>
    <t>https://ht.csr-pub.eu/index.php/ht/article/view/373</t>
  </si>
  <si>
    <t>Kliestik, T., Nica, E., Durana, P., &amp; Popescu, G. H. (2023). Artificial intelligence-based predictive maintenance, time-sensitive networking, and big data-driven algorithmic decision-making in the economics of Industrial Internet of Things. Oeconomia Copernicana, 14(4), 1097-1138.</t>
  </si>
  <si>
    <t>https://journals.economic-research.pl/oc/article/view/2845</t>
  </si>
  <si>
    <t>Siddiqui, F. H., Thaheem, M. J., &amp; Abdekhodaee, A. (2023). A Review of the Digital Skills Needed in the Construction Industry: Towards a Taxonomy of Skills. Buildings, 13(11), 2711.</t>
  </si>
  <si>
    <t>https://www.mdpi.com/2075-5309/13/11/2711</t>
  </si>
  <si>
    <t>Ghassoul, A., &amp; Messaadia, M. (2023, January). Analyzing the required skills and competencies in Industrial revolution 4.0 and 5.0: A Literature Review. In 2023 International Conference On Cyber Management And Engineering (CyMaEn) (pp. 39-44). IEEE.</t>
  </si>
  <si>
    <t>https://ieeexplore.ieee.org/abstract/document/10050941</t>
  </si>
  <si>
    <t>Androniceanu, A., Sabie, O. M., Georgescu, I., &amp; Drugău-Constantin, A. L. (2023). Main factors and causes that are influencing the digital competences of human resources. Administratie si Management Public, (41), 26-53.</t>
  </si>
  <si>
    <t>https://www.researchgate.net/profile/Irina-Georgescu/publication/375990130_Main_factors_and_causes_that_are_influencing_the_digital_competences_of_human_resources/links/656619b3b1398a779dc1808a/Main-factors-and-causes-that-are-influencing-the-digital-competences-of-human-resources.pdf</t>
  </si>
  <si>
    <t>Androniceanu, A., &amp; Georgescu, I. (2023). Digital competences and human development: a canonical correlation analysis in Romania. Polish Journal of Management Studies, 28.</t>
  </si>
  <si>
    <t>https://yadda.icm.edu.pl/yadda/element/bwmeta1.element.baztech-877e9da3-1de0-4a81-ab49-a436f99656d7/c/PJMS_28_1_03.pdf</t>
  </si>
  <si>
    <t>Androniceanu, A., &amp; Georgescu, I. (2023). Hierarchical Clustering of the European Countries from the Perspective of E-government, E-participation, and Human Development. NISPAcee Journal of Public Administration and Policy, 16(2), 1-29.</t>
  </si>
  <si>
    <t>https://sciendo.com/article/10.2478/nispa-2023-0011</t>
  </si>
  <si>
    <t>W. Rydzak, J. Przybylska, J. Trębecki, Miguel Afonso Sellitto (2023) The communication gap and the effect of self-perception on assessment of internal auditors‘ communication skills Economics &amp; Sociology, undefined https://doi.org/doi:10.14254/2071-789x.2023/16-2/10</t>
  </si>
  <si>
    <t>https://www.economics-sociology.eu/?966,en_the-communication-gap-and-the-effect-of-self-perception-on-assessment-of-internal-auditors%E2%80%98-communication-skills</t>
  </si>
  <si>
    <t>Talíř, M., Straková, J.,Váchal, J., &amp; Kollmann, J. (2023). Analysis of Value-Creating and Supporting Component of the Value Chain in the Production Process. European Journal of Interdisciplinary Studies, 15(2).</t>
  </si>
  <si>
    <t>https://www.researchgate.net/profile/Milan-Talir/publication/376612760_Analysis_of_Value-Creating_and_Supporting_Component_of_the_Value_Chain_in_the_Production_Process/links/658095ea6f6e450f198229ed/Analysis-of-Value-Creating-and-Supporting-Component-of-the-Value-Chain-in-the-Production-Process.pdf</t>
  </si>
  <si>
    <t xml:space="preserve">Florea, A. (ULBS), &amp; Fleaca, V. (ULBS) </t>
  </si>
  <si>
    <t>Florea, A., &amp; Fleaca, V. (2020, October). Implementing an embedded system to identify possible COVID-19 suspects using thermovision cameras. In 2020 24th International Conference on System Theory, Control and Computing (ICSTCC) (pp. 322-327). IEEE.</t>
  </si>
  <si>
    <t>Canilang, H. M. O., Caliwag, A. C., Camacho, J. R. C., Lim, W., &amp; Maier, M. (2023). Edge TMS: Optimized Real-Time Temperature Monitoring Systems deployed on Edge AI Devices. IEEE Internet of Things Journal.</t>
  </si>
  <si>
    <t>https://ieeexplore.ieee.org/abstract/document/10173681?casa_token=t1JARpAMQSEAAAAA:ZBcfxxdouQ2cfe1OVH-pL33GlBmBhmuNuJfcaWFsepQ0BUOpPo4BRQYhSAzuWfqg7bs0gszTswlklQ</t>
  </si>
  <si>
    <t>Rouhafzay, G., Valencia, A. J., Rowlands, S., Yang, S., &amp; Payeur, P. (2023, July). Automatic Real-Time Fever Screening in a Thermal Video Surveillance System. In 2023 IEEE Sensors Applications Symposium (SAS) (pp. 1-6). IEEE.</t>
  </si>
  <si>
    <t>https://ieeexplore.ieee.org/abstract/document/10253973?casa_token=vEhl8Is3B7oAAAAA:npLU71cp0kpgMt05M1dhhFTxnmf0JuzVnzzwdo_6fyJRmEvdR1UV37CEutE1QJoOPhX8KQdndrca3w</t>
  </si>
  <si>
    <t>Kifor, C. V. (ULBS), Nicolaescu, S. S. (ULBS), Florea, A. (ULBS), Săvescu, R. F. (ULBS), Receu, I. (Sobis company), Ţîrlea, A. V. (ULBS), &amp; Dănuţ, R. E. (ULBS)</t>
  </si>
  <si>
    <t>Kifor, C. V., Nicolaescu, S. S., Florea, A., Săvescu, R. F., Receu, I., Ţîrlea, A. V., &amp; Dănuţ, R. E. (2021). Workforce analytics in teleworking. IEEE Access, 9, 156451-156464.</t>
  </si>
  <si>
    <t>Upadhyayula, S. M., Shruti, A., &amp; Narayanan, S. (2023, August). Workforce Data Analysis. In 2023 Second International Conference On Smart Technologies For Smart Nation (SmartTechCon) (pp. 819-824). IEEE.</t>
  </si>
  <si>
    <t>https://ieeexplore.ieee.org/abstract/document/10391639</t>
  </si>
  <si>
    <t>Morea, D., Basile, G., Bonacci, I., &amp; Mazzitelli, A. (2023). Smart working as an organisational process or as a social change? An Italian pandemic experience. Employee Relations: The International Journal, 45(3), 677-703.</t>
  </si>
  <si>
    <t>https://www.emerald.com/insight/content/doi/10.1108/ER-03-2022-0152/full/html?casa_token=ySvu5UBn-CcAAAAA:QQKw6WTEjIA9XiysktxQz1uGY5UbLs6k4t1jDODSSa0Eh_36dnQD0CuUrUDzkaBjkYgaPreOTH-VhjS8Ak09tN3h3ygRHiJ6Pzlf460egIPyYo-r3VOrqQ</t>
  </si>
  <si>
    <t>Belizón, M. J., Majarín, D., &amp; Aguado, D. (2023). Human resources analytics in practice: A knowledge discovery process. European Management Review.</t>
  </si>
  <si>
    <t>Florea, A. (ULBS), Cofaru, I. I. (ULBS), ROMAN, L. (ULBS), &amp; Cofaru, N. (ULBS)</t>
  </si>
  <si>
    <t>Florea, A., Cofaru, I. I., ROMAN, L., &amp; Cofaru, N. (2016). Applying the Multi-objective Optimization Techniques in the Design of Suspension Systems. Journal of Digital Information Management, 14(6).</t>
  </si>
  <si>
    <t>Kiburi, F. G., Ronoh, E. K., Kanali, C. L., Kituu, G. M., &amp; Ajwang, P. O. (2023). Exergetic optimisation of a solar-biomass hybrid greenhouse dryer in drying banana slices. International Journal of Exergy, 41(1), 41-59.</t>
  </si>
  <si>
    <t>https://www.inderscienceonline.com/doi/abs/10.1504/IJEX.2023.130940</t>
  </si>
  <si>
    <t>Gellert, A. (ULBS), &amp; Florea, A. (ULBS)</t>
  </si>
  <si>
    <t>Gellert, A., &amp; Florea, A. (2014). Web Page Prediction Enhanced with Confidence Mechanism. J. Web Eng., 13(5&amp;6), 507-524.</t>
  </si>
  <si>
    <t>Won, J., Zou, W., Jemin, A., Lim, J., Kim, G. W., &amp; Kang, K. (2023, March). Proxy-based Web Prefetching Exploiting Long Short-Term Memory. In Proceedings of the 38th ACM/SIGAPP Symposium on Applied Computing (pp. 1831-1834).</t>
  </si>
  <si>
    <t>https://dl.acm.org/doi/pdf/10.1145/3555776.3577865</t>
  </si>
  <si>
    <t>Florea A. (ULBS)</t>
  </si>
  <si>
    <t>Florea, A. (2019). Digital design skills for factories of the future. In MATEC Web of Conferences (Vol. 290, p. 14002). EDP Sciences.</t>
  </si>
  <si>
    <t>Maniu, I., Maniu, G. C., Antonescu, E., Duica, L., Grigore, N., &amp; Totan, M. (2023). SARS-CoV-2 Antibody Responses in Pediatric Patients: A Bibliometric Analysis. Biomedicines, 11(5), 1455.</t>
  </si>
  <si>
    <t>Cordero, D., Altamirano, K. L., Parra, J. O., &amp; Espinoza, W. S. (2023). Intention to adopt industry 4.0 by organizations in Colombia, Ecuador, Mexico, Panama, and Peru. IEEE Access, 11, 8362-8386.</t>
  </si>
  <si>
    <t>https://ieeexplore.ieee.org/abstract/document/10023496</t>
  </si>
  <si>
    <t>Révész, A. (UCL), Bunting, L. (Univ. Goteborg), Florea, A., Gilabert, R. (Univ. Barcelona), Hård af Segerstad, Y.(Univ. Goteborg), Mihu, I. P. (ULBS), Benton L. (UCL) &amp; Vasalou, A. (UCL), CLIFF PARRY
(British Council Greece)</t>
  </si>
  <si>
    <t>Révész, A., Bunting, L., Florea, A., Gilabert, R., Hård af Segerstad, Y., Mihu, I. P., ... &amp; Vasalou, A. (2021). The effects of multiple‐exposure textual enhancement on child L2 learners’ development in derivational morphology: A multi‐site study. TESOL Quarterly, 55(3), 901-930.</t>
  </si>
  <si>
    <t>Al-Shammari, A. H., &amp; Sahiouni, A. A. (2023). Impact of textual enhancement and input processing on syntactic development of EFL university students in Kuwait. Education and Information Technologies, 28(11), 15205-15221.</t>
  </si>
  <si>
    <t>https://link.springer.com/article/10.1007/s10639-023-11799-1</t>
  </si>
  <si>
    <t>Lloyd, J. S., &amp; Lee, A. H. (2023). The effects of various combinations of form-focused instruction techniques on the acquisition of English articles by second language learners of English. Language Teaching Research, 0(0). https://doi.org/10.1177/13621688231193153</t>
  </si>
  <si>
    <t>https://koreascience.kr/article/JAKO200717357306222.pdf</t>
  </si>
  <si>
    <t>Nicolaescu, S. S. (ULBS), Palade, H. C. (ULBS), Kifor, C. V.(ULBS), &amp; Florea, A. (ULBS)</t>
  </si>
  <si>
    <t>Nicolaescu, S. S., Palade, H. C., Kifor, C. V., &amp; Florea, A. (2017). Collaborative platform for transferring knowledge from university to industry-a bridge grant case study. In Proceedings of the 4th IETEC Conference, Hanoi, Vietnam (pp. 475-488).</t>
  </si>
  <si>
    <t>Khan, S., Liu, X., Ali, S. A., &amp; Alam, M. (2023). Bivariate, cluster, and suitability analysis of NoSQL solutions for big graph applications. In Advances in Computers (Vol. 128, pp. 39-105). Elsevier.</t>
  </si>
  <si>
    <t>https://www.sciencedirect.com/science/article/abs/pii/S0065245821000590</t>
  </si>
  <si>
    <t xml:space="preserve">Florea, A. (ULBS), Sipos, A.(ULBS), &amp; Stoisor, M. C.(ULBS) </t>
  </si>
  <si>
    <t>Florea, A., Sipos, A., &amp; Stoisor, M. C. (2022). Applying AI Tools for Modeling, Predicting and Managing the White Wine Fermentation Process. Fermentation, 8(4), 137.</t>
  </si>
  <si>
    <t>Kiatkittipong, W., &amp; Lim, J. W. (2023). Reinventing Processes for Sustainability via Process Intensification and Integration. Processes, 12(1), 63.</t>
  </si>
  <si>
    <t>https://www.mdpi.com/2227-9717/12/1/63</t>
  </si>
  <si>
    <t>Kovačević, I., Orić, M., Tolić, I. H., &amp; Nyarko, E. K. (2023, December). Predicting the Specific Gravity of Must During Fermentation Using Machine Learning Models. In International Conference on Organization and Technology of Maintenance (pp. 351-363). Cham: Springer Nature Switzerland.</t>
  </si>
  <si>
    <t>Fiore, U. (UniSa), Florea, A. (ULBS), Kifor, C. V. (ULBS), &amp; Zanetti, P. (Univ. of Pathenope)</t>
  </si>
  <si>
    <t>Fiore, U., Florea, A., Kifor, C. V., &amp; Zanetti, P. (2021). Digitization, Epistemic Proximity, and the Education System: Insights from a Bibliometric Analysis. Journal of Risk and Financial Management, 14(6), 267.</t>
  </si>
  <si>
    <t>Fiore, U.(Univ. of Pathenope), Florea, A., (ULBS) Gellert, A., (ULBS) Vintan, L.(ULBS), &amp; Zanetti, P. (Univ. of Pathenope)</t>
  </si>
  <si>
    <t>Fiore, U., Florea, A., Gellert, A., Vintan, L., &amp; Zanetti, P. (2018, September). Optimal partitioning of LLC in CAT-enabled CPUs to prevent side-channel attacks. In International Symposium on Cyberspace Safety and Security (pp. 115-123). Cham: Springer International Publishing.</t>
  </si>
  <si>
    <t>Mahipal, S., &amp; Sharmila, V. C. (2023). A Security Framework for Improving QoS by Detecting and Mitigating Cache Side-Channel Attacks in Virtualized Environments. IAENG Int J Comput Sci, 50(2).</t>
  </si>
  <si>
    <t>https://www.iaeng.org/IJCS/issues_v50/issue_2/IJCS_50_2_29.pdf</t>
  </si>
  <si>
    <t>Bogdan Mihai (ULBS)</t>
  </si>
  <si>
    <t>How to Use the DHT22 Sensor for Measuring Temperature and Humidity with the Arduino Board</t>
  </si>
  <si>
    <t xml:space="preserve">Paśnikowska-Łukaszuk, M., Wlazło-Ćwiklińska, M., Zubrzycki, J., Suchorab, Z., Comparison of Measurement Possibilities by Non-Invasive Reflectometric Sensors and Invasive Probes, Applied Sciences (Switzerland), Volume 13, Issue 1, January 2023 </t>
  </si>
  <si>
    <t>https://www.scopus.com/record/display.uri?eid=2-s2.0-85145678627&amp;origin=resultslist&amp;sort=plf-f&amp;src=s&amp;st1=Comparison+of+Measurement+Possibilities+by+Non-Invasive+Reflectometric+Sensors+and+Invasive+Probes&amp;sid=095c229a2730e40adafa9dbf745f238d&amp;sot=b&amp;sdt=b&amp;sl=113&amp;s=TITLE-ABS-KEY%28Comparison+of+Measurement+Possibilities+by+Non-Invasive+Reflectometric+Sensors+and+Invasive+Probes%29&amp;relpos=0&amp;citeCnt=0&amp;searchTerm=</t>
  </si>
  <si>
    <t xml:space="preserve">Deen, Ashraf Ali Jamal, Sarawanan, Thivagar Chettiar,  Arduino Based Smart IoT Food Quality Monitoring System,  Proceedings of International Conference on Artificial Life and Robotics, Pages 23 - 27,  2023 </t>
  </si>
  <si>
    <t>https://www.scopus.com/record/display.uri?eid=2-s2.0-85149449062&amp;origin=SingleRecordEmailAlert&amp;dgcid=raven_sc_authcite_en_us_email&amp;txGid=945df008077a511429e11d3dffbb10af</t>
  </si>
  <si>
    <t xml:space="preserve">Azizul Hakim M., Shahrier H., Fatema T., 	IoT-Based Real-Time Air Quality Monitoring and Alerting System for Patients with Chronic Respiratory Disease, Lecture Notes in Networks and SystemsVolume 615 LNNS, Pages 97 - 107, 2023 </t>
  </si>
  <si>
    <t>https://www.scopus.com/record/display.uri?eid=2-s2.0-85161221794&amp;origin=SingleRecordEmailAlert&amp;dgcid=raven_sc_authcite_en_us_email&amp;txGid=a87270c9d17639c2a34854f03e2e7e1d</t>
  </si>
  <si>
    <t>Grari M., Idrissi I., Boukabous M., IoT-Based Approach for Wildfire Monitoring and Detection, Volume 712 LNNS, Pages 205 - 213, International Conference on Advanced Intelligent Systems for Sustainable Development, 2023</t>
  </si>
  <si>
    <t>https://www.scopus.com/record/display.uri?eid=2-s2.0-85164138523&amp;origin=SingleRecordEmailAlert&amp;dgcid=raven_sc_authcite_en_us_email&amp;txGid=0b1c8d139619f2b929af14c4e13c5654</t>
  </si>
  <si>
    <t>Wutthichai Paengkaew, Atsamon Limsakul, Development of a hot weather warning tool for heat index
monitoring in Thailand, Journal of Public Health and Development,
Vol.21, No.3, September-December 2023</t>
  </si>
  <si>
    <t>https://www.scopus.com/record/display.uri?eid=2-s2.0-85167968687&amp;origin=resultslist&amp;sort=plf-f&amp;src=s&amp;sid=63384b972d9396ce529288e871339c68&amp;sot=b&amp;sdt=b&amp;s=TITLE-ABS-KEY%28Development+of+a+hot+weather+warning+tool+for+heat+index+monitoring+in+Thailand%29&amp;sl=90&amp;sessionSearchId=63384b972d9396ce529288e871339c68</t>
  </si>
  <si>
    <t>Oguntosin, Victoria; Okeke, Chioma; Adetiba, Emmanuel; Abdulkareem, Ademola; Olowoleni, Joseph,  IoT-Based Greenhouse Monitoring and Control System, International Journal of Computing and Digital Systems, DOI: http://dx.doi.org/10.12785/ijcds/140137
ISSN: 2210-142X, 2023</t>
  </si>
  <si>
    <t>https://www.scopus.com/record/display.uri?eid=2-s2.0-85168677297&amp;origin=SingleRecordEmailAlert&amp;dgcid=raven_sc_authcite_en_us_email&amp;txGid=af1a0787487cc2d82d207a7edd80eadfhttps://www.scopus.com/record/display.uri?eid=2-s2.0-85168677297&amp;origin=SingleRecordEmailAlert&amp;dgcid=raven_sc_authcite_en_us_email&amp;txGid=af1a0787487cc2d82d207a7edd80eadfhttps://www.scopus.com/record/display.uri?eid=2-s2.0-85168677297&amp;origin=SingleRecordEmailAlert&amp;dgcid=raven_sc_authcite_en_us_email&amp;txGid=af1a0787487cc2d82d207a7edd80eadfhttps://www.scopus.com/record/display.uri?eid=2-s2.0-85168677297&amp;origin=SingleRecordEmailAlert&amp;dgcid=raven_sc_authcite_en_us_email&amp;txGid=af1a0787487cc2d82d207a7edd80eadf</t>
  </si>
  <si>
    <t>How to use the DHT22 sensor for measuring temperature and humidity with the arduino board</t>
  </si>
  <si>
    <t>W Paengkaew, A Limsakul, E Kokkaew, S Sooktawee, Development of a hot weather warning tool for heat index monitoring in Thailand, Journal of Public Health and Development, Published: Aug 9, 2023</t>
  </si>
  <si>
    <t>https://www.scopus.com/record/display.uri?eid=2-s2.0-85167968687&amp;origin=resultslist&amp;sort=plf-f&amp;src=s&amp;sid=b6a90b0cb7472ba2ef5da7fb124ee595&amp;sot=b&amp;sdt=b&amp;s=TITLE-ABS-KEY%28Development+of+a+hot+weather+warning+tool+for+heat+index+monitoring+in+Thailand%29&amp;sl=136&amp;sessionSearchId=b6a90b0cb7472ba2ef5da7fb124ee595</t>
  </si>
  <si>
    <t>Syahrul Akbar; Satrio Rizq Mauladito; IoT Based AC Electric Vehicle Supply Equipment, International Conference on Electronic and Electrical Engineering and Intelligent System (ICE3IS), DOI: 10.1109/ICE3IS59323.2023.10335105, 09-10 August 2023</t>
  </si>
  <si>
    <t>https://www.scopus.com/record/display.uri?eid=2-s2.0-85181538171&amp;origin=resultslist&amp;sort=plf-f&amp;src=s&amp;sid=80c3458770f523086b1e1b41a4f5a294&amp;sot=b&amp;sdt=b&amp;s=TITLE-ABS-KEY%28IoT+Based+AC+Electric+Vehicle+Supply+Equipment%29&amp;sl=61&amp;sessionSearchId=80c3458770f523086b1e1b41a4f5a294&amp;relpos=1</t>
  </si>
  <si>
    <t>Light intensity measurement using Lab View graphical programming environment</t>
  </si>
  <si>
    <t xml:space="preserve">Maria-Elena Stanciu; Rodica-Mihaela Teodorescu, Transmission Techniques in Data Acquisition Systems using Arduino and ESP32, 15th International Conference on Electronics, Computers and Artificial Intelligence (ECAI), 2023 </t>
  </si>
  <si>
    <t>https://www.scopus.com/record/display.uri?eid=2-s2.0-85168109971&amp;origin=resultslist&amp;sort=plf-f&amp;src=s&amp;sid=5087cd1a2ccb090eef68e2f818811734&amp;sot=b&amp;sdt=b&amp;s=TITLE-ABS-KEY%28Transmission+Techniques+in+Data+Acquisition+Systems+using+Arduino+and+ESP32%29&amp;sl=90&amp;sessionSearchId=5087cd1a2ccb090eef68e2f818811734</t>
  </si>
  <si>
    <t xml:space="preserve">Bogdan Mihai (ULBS), Panu Mihai </t>
  </si>
  <si>
    <t>LabVIEW modeling and simulation, of the low-pass and high-pass analog filters</t>
  </si>
  <si>
    <t xml:space="preserve">Sun, G., Ren, X., Wang, Z., Adaptive low-power wrist SpO2 monitoring system design using a multi-filtering scheme, Biomedical Signal Processing and Control, Volume 81, March 2023 </t>
  </si>
  <si>
    <t>https://www.scopus.com/record/display.uri?eid=2-s2.0-85145658070&amp;origin=resultslist&amp;sort=plf-f&amp;src=s&amp;st1=Adaptive+low-power+wrist+SpO2+monitoring+system+design+using+a+multi-filtering+scheme&amp;sid=3dcadf690a9a821f1f5f012b057db1f5&amp;sot=b&amp;sdt=b&amp;sl=100&amp;s=TITLE-ABS-KEY%28Adaptive+low-power+wrist+SpO2+monitoring+system+design+using+a+multi-filtering+scheme%29&amp;relpos=0&amp;citeCnt=0&amp;searchTerm=</t>
  </si>
  <si>
    <t>Measurement experiment, using NI USB-6008 data acquisition</t>
  </si>
  <si>
    <t xml:space="preserve">A. Karthikeyan, S. Mohaimen, Development of low-cost single degree rectilinear Spring Mass Damper open loop system, AIP Conference Proceedings, Volume 2825, Issue 1, November 2023 </t>
  </si>
  <si>
    <t>https://www.scopus.com/record/display.uri?eid=2-s2.0-85178578111&amp;origin=SingleRecordEmailAlert&amp;dgcid=raven_sc_authcite_en_us_email&amp;txGid=8f79e4c426bf2a2fc2cef0ed3310d314</t>
  </si>
  <si>
    <t xml:space="preserve">Sampling rate and aliasing on a virtual laboratory </t>
  </si>
  <si>
    <t>Huyen-Tram Nguyen, Yunje Lee, Jaehun Ahn, Taek Hee Han and Jun Kil Park, A Low-Cost Lightweight Deflectometer with an Arduino-Based
Signal Interpretation Kit to Evaluate Soil Modulus, Sensors 2023, 23, 9710. https://doi.org/10.3390/s23249710</t>
  </si>
  <si>
    <t>https://www.scopus.com/record/display.uri?eid=2-s2.0-85180688673&amp;origin=SingleRecordEmailAlert&amp;dgcid=raven_sc_authcite_en_us_email&amp;txGid=baa10702227a5a1ed311a11feedd742d</t>
  </si>
  <si>
    <t>Dorobanțiu Alexandru (ULBS), Valentin Ogrean (ULBS), and Remus Brad (ULBS)</t>
  </si>
  <si>
    <t>Coronary centerline extraction from ccta using 3d-unet</t>
  </si>
  <si>
    <t>Xu, P., Holstein-Rathlou, N. H., Søgaard, S. B., Gundlach, C., Sørensen, C. M., Erleben, K., ... &amp; Darkner, S. (2023). A hybrid approach to full-scale reconstruction of renal arterial network. Scientific Reports, 13(1), 7569.</t>
  </si>
  <si>
    <t>https://www.nature.com/articles/s41598-023-34739-y</t>
  </si>
  <si>
    <t>Cosmin A. Basca (ULBS), Mihai Talos (ULBS) and Remus Brad (ULBS)</t>
  </si>
  <si>
    <t>Randomized hough transform for ellipse detection with result clustering</t>
  </si>
  <si>
    <t>Jiang, Z., &amp; Messner, J. I. (2023). Computer Vision Applications In Construction And Asset Management Phases: A Literature Review. Journal of Information Technology in Construction, 28.</t>
  </si>
  <si>
    <t>https://openurl.ebsco.com/EPDB%3Agcd%3A6%3A24459606/detailv2?sid=ebsco%3Aplink%3Ascholar&amp;id=ebsco%3Agcd%3A174863522&amp;crl=c</t>
  </si>
  <si>
    <t>Jia, Q., Fan, X., Yang, Y., Liu, X., Luo, Z., Wang, Q., ... &amp; Latecki, L. J. (2023). Characteristic Mapping for Ellipse Detection Acceleration. IEEE Transactions on Image Processing.</t>
  </si>
  <si>
    <t>https://ieeexplore.ieee.org/abstract/document/10107724</t>
  </si>
  <si>
    <t>Melikechi, O., &amp; Dunson, D. B. (2023). Ellipsoid fitting with the Cayley transform. IEEE Transactions on Signal Processing.</t>
  </si>
  <si>
    <t>https://ieeexplore.ieee.org/abstract/document/10324847</t>
  </si>
  <si>
    <t>Zhang, H., Wang, L., Liu, W., Cui, J., &amp; Tan, J. (2023). A Method for Measuring Parameters of Defective Ellipse Based on Vision. Sensors, 23(14), 6433.</t>
  </si>
  <si>
    <t>https://www.mdpi.com/1424-8220/23/14/6433</t>
  </si>
  <si>
    <t>Akhtar, N., Haldar, T., Basak, A., Ray, A. M., &amp; Chakravarty, D. (2023). 3D Reconstruction Methods from Multi-aspect TomoSAR Method: A Survey. Robotics, Control and Computer Vision: Select Proceedings of ICRCCV 2022, 495-503.</t>
  </si>
  <si>
    <t>https://link.springer.com/chapter/10.1007/978-981-99-0236-1_39</t>
  </si>
  <si>
    <t>Fainsin, L., Mélou, J., Calvet, L., Carlier, A., &amp; Durou, J. D. (2023, July). Neural detection of spheres in images for lighting calibration. In Sixteenth International Conference on Quality Control by Artificial Vision (Vol. 12749, pp. 305-311). SPIE.</t>
  </si>
  <si>
    <t>https://www.spiedigitallibrary.org/conference-proceedings-of-spie/12749/3000202/Neural-detection-of-spheres-in-images-for-lighting-calibration/10.1117/12.3000202.short#_=_</t>
  </si>
  <si>
    <t>Nusrat Sharmin (ULBS) and Remus Brad (ULBS)</t>
  </si>
  <si>
    <t>Optimal filter estimation for Lucas-Kanade optical flow</t>
  </si>
  <si>
    <t>Nguyen, T. X. B., Rosser, K., Perera, A., Moss, P., &amp; Chahl, J. (2023). Neural network‐based optical flow versus traditional optical flow techniques with thermal aerial imaging in real‐world settings. Journal of Field Robotics, 40(7), 1817-1839.</t>
  </si>
  <si>
    <t>https://onlinelibrary.wiley.com/doi/full/10.1002/rob.22219</t>
  </si>
  <si>
    <t>Wang, S., Xu, S., Ma, Z., Wang, D., &amp; Li, W. (2023). A Systematic Solution for Moving-Target Detection and Tracking While Only Using a Monocular Camera. Sensors, 23(10), 4862.</t>
  </si>
  <si>
    <t>https://www.mdpi.com/1424-8220/23/10/4862</t>
  </si>
  <si>
    <t>Kwak, D. K., &amp; Ryu, J. K. (2023). A Study on Fire Detection Using Deep Learning and Image Filtering Based on Characteristics of Flame and Smoke. Journal of Electrical Engineering &amp; Technology, 18(5), 3887-3895.</t>
  </si>
  <si>
    <t>https://link.springer.com/article/10.1007/s42835-023-01469-0</t>
  </si>
  <si>
    <t>Chiang, S. Y., &amp; Wu, D. Y. (2023). Non-Contact Physiological Measurement System for Wearing Masks During the Epidemic. Computers, Materials &amp; Continua, 75(2).</t>
  </si>
  <si>
    <t>https://openurl.ebsco.com/EPDB%3Agcd%3A9%3A21834761/detailv2?sid=ebsco%3Aplink%3Ascholar&amp;id=ebsco%3Agcd%3A162963185&amp;crl=c</t>
  </si>
  <si>
    <t>Li, Y., Zhang, X., Zhang, X., Zhu, B., &amp; Ye, X. (2023). A local optical flow eye-tracking method for depression detection. AIP Advances, 13(9).</t>
  </si>
  <si>
    <t>https://pubs.aip.org/aip/adv/article/13/9/095313/2910721</t>
  </si>
  <si>
    <t>Kumar, P., &amp; Panchami, B. (2023, July). Optical Flow Glottovibrogram for the examination of vocal fold pathology. In 2023 45th Annual International Conference of the IEEE Engineering in Medicine &amp; Biology Society (EMBC) (pp. 1-4). IEEE.</t>
  </si>
  <si>
    <t>https://ieeexplore.ieee.org/abstract/document/10340075</t>
  </si>
  <si>
    <t>Ma, T., &amp; Liu, Y. (2023, July). Research on super resolution algorithm based on microstep in vibration environment of aviation equipment. In Third International Conference on Optics and Image Processing (ICOIP 2023) (Vol. 12747, pp. 43-52). SPIE.</t>
  </si>
  <si>
    <t>https://www.spiedigitallibrary.org/conference-proceedings-of-spie/12747/1274709/Research-on-super-resolution-algorithm-based-on-microstep-in-vibration/10.1117/12.2689308.short#_=_</t>
  </si>
  <si>
    <t>R Brad (ULBS)</t>
  </si>
  <si>
    <t>License plate recognition system</t>
  </si>
  <si>
    <t>Vinay, D., Gadipe, P. S. R., Yalagam, S., Abhinay, D., &amp; Shareef, S. K. (2023, September). Automatic E-Challan Generation if Vehicle is Not Insured. In 2023 6th International Conference on Contemporary Computing and Informatics (IC3I) (Vol. 6, pp. 1057-1061). IEEE.</t>
  </si>
  <si>
    <t>https://ieeexplore.ieee.org/abstract/document/10397946</t>
  </si>
  <si>
    <t>Nusrat Fatema (ULBS) and Remus Brad (ULBS)</t>
  </si>
  <si>
    <t>Security Requirements, Counterattacks and Projects in Healthcare Applications Using WSNs - A Review</t>
  </si>
  <si>
    <t>Selvi, G. V., Rathna, N., Lizy, R., Prabavathy, S., &amp; Aurchana, P. (2023, September). Energy aware clustering for biomedical wireless sensor networks. In AIP Conference Proceedings (Vol. 2831, No. 1). AIP Publishing.</t>
  </si>
  <si>
    <t>https://pubs.aip.org/aip/acp/article-abstract/2831/1/020018/2911897/Energy-aware-clustering-for-biomedical-wireless?redirectedFrom=fulltext</t>
  </si>
  <si>
    <t>P Tătulea (IndSoft), F Călin(IndSoft), R Brad (ULBS), L Brâncovean (IndSoft), M Greavu (IndSoft)</t>
  </si>
  <si>
    <t>An image feature-based method for parking lot occupancy</t>
  </si>
  <si>
    <t>Romero Bautista, V., Barreto Flores, A., Ayala Raggi, S. E., &amp; Bautista López, V. E. (2023). ICM image separation based available parking space detection. International Journal of Combinatorial Optimization Problems &amp; Informatics, 14(1).</t>
  </si>
  <si>
    <t>https://openurl.ebsco.com/EPDB%3Agcd%3A5%3A10184773/detailv2?sid=ebsco%3Aplink%3Ascholar&amp;id=ebsco%3Agcd%3A162990058&amp;crl=c</t>
  </si>
  <si>
    <t>Sayar, A., &amp; Mustacoglu, A. F. Street Based Parking Lot Detection With Image Processing and Deep Learning. Available at SSRN 4341608.</t>
  </si>
  <si>
    <t>https://papers.ssrn.com/sol3/papers.cfm?abstract_id=4341608</t>
  </si>
  <si>
    <t>Attacks and counterattacks on wireless sensor networks</t>
  </si>
  <si>
    <t>Sakka, S., Liagkou, V., &amp; Stylios, C. (2023). Exploiting Security Issues in Human Activity Recognition Systems (HARSs). Information, 14(6), 315.</t>
  </si>
  <si>
    <t>https://www.mdpi.com/2078-2489/14/6/315</t>
  </si>
  <si>
    <t>Arpad Gellert (ULBS) and Remus Brad (ULBS)</t>
  </si>
  <si>
    <t>Context‐based prediction filtering of impulse noise images</t>
  </si>
  <si>
    <t>Sen, A. P., Pradhan, T., Rout, N. K., &amp; Kumar, A. (2023). Comparison of algorithms for the removal of impulsive noise from an image. e-Prime-Advances in Electrical Engineering, Electronics and Energy, 3, 100110.</t>
  </si>
  <si>
    <t>https://www.sciencedirect.com/science/article/pii/S2772671123000050</t>
  </si>
  <si>
    <t>Raluca Vreja (ULBS) and Remus Brad (ULBS)</t>
  </si>
  <si>
    <t>Image inpainting methods evaluation and improvement</t>
  </si>
  <si>
    <t>Pathak, A., Karmakar, J., Nandi, D., &amp; Mandal, M. K. (2023). Feature enhancing image inpainting through adaptive variation of sparse coefficients. Signal, Image and Video Processing, 17(4), 1189-1197.</t>
  </si>
  <si>
    <t>https://link.springer.com/article/10.1007/s11760-022-02326-9</t>
  </si>
  <si>
    <t>Bogdan Mihai Neamțu (ULBS), Gabriela Visa (Research and Telemedicine Center in Pediatric Neurology, Pediatric Clinical Hospital Sibiu), Ionela Maniu (ULBS), Maria Livia Ognean (ULBS), Rubén Pérez-Elvira (Spain), Andrei Dragomir (Research and Telemedicine Center in Pediatric Neurology, Pediatric Clinical Hospital Sibiu), Maria Agudo (Spain), Ciprian Radu Șofariu (Research and Telemedicine Center in Pediatric Neurology, Pediatric Clinical Hospital Sibiu), Mihaela Gheonea (University of Medicine and Pharmacy of Craiova), Antoniu Pitic (ULBS), Remus Brad (ULBS), Claudiu Matei (ULBS), Minodora Teodoru (ULBS), Ciprian Băcilă (ULBS)</t>
  </si>
  <si>
    <t>A decision-tree approach to assist in forecasting the outcomes of the neonatal brain injury</t>
  </si>
  <si>
    <t>Agoston, D. V., &amp; Helmy, A. (2023). Fluid-Based Protein Biomarkers in Traumatic Brain Injury: The View from the Bedside. International Journal of Molecular Sciences, 24(22), 16267.</t>
  </si>
  <si>
    <t>https://www.mdpi.com/1422-0067/24/22/16267</t>
  </si>
  <si>
    <t>Solomon, A., Cipăian, C. R., Negrea, M. O., Boicean, A., Mihaila, R., Beca, C., ... &amp; Neamtu, B. (2023). Hepatic Involvement across the Metabolic Syndrome Spectrum: Non-Invasive Assessment and Risk Prediction Using Machine Learning. Journal of Clinical Medicine, 12(17), 5657.</t>
  </si>
  <si>
    <t>https://www.mdpi.com/2077-0383/12/17/5657</t>
  </si>
  <si>
    <t>But, Š., Celar, B., &amp; Fister, P. (2023). Tackling Neonatal Sepsis—Can It Be Predicted?. International Journal of Environmental Research and Public Health, 20(4), 3644.</t>
  </si>
  <si>
    <t>https://www.mdpi.com/1660-4601/20/4/3644</t>
  </si>
  <si>
    <t>Hsu, C. T., Pai, K. C., Chen, L. C., Lin, S. H., &amp; Wu, M. J. (2023). Machine learning models to predict the risk of rapidly progressive kidney disease and the need for nephrology referral in adult patients with type 2 diabetes. International Journal of Environmental Research and Public Health, 20(4), 3396.</t>
  </si>
  <si>
    <t>https://www.mdpi.com/1660-4601/20/4/3396</t>
  </si>
  <si>
    <t>Birlutiu, V., Neamtu, B., Birlutiu, R. M., Ghibu, A. M., &amp; Dobritoiu, E. S. (2023, August). Our Experience with SARS-CoV-2 Infection and Acute Kidney Injury: Results from a Single-Center Retrospective Observational Study. In Healthcare (Vol. 11, No. 17, p. 2402). MDPI.</t>
  </si>
  <si>
    <t>https://www.mdpi.com/2227-9032/11/17/2402</t>
  </si>
  <si>
    <t>Harbuz, I., Banciu, D. D., David, R., Cercel, C., Cotîrță, O., Ciurea, B. M., ... &amp; Banciu, A. (2023). Perspectives on Scaffold Designs with Roles in Liver Cell Asymmetry and Medical and Industrial Applications by Using a New Type of Specialized 3D Bioprinter. International Journal of Molecular Sciences, 24(19), 14722.</t>
  </si>
  <si>
    <t>https://www.mdpi.com/1422-0067/24/19/14722</t>
  </si>
  <si>
    <t>Vitória, A. R. D. S., Mori, A. L. V., Silva, D. F. C., Pagotto, D. D. P., Coelho, C. J., &amp; Galvao Filho, A. R. (2023, June). Live Births Forecasting Across Health Regions of Goiás Using Artificial Neural Networks: A Clustering Approach. In 2023 IEEE 11th International Conference on Healthcare Informatics (ICHI) (pp. 321-329). IEEE.</t>
  </si>
  <si>
    <t>https://ieeexplore.ieee.org/abstract/document/10336923</t>
  </si>
  <si>
    <t>Alexandru Dorobanțiu (ULBS), Remus Brad (ULBS)</t>
  </si>
  <si>
    <t>Improving lossless image compression with contextual memory</t>
  </si>
  <si>
    <t>Iqbal, S., N. Qureshi, A., Li, J., &amp; Mahmood, T. (2023). On the analyses of medical images using traditional machine learning techniques and convolutional neural networks. Archives of Computational Methods in Engineering, 30(5), 3173-3233.</t>
  </si>
  <si>
    <t>https://link.springer.com/article/10.1007/s11831-023-09899-9</t>
  </si>
  <si>
    <t>Anggriani, K., Chiou, S. F., Wu, N. I., &amp; Hwang, M. S. (2023). High imperceptible data hiding Method Based on Combination Theory for AMBTC Compressed Images. Applied Sciences, 13(12), 7050.</t>
  </si>
  <si>
    <t>https://www.mdpi.com/2076-3417/13/12/7050</t>
  </si>
  <si>
    <t>Mohebbian, M. R., Chafjiri, F. S., Vedaei, S. S., &amp; Wahid, K. A. (2023). CFA image compression using an efficient cascaded overlapping color transformation. Multimedia Tools and Applications, 82(28), 43233-43250.</t>
  </si>
  <si>
    <t>https://link.springer.com/article/10.1007/s11042-023-15352-7</t>
  </si>
  <si>
    <t>Anggriani, K., Chiou, S. F., Wu, N. I., &amp; Hwang, M. S. (2023). High Imperceptible Data Hiding Method for AMBTC Compressed Images Based on Combination Theory.</t>
  </si>
  <si>
    <t>https://www.preprints.org/manuscript/202304.0341/v1</t>
  </si>
  <si>
    <t>Alexandru Dorobanțiu (ULBS), Valentin Ogrean (ULBS), Remus Brad (ULBS)</t>
  </si>
  <si>
    <t>Hong, P., Du, Y., Chen, D., Peng, C., Yang, B., &amp; Xu, L. (2023). A U-shaped network based on multi-level feature and dual-attention coordination mechanism for coronary artery segmentation of CCTA Images. Cardiovascular Engineering and Technology, 14(3), 380-392.</t>
  </si>
  <si>
    <t>https://link.springer.com/article/10.1007/s13239-023-00659-1</t>
  </si>
  <si>
    <t>Saeed, H., &amp; Skalski, A. (2023, October). A Robust Deterministic-Based Automatic Vessel Centerline Extraction Algorithm in 3-D Binary Volumes. In 2023 IEEE International Conference on Imaging Systems and Techniques (IST) (pp. 1-6). IEEE.</t>
  </si>
  <si>
    <t>https://ieeexplore.ieee.org/abstract/document/10355715</t>
  </si>
  <si>
    <t>Image inpainting with Markov chains</t>
  </si>
  <si>
    <t>Guo, Y. (2023). Metaverse-enabled fine art appreciation: an aesthetic based on visual expression. International Journal of Computer Applications in Technology, 71(3), 192-199.</t>
  </si>
  <si>
    <t>https://www.inderscienceonline.com/doi/abs/10.1504/IJCAT.2023.132110</t>
  </si>
  <si>
    <t>Latifa, E. R., &amp; Mariya, O. (2023, November). Foreground-Preserving Background Modification: A Deep Learning Approach. In 2023 17th International Conference on Signal-Image Technology &amp; Internet-Based Systems (SITIS) (pp. 261-266). IEEE.</t>
  </si>
  <si>
    <t>https://ieeexplore.ieee.org/abstract/document/10472792</t>
  </si>
  <si>
    <t>A novel contextual memory algorithm for edge detection</t>
  </si>
  <si>
    <t>Li, L., Li, M., Sun, W., Li, Z., &amp; Yang, Z. (2023). Spot Detection for Laser Sensors Based on Annular Convolution Filtering. Sensors, 23(8), 3891.</t>
  </si>
  <si>
    <t>https://www.mdpi.com/1424-8220/23/8/3891</t>
  </si>
  <si>
    <t>Deep learning architectures and techniques for multi-organ segmentation</t>
  </si>
  <si>
    <t>Helaly, H. A., Badawy, M., &amp; Haikal, A. Y. (2023). A review of deep learning approaches in clinical and healthcare systems based on medical image analysis. Multimedia Tools and Applications, 1-42.</t>
  </si>
  <si>
    <t>https://link.springer.com/article/10.1007/s11042-023-16605-1</t>
  </si>
  <si>
    <t>Valentin Ogrean (ULBS), Remus Brad (ULBS)</t>
  </si>
  <si>
    <t>Multi-Organ Segmentation Using a Low-Resource Architecture</t>
  </si>
  <si>
    <t>Du, W., Guo, H., Chen, B., Cui, M., Zhang, T., Sun, D., &amp; Ma, H. (2023). Cascaded‐TOARNet: A cascaded framework based on mixed attention and multiscale information for thoracic OARs segmentation. Medical Physics.</t>
  </si>
  <si>
    <t>https://aapm.onlinelibrary.wiley.com/doi/abs/10.1002/mp.16881</t>
  </si>
  <si>
    <t>Mondal, S., Pradhan, R., A Critical Analysis on Different High Impedance Fault Detection Schemes, Electric Power Components and Systems</t>
  </si>
  <si>
    <t>https://www.scopus.com/record/display.uri?eid=2-s2.0-85177575695&amp;origin=resultslist&amp;sort=plf-f&amp;cite=2-s2.0-85159097091&amp;src=s&amp;imp=t&amp;sid=dc77035b7b7c0f8ac0efb6cbe7647276&amp;sot=cite&amp;sdt=a&amp;sl=0&amp;relpos=0&amp;citeCnt=0&amp;searchTerm=</t>
  </si>
  <si>
    <t>Toader, D.  (UP Timisoara), Greconici, M. (UPT), Vesa, D. (UPT), Vintan, M., Solea, C.(UPT)</t>
  </si>
  <si>
    <t>Analysis of the influence of the insulation parameters of medium voltage electrical networks and of the petersen coil on the single-phase-to-ground fault current</t>
  </si>
  <si>
    <t>Liu, Y., Cui, Q., Luo, J., Guo, H., Shi, L., A Fault Location Algorithm for Distribution Network Based on Transient Feature Extraction," 2023 IEEE Sustainable Power and Energy Conference (iSPEC), Chongqing, China, 2023, pp. 1-6, doi: 10.1109/iSPEC58282.2023.10402997</t>
  </si>
  <si>
    <t>https://www.scopus.com/record/display.uri?eid=2-s2.0-85185376417&amp;origin=resultslist&amp;sort=plf-f&amp;cite=2-s2.0-85106259502&amp;src=s&amp;imp=t&amp;sid=3268cfa6194f6a561e043bcb38a99bf2&amp;sot=cite&amp;sdt=a&amp;sl=0&amp;relpos=4&amp;citeCnt=0&amp;searchTerm=</t>
  </si>
  <si>
    <t>Wang, T., Li, G., Sun, S., Huang, K., Ma, Y., Research on single-phase grounding fault detection method based on vision transformer, Proceedings of SPIE - The International Society for Optical Engineering
12748,127484S</t>
  </si>
  <si>
    <t>https://www.scopus.com/record/display.uri?eid=2-s2.0-85171155149&amp;citeCnt=3_DELIM_3_DELIM_CTODS_1696722759_DELIM_1&amp;origin=resultslist&amp;sort=plf-f&amp;refeid=2-s2.0-85106259502&amp;src=s&amp;imp=t&amp;sid=d44304621c2d1dfd4f6ac68b415bba84&amp;sot=ctocbw&amp;sdt=a&amp;sl=42&amp;s=PUBYEAR+IS+2023+AND+NOT+AU-ID%2823391009700%29&amp;relpos=2&amp;citeCnt=0&amp;searchTerm=</t>
  </si>
  <si>
    <t>Ustinov, D.; Nazarychev, A.; Pelenev, D.; Babyr, K.; Pugachev, A. Investigation of the Effect of Current Protections in Conditions of Single-Phase Ground Fault through Transient Resistance in the Electrical Networks of Mining Enterprises. Energies 2023, 16, 3690. https://doi.org/10.3390/en16093690</t>
  </si>
  <si>
    <t xml:space="preserve">https://www.webofscience.com/wos/woscc/full-record/WOS:000987077600001 </t>
  </si>
  <si>
    <t>Atsever Mert Bekir,  Hocaoglu Mehmet Hakan,
A faulty feeder selection method for distribution network with unintentional resonance in zero sequence circuit,
Electric Power Systems Research,
Volume 223,
2023,
109587,
ISSN 0378-7796,
https://doi.org/10.1016/j.epsr.2023.109587</t>
  </si>
  <si>
    <t>https://www.webofscience.com/wos/woscc/full-record/WOS:001029667000001</t>
  </si>
  <si>
    <t>WoS, Scopus, Elsevier</t>
  </si>
  <si>
    <t>Toader, D.(UP Timisoara), Vintan, M., Solea, C.(UPT), Vesa, D.(UPT), Greconici, M.(UPT)</t>
  </si>
  <si>
    <t>Analysis of the possibilities of selective detection of a single line-to-ground fault in a medium voltage network with isolated neutral</t>
  </si>
  <si>
    <t>Sun, G.; Ma, W.; Wei, S.; Cai, D.; Wang, W.; Xu, C.; Zhang, K.; Wang, Y. ,A Fault Location Method for Medium Voltage Distribution Network Based on Ground Fault Transfer Device. Electronics 2023, 12, 4790. https://doi.org/10.3390/electronics12234790</t>
  </si>
  <si>
    <t>https://www.webofscience.com/wos/woscc/full-record/WOS:001116125200001</t>
  </si>
  <si>
    <t>Malafeev, S.I, Serebrennikov N.A., Mobile in-pit diesel power plant: Design and operation experience, Mining Informational and Analytical BulletinVolume 2023, Issue 8, Pages 152 - 164, 2023, DOI
10.25018/0236_1493_2023_8_0_152</t>
  </si>
  <si>
    <t>https://www.scopus.com/record/display.uri?eid=2-s2.0-85170048481&amp;citeCnt=1_DELIM_1_DELIM_CTODS_1696722759_DELIM_1&amp;origin=resultslist&amp;sort=plf-f&amp;refeid=2-s2.0-85118385108&amp;src=s&amp;imp=t&amp;sid=fa4d745528ac60c09f40127f95dd02a6&amp;sot=ctocbw&amp;sdt=a&amp;sl=42&amp;s=PUBYEAR+IS+2023+AND+NOT+AU-ID%2823391009700%29&amp;relpos=0&amp;citeCnt=0&amp;searchTerm=</t>
  </si>
  <si>
    <t>Chis, R., (UT Cluj - Napoca) Vintan, M..Vintan, L.</t>
  </si>
  <si>
    <t>Multi-objective DSE algorithms' evaluations on processor optimization</t>
  </si>
  <si>
    <t>Lesch, V., Hadry, M., Krupitzer, C., Kounev, S., Self-aware Optimization of Adaptation Planning Strategies, ACM Transactions on Autonomous and Adaptive Systems
18(3),10, DOI
10.1145/3568680</t>
  </si>
  <si>
    <t xml:space="preserve">https://www.scopus.com/record/display.uri?eid=2-s2.0-85173584802&amp;origin=resultslist&amp;sort=plf-f&amp;cite=2-s2.0-84891055942&amp;src=s&amp;imp=t&amp;sid=fdeb01554db3b231b8a4afc311f9c603&amp;sot=cite&amp;sdt=a&amp;sl=0&amp;relpos=0&amp;citeCnt=1&amp;searchTerm= </t>
  </si>
  <si>
    <t>Zhang, L., Cao, N., Zhou, C., Chen, X. (2023). Analysis on the Causes of False Alarms of the Insulation Monitoring Device of the Medium Voltage System of the Nuclear Power Plant. In: Zeng, P., Zhang, XP., Terzija, V., Ding, Y., Luo, Y. (eds) The 37th Annual Conference on Power System and Automation in Chinese Universities (CUS-EPSA). CUS-EPSA 2022. Lecture Notes in Electrical Engineering, vol 1030. Springer, Singapore. https://doi.org/10.1007/978-981-99-1439-5_77</t>
  </si>
  <si>
    <t>https://link.springer.com/chapter/10.1007/978-981-99-1439-5_77</t>
  </si>
  <si>
    <t>Pirvu B. (ULBS), Zamfirescu B.C. (ULBS)</t>
  </si>
  <si>
    <t>Industry 4.0 digital technologies enhancing sustainability: Applications and barriers from the agricultural industry in an emerging economy (F. Costa, S. Frecassetti, M. Rossini, A. Portioli-Staudacher - Journal of Cleaner Production)</t>
  </si>
  <si>
    <t>https://www.sciencedirect.com/science/article/pii/S0959652623013665</t>
  </si>
  <si>
    <t>ZAMFIRESCU BAlA - Constantin</t>
  </si>
  <si>
    <t>Digitalization and Platformization in Romania Based on the Digital Platform Economy Index 2020 (Stefan Apostol, Central European Business Review)</t>
  </si>
  <si>
    <t>https://www.ceeol.com/search/article-detail?id=1196067</t>
  </si>
  <si>
    <t>Pirvu, B. (DFKI), C.B. Zamfirescu (DFKI, ULBS), D. Gorecky (DFKI)</t>
  </si>
  <si>
    <t>Engineering insights from an anthropocentric cyber-physical system: A case study for an assembly station</t>
  </si>
  <si>
    <t>A review of reference architectures for digital manufacturing: Classification, applicability and open issues (Kaiser et al, Computers in Industry Volume 149, August 2023)</t>
  </si>
  <si>
    <t>https://www.sciencedirect.com/science/article/pii/S0166361523000738</t>
  </si>
  <si>
    <t>Industry 5.0 and its technologies: A systematic literature review upon the human place into IoT- and CPS-based industrial systems (Valette et al, Computers &amp; Industrial Engineering
Volume 184, October 2023)</t>
  </si>
  <si>
    <t>https://www.sciencedirect.com/science/article/pii/S0360835223004503</t>
  </si>
  <si>
    <t xml:space="preserve">Production improvement on the assembly line through cycle time optimization (Kumar et al, International Journal on Interactive Design and Manufacturing) </t>
  </si>
  <si>
    <t>https://link.springer.com/article/10.1007/s12008-022-01031-8</t>
  </si>
  <si>
    <t>Mediating Role of Organizational Learning in the Relationship between Use of Artificial Intelligence Security Technology and Community Security (Almakki, AAAM and Safian, EEM)
Almakki, AAAM and Safian, EEM
2023)</t>
  </si>
  <si>
    <t>https://publisher.uthm.edu.my/ojs/index.php/IJSCET/article/view/15319</t>
  </si>
  <si>
    <t>Designing Strongly-decoupled Industry 4.0 Applications Across the Stack: A Use Case (Mayr-Dorn, C; Zoitl et al, DIGITAL TRANSFORMATION , pp.33-64)</t>
  </si>
  <si>
    <t>https://link.springer.com/chapter/10.1007/978-3-662-65004-2_2</t>
  </si>
  <si>
    <t>CB Zamfirescu (ULBS, DFKI), BC Pirvu (DFKI), D Gorecky (DFKI), H Chakravarthy (DFKI)</t>
  </si>
  <si>
    <t>Human-centred assembly: a case study for an anthropocentric cyber-physical system, Procedia Technology 15, 90-98</t>
  </si>
  <si>
    <t>Human-Cyber-Physical Systems for Energy Internet—A Review (Cao, JW; Jin, J; (...); Ai, SP, ENERGIES)</t>
  </si>
  <si>
    <t>https://www.mdpi.com/1996-1073/16/15/5624</t>
  </si>
  <si>
    <t>CB Zamfirescu, L Duţă, B Iantovics</t>
  </si>
  <si>
    <t>The cognitive complexity in modelling the group decision process, Broad Research in Artificial Intelligence and Neuroscience 1, 69-79</t>
  </si>
  <si>
    <t>The Role of Social Engineering in the Energy Balance of Systems (Budavári, EA; Albini, A and Mester, G, Interdisciplinary Description of Complex Systems : INDECS, Vol. 21 No. 2, 2023.</t>
  </si>
  <si>
    <t>https://hrcak.srce.hr/300472</t>
  </si>
  <si>
    <t>A Matei, D Circa, BC Zamfirescu</t>
  </si>
  <si>
    <t>Digital Twin for automated guided vehicles fleet management, Procedia Computer Science
Volume 199, 2022, Pages 1363-1369</t>
  </si>
  <si>
    <t>Artificial intelligence-based solutions for climate change: a review (Lin Chen et al, Environmental Chemistry Letters, Volume 21, pages 2525–2557, 2023)</t>
  </si>
  <si>
    <t>https://link.springer.com/article/10.1007/s10311-023-01617-y</t>
  </si>
  <si>
    <t>Executable Digital Process Twins: Towards the Enhancement of Process-Driven Systems (Corradini et al, Big Data Cogn. Comput. 2023, 7, 139)</t>
  </si>
  <si>
    <t>https://www.mdpi.com/2504-2289/7/3/139</t>
  </si>
  <si>
    <t>A Digital Twin Architecture for Automated Guided Vehicles using a Dockerized Private Cloud (Ellethy et al, 2023 IEEE Smart World Congress)</t>
  </si>
  <si>
    <t>https://ieeexplore.ieee.org/abstract/document/10448657</t>
  </si>
  <si>
    <t>A Gellert (ULBS), S.A. Precup (ULBS), B.C. Pirvu (ULBS), Ugo Fiore, C.B. Zamfirescu (ULBS), Francesco Palmieri</t>
  </si>
  <si>
    <t>An empirical evaluation of prediction by partial matching in assembly assistance systems, Applied Science</t>
  </si>
  <si>
    <t>An Organizational Perspective of Human Resource Modeling (Dajana, A et al, 
IPSI BGD TRANSACTIONS ON INTERNET RESEARCH)</t>
  </si>
  <si>
    <t>https://ipsitransactions.org/journals/papers/tir/2023jul/p8.pdf</t>
  </si>
  <si>
    <t>Artificial intelligence for industry 4.0: Systematic review of applications, challenges, and opportunities (Zohaib Jan et al, Expert Systems with Applications)</t>
  </si>
  <si>
    <t>https://www.sciencedirect.com/science/article/pii/S0957417422024757</t>
  </si>
  <si>
    <t>A. Matei (ULBS), BC Pirvu (ULBS), R.E. Petruse (ULBS), Ciprian Candea, BC Zamfirescu (ULBS)</t>
  </si>
  <si>
    <t>Designing a multi-agent control system for a reconfigurable manufacturing system, Springer International Publishing</t>
  </si>
  <si>
    <t>Challenges and Requirements for Improving Overall Equipment Effectiveness with Intelligent Manufacturing Technology in Special Machinery Engineering (Christoph Legat et al, Studies in Computational Intelligence, 1136 SCI, pp. 321–332)</t>
  </si>
  <si>
    <t>A Gellert (ULBS), SA Precup (ULBS), A Matei (ULBS), BC Pirvu (ULBS), CB Zamfirescu (ULBS)</t>
  </si>
  <si>
    <t>Real-time assembly support system with hidden markov model and hybrid extensions, Mathematics 10 (15), 2725</t>
  </si>
  <si>
    <t>Modeling of human-robot collaboration for flexible assembly-a hidden semi-Markov-based simulation approach (
Modeling of human-robot collaboration for flexible assembly-a hidden semi-Markov-based simulation approach (Wang, KJ et al, INTERNATIONAL JOURNAL OF ADVANCED MANUFACTURING TECHNOLOGY)</t>
  </si>
  <si>
    <t>https://link.springer.com/article/10.1007/s00170-023-11404-2</t>
  </si>
  <si>
    <t>Solar Panel Cleaning System Using Smart Hybrid Embedded Systems with IoT Assistance (P. T. Supriya et al,  Electric Power Components and Systems)</t>
  </si>
  <si>
    <t>https://www.tandfonline.com/doi/full/10.1080/15325008.2023.2274936</t>
  </si>
  <si>
    <t>A Gellert (ULBS), D Sarbu(ULBS), SA Precup(ULBS), A Matei(ULBS), D Circa(ULBS), CB Zamfirescu(ULBS)</t>
  </si>
  <si>
    <t>Estimation of missing LiDAR data for accurate AGV localization, IEEE Access 10, 68416-68428</t>
  </si>
  <si>
    <t>Geometric parameter updating in digital twin of built assets: A systematic literature review (I Osadcha, A Jurelionis, P Fokaides - Journal of Building Engineering, 2023 - Elsevier)</t>
  </si>
  <si>
    <t>https://www.sciencedirect.com/science/article/pii/S2352710223008835</t>
  </si>
  <si>
    <t>A New Virtual Network Topology-Based Digital Twin for Spatial-Temporal Load-Balanced User Association in 6G HetNets (P Jia, X Wang - IEEE Journal on Selected Areas)</t>
  </si>
  <si>
    <t>https://ieeexplore.ieee.org/abstract/document/10234545</t>
  </si>
  <si>
    <t>Time of Arrival Error Characterization for Precise Indoor Localization of Autonomous Ground Vehicles (R Álvarez et al, LNCS)</t>
  </si>
  <si>
    <t>https://link.springer.com/chapter/10.1007/978-3-031-40725-3_36</t>
  </si>
  <si>
    <t>AGV Quality of Service Throughput Prediction via Neural Networks (K Prokop, D Połap, G Srivastava - 2023 IEEE)</t>
  </si>
  <si>
    <t>https://ieeexplore.ieee.org/abstract/document/10386241</t>
  </si>
  <si>
    <t>Line Tracking Algorithm Based on Computer Vision Leveraging Stereo Camera to Support Decision of Automated Guided Vehicle Navigation (M Amirullah et al, IEEE)</t>
  </si>
  <si>
    <t>https://ieeexplore.ieee.org/abstract/document/10427608</t>
  </si>
  <si>
    <t>SA Precup (ULBS), A Gellert(ULBS), A Matei(ULBS), M Gita(ULBS), CB Zamfirescu(ULBS)</t>
  </si>
  <si>
    <t>Towards an assembly support system with dynamic bayesian network, Applied Sciences 12 (3), 985</t>
  </si>
  <si>
    <t>Weather-driven synergistic water-economy-environment regulation of farmland ecosystems (Chen et al., Science of The Total Environment)</t>
  </si>
  <si>
    <t>https://www.sciencedirect.com/science/article/pii/S0048969723019617</t>
  </si>
  <si>
    <t>Smart monitoring and automated real-time visual inspection of a sealant applications (S Deshpande et al, Manufacturing Letters)</t>
  </si>
  <si>
    <t>https://www.sciencedirect.com/science/article/pii/S2213846323001761</t>
  </si>
  <si>
    <t>N Mihai (ULBS), M Alexandru(ULBS), Z Bala-Constantin(ULBS)</t>
  </si>
  <si>
    <t>Multimodal emotion detection from multiple data streams for improved decision making, Procedia Computer Science 214</t>
  </si>
  <si>
    <t>An Augmented Learning Approach for Multiple Data Streams Under Concept Drift (K Wang, J Lu, A Liu, G Zhang - Australasian Joint Conference on Artificial)</t>
  </si>
  <si>
    <t>https://link.springer.com/chapter/10.1007/978-981-99-8388-9_32</t>
  </si>
  <si>
    <t>A Gellert (ULBS) CB Zamfirescu (ULBS)</t>
  </si>
  <si>
    <t>Assembly support systems with Markov predictors, Journal of Decision Systems 29 (sup1), 63-70</t>
  </si>
  <si>
    <t>Exploring the transformation of user interactions to Adaptive Human-Machine Interfaces, Rivera et al, Proceedings of the XXIII International Conference on Human Computer Interaction)</t>
  </si>
  <si>
    <t>https://dl.acm.org/doi/abs/10.1145/3612783.3612807</t>
  </si>
  <si>
    <t>A Tara, A Butean (ULBS), C Zamfirescu (ULBS), R Learney</t>
  </si>
  <si>
    <t>An ontology model for interoperability and multi-organization data exchange, Artificial Intelligence and Bioinspired Computational Methods</t>
  </si>
  <si>
    <t>Ontology-Mediated Data Migration: Deriving Migration Rules by Reasoning on Schema Descriptions (L Bozzato, L Serafini - Proceedings of the 38th ACM/SIGAPP)</t>
  </si>
  <si>
    <t>https://dl.acm.org/doi/abs/10.1145/3555776.3577616</t>
  </si>
  <si>
    <t>The Adoption of 4Step-Rule-Set Method for Ontological Design: Application in a Real Industrial Project (Tiago F. Pereira et al, Procedia Computer Science
Volume 219, 2023, Pages 405-415</t>
  </si>
  <si>
    <t>https://www.sciencedirect.com/science/article/pii/S1877050923003150</t>
  </si>
  <si>
    <t>FG Filip, CB Zamfirescu (ULBS), C Ciurea</t>
  </si>
  <si>
    <t>Computer-supported collaborative decision-making, Springer</t>
  </si>
  <si>
    <t>Industry 4.0 vs. Industry 5.0: Co-existence, Transition, or a Hybrid (M Golovianko et al, Procedia Computer Science Volume 217, 2023, Pages 102-113)</t>
  </si>
  <si>
    <t>Responsible cognitive digital clones as decision-makers: a design science research study (Golovianko et al, European Journal of …, 2023 - Taylor &amp; Francis)</t>
  </si>
  <si>
    <t>https://www.tandfonline.com/doi/full/10.1080/0960085X.2022.2073278</t>
  </si>
  <si>
    <t>Collaborative Decision-Making: A Proposal of an Semi-Automatic Facilitation Based on an Ontology (J Konaté, A Gueye, P Zaraté… - International Journal of …, 2023 - World Scientific)</t>
  </si>
  <si>
    <t>https://www.worldscientific.com/doi/abs/10.1142/S0219622022500420</t>
  </si>
  <si>
    <t>Does Peer Pressure Have The Same Effect On Intelligent Decision Support System As It Does On Human Decision Systems? Case Study: Fetal Ultrasound Movies (S Belciug -Procedia Computer Science, 2023 - Elsevier)</t>
  </si>
  <si>
    <t>https://www.sciencedirect.com/science/article/pii/S187705092300697X</t>
  </si>
  <si>
    <t>Computer-Supported Smart Green-Blue Infrastructure Management (MM Visan, F Mone - INTERNATIONAL JOURNAL OF COMPUTERS)</t>
  </si>
  <si>
    <t>https://univagora.ro/jour/index.php/ijccc/article/view/5286</t>
  </si>
  <si>
    <t>The Data Quality in a Complex Web Based Decision Support System (F Boboșatu, CM Boboșatu, M Vișan - Procedia Computer Science, 2023 - Elsevier)</t>
  </si>
  <si>
    <t>https://www.sciencedirect.com/science/article/pii/S1877050923007287</t>
  </si>
  <si>
    <t>A New Revised Group DEMATEL method with application on facility location problem (CZ Radulescu, M Radulescu, R Boncea - Procedia Computer Science, 2023)</t>
  </si>
  <si>
    <t>https://www.sciencedirect.com/science/article/pii/S1877050923006981</t>
  </si>
  <si>
    <t>A Comparative Study of Urban House Price Prediction using Machine Learning Algorithms (L El Mouna, H Silkan, Y Haynf, MF Nann… - E3S Web of …, 2023 - e3s-conferences.org)</t>
  </si>
  <si>
    <t>https://www.e3s-conferences.org/articles/e3sconf/abs/2023/55/e3sconf_acc2023_03001/e3sconf_acc2023_03001.html</t>
  </si>
  <si>
    <t>Morariu Daniel (ULBS), 
Crețulescu Radu (ULBS), 
Breazu Macarie (ULBS)</t>
  </si>
  <si>
    <t>THE WEKA MULTILAYER PERCEPTRON CLASSIFIER</t>
  </si>
  <si>
    <t>G. Laudato, S. Scalabrino, N. Novielli, F. Lanubile and R. Oliveto, "Predicting Bugs by Monitoring Developers During Task Execution," 2023 IEEE/ACM 45th International Conference on Software Engineering (ICSE), Melbourne, Australia, 2023, pp. 1-13, doi: 10.1109/ICSE48619.2023.00100.
WOS:001032629800091</t>
  </si>
  <si>
    <t>https://www.webofscience.com/wos/woscc/full-record/WOS:001032629800091</t>
  </si>
  <si>
    <t>M. S. Amzad Basha, M. Martha Sucharitha, A. U. Devi, M. Ashok and P. M. Oveis, "Exploring Machine Learning Models to Predict the Diamond Price: A Data Mining Utility Using Weka," 2023 9th International Conference on Advanced Computing and Communication Systems (ICACCS), Coimbatore, India, 2023, pp. 1870-1877, doi: 10.1109/ICACCS57279.2023.10112851.</t>
  </si>
  <si>
    <t>https://www.scopus.com/record/display.uri?eid=2-s2.0-85159759512&amp;origin=resultslist&amp;sort=plf-f&amp;src=s&amp;sid=bf6f61d0caf561247fb8a3c1baf31a7d</t>
  </si>
  <si>
    <t>Crețulescu Radu (ULBS), 
Morariu Daniel (ULBS), 
Breazu Macarie (ULBS),
Volovici Daniel (ULBS)</t>
  </si>
  <si>
    <t>DBSCAN Algorithm for Document Clustering</t>
  </si>
  <si>
    <t>Diab, Mohamed,  Nossair, Zaki,  Badr, Hesham,  An Improved Intelligent Cognitive Radio Spectrum Sensing System using Concept Bottleneck and Deep Learning Models, 5th International Conference on Computer and Applications, ICCA 2023, Cairo, 30 November 2023</t>
  </si>
  <si>
    <t>https://www.scopus.com/record/display.uri?eid=2-s2.0-85185200365&amp;origin=resultslist&amp;sort=plf-f&amp;src=s&amp;sid=ee1ce95c9cfbb64a91b54a2230613a89&amp;sot=b&amp;sdt=b&amp;sl=128</t>
  </si>
  <si>
    <t>Md Shaik Amzad Basha; M Martha Sucharitha; A. Uma Devi; M Ashok; Peerzadah Mohammad Oveis Exploring Machine Learning Models to Predict the Diamond Price: A Data Mining Utility Using Weka</t>
  </si>
  <si>
    <t>https://www.scopus.com/record/display.uri?eid=2-s2.0-85159759512&amp;origin=resultslist&amp;sort=plf-f&amp;src=s&amp;sid=bf6f61d0caf561247fb8a3c1baf31a7d&amp;sot=b&amp;sdt=b&amp;s=TITLE-ABS-KEY%28Exploring+Machine+Learning+Models+to+Predict+the+Diamond+Price%3A+A+Data+Mining+Utility+Using+Weka%29&amp;sl=111&amp;sessionSearchId=bf6f61d0caf561247fb8a3c1baf31a7d&amp;relpos=0</t>
  </si>
  <si>
    <t>CRETULESCU Radu George</t>
  </si>
  <si>
    <t>Gennaro Laudato; Simone Scalabrino; Nicole Novielli; Filippo Lanubile; Rocco Oliveto, Predicting Bugs by Monitoring Developers During Task Execution</t>
  </si>
  <si>
    <t>https://www.scopus.com/record/display.uri?eid=2-s2.0-85171768068&amp;origin=resultslist&amp;sort=plf-f&amp;src=s&amp;sid=835b5b417a2ecf489a5f89332f6ebc65&amp;sot=b&amp;sdt=b&amp;s=TITLE-ABS-KEY%28Predicting+Bugs+by+Monitoring+Developers+During+Task+Execution%29&amp;sl=77&amp;sessionSearchId=835b5b417a2ecf489a5f89332f6ebc65&amp;relpos=0</t>
  </si>
  <si>
    <t>Diab, Mohamed
Nossair, Zaki
Badr, Hesham, An Improved Intelligent Cognitive Radio Spectrum Sensing System using Concept Bottleneck and Deep Learning Models</t>
  </si>
  <si>
    <t>https://www.scopus.com/record/display.uri?eid=2-s2.0-85185200365&amp;origin=resultslist&amp;sort=plf-f&amp;src=s&amp;sid=bf6f61d0caf561247fb8a3c1baf31a7d&amp;sot=b&amp;sdt=b&amp;s=TITLE-ABS-KEY%28An+Improved+Intelligent+Cognitive+Radio+Spectrum+Sensing+System+using+Concept+Bottleneck+and+Deep+Learning+Models%29&amp;sl=111&amp;sessionSearchId=bf6f61d0caf561247fb8a3c1baf31a7d&amp;relpos=0</t>
  </si>
  <si>
    <t>D. Morariu(ULBS), L. Vintan(U:LBS), V. Tresp(TUM-Munich), , Proceedings of the 14th International Conference on Computational and Information Science, Prague, ISSN 1305-5313, pages 84-89, August 2006;</t>
  </si>
  <si>
    <t>Feature Selection Methods for an Improved SVM Classifier</t>
  </si>
  <si>
    <t>Amin Bemani, Alireza Kazemi, Mohammad Ahmadi
An insight into the microorganism growth prediction by means of machine learning approaches
Journal of Petroleum Science and Engineering</t>
  </si>
  <si>
    <t>https://1510al2g6-y-https-www-sciencedirect-com.z.e-nformation.ro/science/article/pii/S0920410522010142?via%3Dihub</t>
  </si>
  <si>
    <t>12,5</t>
  </si>
  <si>
    <t>Arpad Gellert, Adrian Florea, Ugo Fiore, Francesco Palmieri, Paolo Zanetti</t>
  </si>
  <si>
    <t>A study on forecasting electricity production and consumption in smart cities and factories, International Journal of Information Management, Elsevier, DOI 10.1016/j.ijinfomgt.2019.01.006, ISSN 0268-4012 (ISI Thomson Journals IF=5.063, Scopus, DBLP), Vol. 49, pages 546-556, December 2019</t>
  </si>
  <si>
    <t>Noman Khan, Samee Ullah Khan, Sung Wook Baik, Deep Autoencoder-Based Hybrid Network for Building Energy Consumption Forecasting, Computer Systems Science and Engineering, 2023</t>
  </si>
  <si>
    <t>https://www.techscience.com/csse/v48n1/55267</t>
  </si>
  <si>
    <t>Arpad Gellert, Ugo Fiore, Adrian Florea, Radu Chis, Francesco Palmieri</t>
  </si>
  <si>
    <t>Forecasting Electricity Consumption and Production in Smart Homes through Statistical Methods, Sustainable Cities and Society, Vol. 76, ISSN 2210-6707 (ISI Thomson Journals IF=7.587, Scopus), January 2022</t>
  </si>
  <si>
    <t>Ahmed Subhi Abdalkafor, Yaseen Saleem Yaseen, Alaa Abdalqahar Jihad, Artificial Intelligence Techniques for Adaptive Controlled Air Conditions, 16th International Conference on Developments in eSystems Engineering, Istanbul, Turkey, December 2023</t>
  </si>
  <si>
    <t>https://researchr.org/publication/AbdalkaforYJ23</t>
  </si>
  <si>
    <t>Arpad Gellert, Darius Sarbu, Stefan-Alexandru Precup, Alexandru Matei, Dragos Circa, Constantin-Bala Zamfirescu</t>
  </si>
  <si>
    <t>Estimation of Missing LiDAR Data for Accurate AGV Localization, IEEE Access, Vol. 10, ISSN 2169-3536 (ISI Thomson Journals IF=3.367, DBLP, Scopus), DOI 10.1109/ACCESS.2022.3185763, pp. 68416-68428, June 2022</t>
  </si>
  <si>
    <t>Katarzyna Prokop, Dawid Połap, Gautam Srivastava, AGV Quality of Service Throughput Prediction via Neural Networks, 2023 IEEE International Conference on Big Data, Sorrento, Italy, December 2023</t>
  </si>
  <si>
    <t>https://ieeexplore.ieee.org/document/10386241</t>
  </si>
  <si>
    <t>Arpad Gellert, Lucian Vintan</t>
  </si>
  <si>
    <t>Person Movement Prediction Using Hidden Markov Models, Studies in Informatics and Control, Vol. 15, No. 1, ISSN 1220-1766 (IEE INSPEC), National Institute for Research and Development in Informatics, Bucharest, March 2006</t>
  </si>
  <si>
    <t xml:space="preserve">Mete Korhan Özkök, Zekiye Yenen, A method proposal to detect user movement patterns in urban space: The case of Edirne-Kaleiçi*, Sigma Journal of Engineering and Natural Sciences, Vol. 41, Issue 6, pp. 1157-1176, December 2023 </t>
  </si>
  <si>
    <t>https://dergipark.org.tr/tr/download/article-file/3628980</t>
  </si>
  <si>
    <t>Arpad Gellert, Remus Brad</t>
  </si>
  <si>
    <t>Image Inpainting with Markov Chains, Signal, Image and Video Processing, Vol. 14, Issue 7, ISSN 1863-1703 (ISI Thomson Journals IF=1.794, Scopus, DBLP), DOI 10.1007/s11760-020-01675-7, pp. 1335-1343, October 2020</t>
  </si>
  <si>
    <t>Er-Rajy Latifa, El Kiram My Ahmed, El Ghazouani Mohamed, Ouaissa Mariya, Foreground-Preserving Background Modification: A Deep Learning Approach, 17th International Conference on Signal-Image Technology &amp; Internet-Based Systems, Bangkok, Thailand, November 2023</t>
  </si>
  <si>
    <t>https://ieeexplore.ieee.org/document/10472792</t>
  </si>
  <si>
    <t>Mustofa Amirullah, Nurul Hasanah, Syukri Darmawan, Edy Maryadi, Syahrul, Dwiko Unggul Prabowo, Ghalya Pikra, Rakhmad Indra Pramana, Andri Joko Purwanto, Teguh Tri Lusijarto, Line Tracking Algorithm Based on Computer Vision Leveraging Stereo Camera to Support Decision of Automated Guided Vehicle Navigation, 2023 International Conference on Advanced Mechatronics, Intelligent Manufacture and Industrial Automation (ICAMIMIA), Mataram, Nusa Tenggara Barat, Indonesia, November 2023</t>
  </si>
  <si>
    <t>Arpad Gellert, Stefan-Alexandru Precup, Alexandru Matei, Bogdan-Constantin Pirvu, Constantin-Bala Zamfirescu</t>
  </si>
  <si>
    <t>Real-Time Assembly Support System with Hidden Markov Model and Hybrid Extensions, Mathematics, Vol. 10, Issue 15, ISSN 2227-7390 (ISI Thomson Journals IF=2.592, Scopus), DOI 10.3390/math10152725, p. 2725, August 2022</t>
  </si>
  <si>
    <t>P.T. Supriya, R. Prakash, Solar Panel Cleaning System Using Smart Hybrid Embedded Systems with IoT Assistance, Electric Power Components and Systems, November 2023</t>
  </si>
  <si>
    <t>Ioan Z. Mihu, Arpad Gellert, Horia V. Caprita</t>
  </si>
  <si>
    <t>Improved Methods of Geometric Shape Recognition Using Fuzzy and Neural Techniques, Proceedings of the 6th International Conference on Technical Informatics (CONTI 2004), Transactions on Automatic Control and Computer Science, vol. 4, ISSN 1224-600X, pages 99-104, Timisoara, May 2004</t>
  </si>
  <si>
    <t>Archana Boob, Mansi A. Radke, 2D Shape Detection for Solving Geometry Word Problems, IETE Journal of Research, Taylor &amp; Francis, November 2023</t>
  </si>
  <si>
    <t>https://www.tandfonline.com/doi/full/10.1080/03772063.2023.2274914</t>
  </si>
  <si>
    <t>Arpad Gellert, Ugo Fiore, Adrian Florea, Radu Chis, Francesco Palmieri, Forecasting Electricity Consumption and Production in Smart Homes through Statistical Methods, Sustainable Cities and Society, Vol. 76, ISSN 2210-6707 (ISI Thomson Journals IF=7.587, Scopus), January 2022</t>
  </si>
  <si>
    <t>Hongyang Zhang, Rong Jia, Haodong Du, Yan Liang, Jiangfeng Li, Short-term interval prediction of PV power based on quantile regression-stacking model and tree-structured parzen estimator optimization algorithm, Frontiers in Energy Research, Vol. 11, November 2023</t>
  </si>
  <si>
    <t>Dawid Połap, Gautam Srivastava, Antoni Jaszcz, Energy Consumption Prediction Model for Smart Homes via Decentralized Federated Learning with LSTM, IEEE Transactions on Consumer Electronics, October 2023</t>
  </si>
  <si>
    <t>https://ieeexplore.ieee.org/document/10288152</t>
  </si>
  <si>
    <t>Adrian Florea, Claudiu Buduleci, Radu Chis, Arpad Gellert, Lucian Vintan</t>
  </si>
  <si>
    <t>Enhancing the Sniper Simulator with Thermal Measurement, The 18th International Conference on System Theory, Control and Computing, ISBN 978-1-4799-4602-0 (Scopus, IEEE Xplore), Sinaia, October 2014</t>
  </si>
  <si>
    <t>Lin Jiang, Anthony Dowling, Ming-C. Cheng, Yu Liu, PODTherm-GP: A Physics-based Data-Driven Approach for Effective Architecture-Level Thermal Simulation of Multi-Core CPUs, IEEE Transactions on Computers, Vol. 72, Issue 10, pp. 2951-2962, October 2023</t>
  </si>
  <si>
    <t>https://ieeexplore.ieee.org/document/10130335</t>
  </si>
  <si>
    <t>Ninu G. Hari, G. Jisha, Analysing the geographical impact on short-term solar irradiance forecasting using univariate and multivariate time series models, Energy Sources, Part A: Recovery, Utilization and Environmental Effects, Vol. 45, Issue 4, pp. 11981–11999, October 2023</t>
  </si>
  <si>
    <t>https://www.tandfonline.com/doi/abs/10.1080/15567036.2023.2267487</t>
  </si>
  <si>
    <t>Lei Fang, Bin He, A deep learning framework using multi-feature fusion recurrent neural networks for energy consumption forecasting, Applied Energy, Vol. 348, p. 121563, October 2023</t>
  </si>
  <si>
    <t>https://www.sciencedirect.com/science/article/abs/pii/S0306261923009273</t>
  </si>
  <si>
    <t>Arpad Gellert, Horia Calborean, Lucian Vintan, Adrian Florea</t>
  </si>
  <si>
    <t>Multi-Objective Optimizations for a Superscalar Architecture with Selective Value Prediction, IET Computers &amp; Digital Techniques, Vol. 6, Issue 4, ISSN: 1751-8601 (ISI Thomson Journals IF=0.284, Scopus, DBLP, EBSCO), pp. 205-213, Stevenage, United Kingdom, July 2012</t>
  </si>
  <si>
    <t>Lilia Zaourar, Alice Chillet, Jean-Marc Philippe, A-DECA: an Automated Design space Exploration approach for Computing Architectures to develop efficient high-performance many core processors, 26th Euromicro Conference Series on Digital System Design, pp. 756-763, Durres, Albania, September 2023</t>
  </si>
  <si>
    <t>https://ieeexplore.ieee.org/document/10456837</t>
  </si>
  <si>
    <t>Rubén Álvarez, Rubén Ferrero-Guillén, Paula Verde, Alberto Martínez-Gutiérrez, Javier Díez-González, Hilde Perez, Time of Arrival Error Characterization for Precise Indoor Localization of Autonomous Ground Vehicles, 18th International Conference on Hybrid Artificial Intelligence Systems, pp. 421-432, Salamanca, Spain, September 2023</t>
  </si>
  <si>
    <t>Arpad Gellert, Constantin-Bala Zamfirescu</t>
  </si>
  <si>
    <t>Assembly support systems with Markov predictors, Journal of Decision Systems, Vol. 29, No. S1, ISSN 1246-0125 (indexed ISI, Scopus, DBLP), DOI: 10.1080/12460125.2020.1788798, pp. 63-70, July 2020</t>
  </si>
  <si>
    <t>Angela Carrera-Rivera, Daniel Reguera-Bakhache, Felix Larrinaga, Ganix Lasa, Exploring the transformation of user interactions to Adaptive Human-Machine Interfaces, XXIII International Conference on Human Computer Interaction, Article No. 23, Lleida, Spain, September 2023</t>
  </si>
  <si>
    <t>https://dl.acm.org/doi/10.1145/3612783.3612807</t>
  </si>
  <si>
    <t>Lorena M. Olaru, Arpad Gellert, Ugo Fiore, Francesco Palmieri</t>
  </si>
  <si>
    <t>Electricity Production and Consumption Modeling through Fuzzy Logic, International Journal of Intelligent Systems, Vol. 37, Issue 11, ISSN 0884-8173 (ISI Thomson Journals IF=8.993, DBLP, Scopus), DOI 10.1002/int.22942, pp. 8348-8364, November 2022</t>
  </si>
  <si>
    <t>A. Cabrera, L.G.B. Ruiz, D. Criado-Ramón, C.D. Barranco, M.C. Pegalajar, Application of Fuzzy and Conventional Forecasting Techniques to Predict Energy Consumption in Buildings, International Journal of Intelligent Systems, Vol. 2023, p. 4391555, September 2023</t>
  </si>
  <si>
    <t>https://www.hindawi.com/journals/ijis/2023/4391555/</t>
  </si>
  <si>
    <t>Nicolae-Adrian Tocu, Arpad Gellert, Ioana-Ramona Stefan, Teodor-Marian Nitescu (Computer Generated Solutions), Gabriela-Alexandra Luca (Marquardt)</t>
  </si>
  <si>
    <t>The impact of virtual reality simulators in manufacturing industry, 12th Annual International Conference on Education and New Learning Technologies, ISBN 978-84-09-17979-4, pp. 3084-3093, Palma de Mallorca, Spain, July 2020</t>
  </si>
  <si>
    <t>Tobias Krogh Risom, Jonas Rommel Attrup, Rasmus Valentin Jacobsen, Stefan Alexander Larsen, Jesper Gaarsdal, A Comparative Analysis of Multi-Object Animation with Motion Paths in Virtual Reality, IFIP Conference on Human-Computer Interaction, pp. 363-367, York, UK, August 2023</t>
  </si>
  <si>
    <t>https://link.springer.com/chapter/10.1007/978-3-031-42293-5_36</t>
  </si>
  <si>
    <t>Stefan-Alexandru Precup, Arpad Gellert, Alexandru Matei, Maria Gita, Constantin-Bala Zamfirescu</t>
  </si>
  <si>
    <t>Towards an Assembly Support System with Dynamic Bayesian Network, Applied Sciences, Vol. 12, Issue 3, ISSN 2076-3417 (ISI Thomson Journals IF=2.474, Scopus), DOI 10.3390/app12030985, p. 985, Switzerland, February 2022</t>
  </si>
  <si>
    <t>Sourabh Deshpande, Aditi Roy, Joshua Johnson, Ethan Fitz, Manish Kumar, Sam Anand, Smart monitoring and automated real-time visual inspection of a sealant applications (SMART-VIStA), Manufacturing Letters, Elsevier, Vol. 35, pp. 1134-1145, August 2023</t>
  </si>
  <si>
    <t>Pengyi Jia, Xianbin Wang, A new virtual network topology based digital twin for spatial-temporal load-balanced user association in 6G HetNets, IEEE Journal on Selected Areas in Communications, Vol. 41, No. 10, August 2023</t>
  </si>
  <si>
    <t>https://dl.acm.org/doi/10.1109/JSAC.2023.3310104</t>
  </si>
  <si>
    <t>M.J. Ritchie, J.A.A. Engelbrecht, M.J. Booysen, Predicting residential water and electricity usage profiles with a temporal histogram model, Sustainable Cities and Society, p. 104884, August, 2023</t>
  </si>
  <si>
    <t>https://www.datafirst.uct.ac.za/dataportal/index.php/citations/7622</t>
  </si>
  <si>
    <t>Eyob Messele Sefene, Yueh-Hsun Tsai, Muhammad Jamil, Vijaykumar S. Jatti, Akshansh Mishra, Assefa AsmareTsegaw, Erick Cardoso Costa, A Multi-Criterion Optimization of Mechanical Properties and Sustainability Performance in Friction Stir Welding of 6061-T6 AA, Materials Today Communications, p. 106838, August 2023</t>
  </si>
  <si>
    <t>https://www.sciencedirect.com/science/article/abs/pii/S2352492823015295</t>
  </si>
  <si>
    <t>Maximilian Rettinger, Gerhard Rigoll, Touching the future of training: investigating tangible interaction in virtual reality, Frontiers in Virtual Reality, Vol. 4, August 2023</t>
  </si>
  <si>
    <t>https://www.frontiersin.org/articles/10.3389/frvir.2023.1187883/full</t>
  </si>
  <si>
    <t>Iryna Osadcha, Andrius Jurelionis, Paris Fokaides, Geometric parameter updating in digital twin of built assets: A systematic literature review, Journal of Building Engineering, Vol. 73, p. 106704, August 2023</t>
  </si>
  <si>
    <t>Zainab abed Almoussawi, Waleed Hadi Madhloom Kurdi, Basma Mohammed Khaleel, Kassem AL-Attabi, Hawraa Ali Sabah, Waleed Khalid Alazzai, Planet Optimization with Machine Learning Enabled Power Usage Forecasting Modeling in Smart Grid Environment, 6th International Conference on Engineering Technology and its Applications (IICETA), Al-Najaf, Iraq, July 2023</t>
  </si>
  <si>
    <t>https://ieeexplore.ieee.org/document/10351470</t>
  </si>
  <si>
    <t>Arpad Gellert, Adrian Florea, Ugo Fiore, Paolo Zanetti, Lucian Vintan</t>
  </si>
  <si>
    <t>Performance and Energy Optimisation in CPUs through Fuzzy Knowledge Representation, Information Sciences, Elsevier, Vol. 476, ISSN 0020-0255 (ISI Thomson Journals IF=4.832, Scopus, DBLP, EBSCO), DOI 10.1016/j.ins.2018.03.029, pages 375-391, February 2019</t>
  </si>
  <si>
    <t>Tongke Fan, Research on Multirelational Entity Modeling based on Knowledge Graph Representation Learning, Recent Advances in Computer Science and Communications, Vol. 16, No. 8, pp. 38-44, July 2023</t>
  </si>
  <si>
    <t>https://www.eurekaselect.com/article/132480</t>
  </si>
  <si>
    <t>P.N. Seema, Manjula G. Nair, The key modules involved in the evolution of an effective instrumentation and communication network in smart grids: a review, Smart Science, July 2023</t>
  </si>
  <si>
    <t>https://www.tandfonline.com/doi/abs/10.1080/23080477.2023.2239612</t>
  </si>
  <si>
    <t>Sadegh Afzal, Behrooz M. Ziapour, Afshar Shokri, Hamid Shakibi, Behnam Sobhani, Building energy consumption prediction using multilayer perceptron neural network-assisted models; comparison of different optimization algorithms, Energy, p. 128446, July 2023</t>
  </si>
  <si>
    <t>https://www.sciencedirect.com/science/article/abs/pii/S0360544223018406</t>
  </si>
  <si>
    <t>Ying Guo, Metaverse-enabled fine art appreciation: an aesthetic based on visual expression, International Journal of Computer Applications in Technology, Vol. 71, No. 3, pp. 192-199, July 2023</t>
  </si>
  <si>
    <t>https://dl.acm.org/doi/abs/10.1504/ijcat.2023.132110</t>
  </si>
  <si>
    <t>Arpad Gellert, Stefan-Alexandru Precup, Bogdan-Constantin Pirvu, Ugo Fiore, Constantin-Bala Zamfirescu, Francesco Palmieri</t>
  </si>
  <si>
    <t>An Empirical Evaluation of Prediction by Partial Matching in Assembly Assistance Systems, Applied Sciences, Vol. 11, Issue 7, ISSN 2076-3417 (ISI Thomson Journals IF=2.474, Scopus), DOI 10.3390/app11073278, p. 3278, Switzerland, April 2021</t>
  </si>
  <si>
    <t>Dajana Antanasijević, Marko Vještica, Vladimir Dimitrieski, Leposava Grubić-Nešić, Sonja Ristic, Milan Mirko Pisaric, An Organizational Perspective of Human Resource Modeling, IPSI Transactions on Internet Research, Vol. 19, Issue 2, pp. 64-76, July 2023:</t>
  </si>
  <si>
    <t>https://ipsitransactions.org/journals/papers/tir/2023jul/p8.php</t>
  </si>
  <si>
    <t>Yingshan Chen, Xianghui Xu, Xu Zhang, Vijay P. Singh, Mo Li, Weather-driven synergistic water-economy-environment regulation of farmland ecosystems, Science of The Total Environment, Vol. 880, p. 163342, July 2023</t>
  </si>
  <si>
    <t>https://www.sciencedirect.com/science/article/abs/pii/S0048969723019617</t>
  </si>
  <si>
    <t>Ugo Fiore, Adrian Florea, Arpad Gellert, Lucian Vintan, Paolo Zanetti</t>
  </si>
  <si>
    <t>Optimal Partitioning of LLC in CAT-enabled CPUs to Prevent Side-Channel Attacks, Cyberspace Safety and Security (CSS 2018), Lecture Notes in Computer Science, Vol. 11161, Springer, ISBN 978-3-030-01688-3 (indexed DBLP, Scopus), pp. 115-123, October 2018</t>
  </si>
  <si>
    <t>S. Mahipal, V.C. Sharmila, A Security Framework for Improving QoS by Detecting and Mitigating Cache Side-Channel Attacks in Virtualized Environments, IAENG International Journal of Computer Science, Vol. 50, Issue 2, p. 29, June 2023</t>
  </si>
  <si>
    <t>Shamaila Iram, Hussain Al-Aqrabi, Hafiz Muhammad Shakeel, Hafiz Muhammad Athar Farid, Muhammad Riaz, Richard Hill, Prabanchan Vethathir, Tariq Alsboui, An Innovative Machine Learning Technique for the Prediction of Weather Based Smart Home Energy Consumption, IEEE Access, Vol. 11, pp. 76300-76320, June 2023</t>
  </si>
  <si>
    <t>https://ieeexplore.ieee.org/document/10155398</t>
  </si>
  <si>
    <t>Estimating Travel Time for Autonomous Mobile Robots through Long Short-Term Memory, Mathematics, Vol. 11, Issue 7, ISSN 2227-7390 (ISI Thomson Journals IF=2.592, Scopus), DOI 10.3390/math11071723, p. 1723, April 2023</t>
  </si>
  <si>
    <t>Lixiong Lin, Zhiping Xu, Jiachun Zheng, Predefined Time Active Disturbance Rejection for Nonholonomic Mobile Robots, Mathematics, Vol. 11, Issue 12, p. 2704, June 2023</t>
  </si>
  <si>
    <t>https://www.mdpi.com/2227-7390/11/12/2704</t>
  </si>
  <si>
    <t>Saeid Fatemi, Abbas Ketabi, Seyed Amir Mansouri, A four-stage stochastic framework for managing electricity market by participating smart buildings and electric vehicles: Towards smart cities with active end-users, Sustainable Cities And Society, Vol. 93, p. 104535, June 2023</t>
  </si>
  <si>
    <t>https://www.sciencedirect.com/science/article/abs/pii/S2210670723001464</t>
  </si>
  <si>
    <t>Han Wu, Yan Liang, Jiani Heng, Pulse-diagnosis-inspired multi-feature extraction deep network for short-term electricity load forecasting, Applied Energy, Vol. 339, p. 120995, June 2023</t>
  </si>
  <si>
    <t>https://www.sciencedirect.com/science/article/abs/pii/S0306261923003598</t>
  </si>
  <si>
    <t>Context-Based Prediction Filtering of Impulse Noise Images, IET Image Processing, Vol. 10, Issue 6, ISSN 1751-9659 (ISI Thomson Journals IF=1.044, DBLP, Scopus, EBSCO, IEEE Xplore), DOI 10.1049/iet-ipr.2015.0702, pages 429-437, Stevenage, United Kingdom, June 2016</t>
  </si>
  <si>
    <t>Ashpreet, A Comparative Review for Color Image Denoising, In: Examining Multimedia Forensics and Content Integrity, IGI Global, First Edition, pp. 79-117, May 2023</t>
  </si>
  <si>
    <t>https://www.igi-global.com/chapter/a-comparative-review-for-color-image-denoising/324148</t>
  </si>
  <si>
    <t>Lin Jiang, Anthony Dowling, Ming-C. Cheng, Yu Liu, PODTherm-GP: A Physics-based Data-Driven Approach for Effective Architecture-Level Thermal Simulation of Multi-Core CPUs, arXiv:2305.01911, May 2023</t>
  </si>
  <si>
    <t>Miguel López Santos, Saúl Díaz García, Xela García-Santiago, Ana Ogando-Martínez, Fernando Echevarría Camarero, Gonzalo Blázquez Gil, Pablo Carrasco Ortega, Deep learning and transfer learning techniques applied to short-term load forecasting of data-poor buildings in local energy communities, Energy and Buildings, May 2023</t>
  </si>
  <si>
    <t>https://www.sciencedirect.com/science/article/abs/pii/S0378778823003948</t>
  </si>
  <si>
    <t>Kung-Jeng Wang, Chiuhsiang Joe Lin, Ahmed Abide Tadesse, Bereket Haile Woldegiorgis, Modeling of human–robot collaboration for flexible assembly – a hidden semi-Markov-based simulation approach, The International Journal of Advanced Manufacturing Technology, Vol. 126, pp. 5371-5389, May 2023</t>
  </si>
  <si>
    <t>Theodoros Theodoropoulos, Antonios Makris, Ioannis Kontopoulos, John Violos, Przemysław Tarkowski, Zbyszek Ledwoń, Patrizio Dazzi, Konstantinos Tserpes, Graph neural networks for representing multivariate resource usage: A multiplayer mobile gaming case-study, International Journal of Information Management Data Insights, Vol. 3, Issue 1, p. 100158, April 2023</t>
  </si>
  <si>
    <t>Andrzej Pacana, Karolina Czerwińska, Grzegorz Ostasz, Analysis of the Level of Efficiency of Control Methods in the Context of Energy Intensity, Energies, Vol. 16, Issue 8, p. 3507, April 2023</t>
  </si>
  <si>
    <t>https://www.mdpi.com/1996-1073/16/8/3507</t>
  </si>
  <si>
    <t>Arpad Gellert, Adrian Florea</t>
  </si>
  <si>
    <t>Web Page Prediction Enhanced with Confidence Mechanism, Journal of Web Engineering, Vol. 13, Issue 5-6, ISSN 1540-9589 (ISI Thomson Journals IF=0.361, Scopus, DBLP), pages 507-524, USA, November 2014</t>
  </si>
  <si>
    <t>Jiwoong Won, Wenbo Zou, Ahn Jemin, Jiseoup Lim, Gun-Woo Kim, Kyungtae Kang, Proxy-based Web Prefetching Exploiting Long Short-Term Memory, 38th ACM/SIGAPP Symposium on Applied Computing, pp. 1831–1834, Tallinn, Estonia, March 2023</t>
  </si>
  <si>
    <t>https://dl.acm.org/doi/10.1145/3555776.3577865</t>
  </si>
  <si>
    <t>R. R. Lekshmi, C. Bansi, A Demand Management Planning System for a Meat Factory Based on the Predicted Market Price Under Indian Market Scenario, Proceedings of Fourth International Conference on Communication, Computing and Electronics Systems, Lecture Notes in Electrical Engineering, Vol. 977, pp. 439-450, March 2023</t>
  </si>
  <si>
    <t xml:space="preserve">Amit Prakash Sen, Tuhinansu Pradhan, Nirmal Kumar Rout, Anup Kumar, Comparison of Algorithms for the removal of Impulsive noise from an Image, e-Prime - Advances in Electrical Engineering, Electronics and Energy, Vol. 3, p. 100110, March 2023: </t>
  </si>
  <si>
    <t>Jonah Edmonds, Zahraa S. Abdallah, IMG-NILM: A Deep learning NILM approach using energy heatmaps, 38th ACM/SIGAPP Symposium on Applied Computing, pp. 1151–1153, Tallinn, Estonia, March 2023</t>
  </si>
  <si>
    <t>https://dl.acm.org/doi/abs/10.1145/3555776.3578604</t>
  </si>
  <si>
    <t>S. Ishwarya, S. Akash, R. Kathireshwar, B. Keerthana, R. Keerthivasan, Smart energy modeling in buildings with distributed energy generation by using Discrete Wavelet Transform-LSTM method, 9th International Conference on Electrical Energy Systems (ICEES), Chennai, India, March 2023</t>
  </si>
  <si>
    <t>https://ieeexplore.ieee.org/document/10110071</t>
  </si>
  <si>
    <t>Radu Sorostinean, Arpad Gellert, Bogdan-Constantin Pirvu</t>
  </si>
  <si>
    <t>Assembly Assistance System with Decision Trees and Ensemble Learning, Sensors, Vol. 21, Issue 11, ISSN 1424-8220 (ISI Thomson Journals IF=3.275, Scopus, DBLP), DOI 10.3390/s21113580, p. 3580, May 2021</t>
  </si>
  <si>
    <t>Mingyuan Dai, Liangpeng Li,Yilin Lu, Liwei Xiao, Xuemei Zong, Chenglong Tu, Fanjian Meng, Yong Tang, Dongliang Guo, Research on Holographic Visualization Verification Platform for Construction Machinery Based on Mixed Reality Technology, Applied Sciences, Vol. 13, Issue 6, p. 3692, March 2023</t>
  </si>
  <si>
    <t>https://www.mdpi.com/2076-3417/13/6/3692</t>
  </si>
  <si>
    <t>Pengyi Jia, Xianbin Wang, Xuemin Shen, Accurate and Efficient Digital Twin Construction Using Concurrent End-to-End Synchronization and Multi-Attribute Data Resampling, IEEE Internet of Things Journal, Vol. 10, Issue 6, pp. 4857-4870, March 2023</t>
  </si>
  <si>
    <t>https://ieeexplore.ieee.org/document/9943796</t>
  </si>
  <si>
    <t>Philippe de Bekker, Sho Cremers, Sonam Norbu, David Flynn, Valentin Robu, Improving the Efficiency of Renewable Energy Assets by Optimizing the Matching of Supply and Demand Using a Smart Battery Scheduling Algorithm, Energies, Vol. 16, Issue 5, p. 2425, March 2023</t>
  </si>
  <si>
    <t>Arti Rana, Kiran Dhobal, An Improved Method of Calculating Electricity for Household Consumption and Storing Excess Electricity, 2023 IEEE International Conference on Integrated Circuits and Communication Systems (ICICACS), Raichur, India, February 2023</t>
  </si>
  <si>
    <t>https://ieeexplore.ieee.org/document/10099761</t>
  </si>
  <si>
    <t>Arpad Gellert</t>
  </si>
  <si>
    <t>Web Usage Mining by Neural Hybrid Prediction with Markov Chain Components, Journal of Web Engineering, River Publishers, Vol. 20, Issue 5, ISSN 1540-9589 (ISI Thomson Journals IF=0.617, DBLP), pp. 1279-1296, Denmark, July 2021</t>
  </si>
  <si>
    <t>Xueqing Liao, Construction of Intelligent Recommendation Retrieval Model of FuJian Intangible Cultural Heritage Digital Archives Resources, Intelligent Automation &amp; Soft Computing, Vol. 37, Issue 1, pp. 677-690, February 2023</t>
  </si>
  <si>
    <t>https://www.techscience.com/iasc/v37n1/52679</t>
  </si>
  <si>
    <t>Olga Shvets, Marta Seebauer, Assel Naizabayeva, Alibi Toleugazin, Monitoring and Control of Energy Consumption Systems using Neural Networks, Acta Polytechnica Hungarica, Vol. 20, No. 2, pp. 125-144, 2023</t>
  </si>
  <si>
    <t>https://acta.uni-obuda.hu/Shvets_Seebauer_Naizabayeva_Toleugazin_131.pdf</t>
  </si>
  <si>
    <t>Anca Morar (UPB),Alin Moldoveanu (UPB),Irina Mocanu(UPB),Florica Moldoveanu (UPB), Ion Emilian Radoi(UPB), Victor Asavei(UPB), Gradinaru, Alexandru(UPB), Alex Butean(ULBS)</t>
  </si>
  <si>
    <t>A Comprehensive Survey of Indoor Localization Methods Based on Computer Vision</t>
  </si>
  <si>
    <t>Daou, A.; Pothin, J.-B.; Honeine, P.; Bensrhair, A. Indoor Scene Recognition Mechanism Based on Direction-Driven Convolutional Neural Networks. Sensors 2023, 23,</t>
  </si>
  <si>
    <t>https://www.webofscience.com/wos/woscc/full-record/WOS:001017980400001</t>
  </si>
  <si>
    <t>im, Woohyun ; Seo, Jiwon. / Low-Cost GNSS Simulators with Wireless Clock Synchronization for Indoor Positioning. In: IEEE Access. 2023 ; Vol. 11.</t>
  </si>
  <si>
    <t>https://www.webofscience.com/wos/woscc/full-record/WOS:001010626700001</t>
  </si>
  <si>
    <t xml:space="preserve">Loch, A (Loch, Adam) ; Haessig, G (Haessig, Germain) ; Vincze, M (Vincze, Markus), Event-Based High-Speed Low-Latency Fiducial Marker Tracking, FIFTEENTH INTERNATIONAL CONFERENCE ON MACHINE VISION, ICMV, Published 2023, Indexed 2023-07-23 </t>
  </si>
  <si>
    <t>https://www.webofscience.com/wos/woscc/full-record/WOS:001012785800038?AlertId=ca3dad52-16e2-426a-af53-bc491ad525e6&amp;SID=EUW1ED0F58w2X9hGfSGDzsAWQzw0p</t>
  </si>
  <si>
    <t>A Tara(ULBS), K Ivkushkin(INSOLAR), A Butean(ULBS), H Turesson(York Univ)</t>
  </si>
  <si>
    <t>The Evolution of Blockchain Virtual Machine Architecture Towards an Enterprise Usage Perspective</t>
  </si>
  <si>
    <t>Baser, MY (Baser, Mirac Yuecel) ; Buyukbese, T (Buyukbese, Tuba) ; Kizildag, M (Kizildag, Murat), What if we could travel without passport? First sight to blockchain-based identity management in tourism, ASIA PACIFIC JOURNAL OF TOURISM RESEARCH, APR 3 2023</t>
  </si>
  <si>
    <t>https://www.webofscience.com/wos/woscc/full-record/WOS:001023992600001?AlertId=ca3dad52-16e2-426a-af53-bc491ad525e6&amp;SID=EUW1ED0F58w2X9hGfSGDzsAWQzw0p</t>
  </si>
  <si>
    <t>Ying, Huaquan; Sacks, Rafael; Degani, Amir, Synthetic image data generation using BIM and computer graphics for building scene understanding, AUTOMATION IN CONSTRUCTION, 2023 Volume154</t>
  </si>
  <si>
    <t>https://www.webofscience.com/wos/woscc/full-record/WOS:001042706500001</t>
  </si>
  <si>
    <t>Wang, Xiangyu; Yu, Zhitao; Mao, Shiwen; Zhang, Jian; Periaswamy, Senthilkumar C. G.; et al, MapLoc: LSTM-Based Location Estimation Using Uncertainty Radio Maps, IEEE Internet Of Things Journal , Vol 10, 08. 2023</t>
  </si>
  <si>
    <t>https://www.webofscience.com/wos/woscc/full-record/WOS:001037986000028</t>
  </si>
  <si>
    <t>Kaiser, Susanna; Linkiewicz, Magdalena; Meissner, Henry; Baumbach, Dirk
3D Visual Reconstruction as Prior Information for First Responder Localization and Visualization, Sensors, Vol 23, 09 2023</t>
  </si>
  <si>
    <t>https://www.webofscience.com/wos/woscc/full-record/WOS:001075316900001</t>
  </si>
  <si>
    <t>Nava-Pintor, Jesus Antonio; Carlos-Mancilla, Miriam A.; Guerrero-Osuna, Hector A.; Luque-Vega, Luis F.; Carrasco-Navarro, Rocio; et al., Design, Implementation, and Control of a Linear Electric Actuator for Educational Mechatronics, Machines Vol 11, Article 894, Sept 2023</t>
  </si>
  <si>
    <t>https://www.webofscience.com/wos/woscc/full-record/WOS:001071782000001</t>
  </si>
  <si>
    <t>Liu, Frank Wencheng; Narsipur, Anish; Kemeklis, Andrew; Song, Lucy; LikamWa, Robert, ACM CYBER-PHYSICAL SYSTEMS AND INTERNET-OF-THINGS WEEK, Page285-291, Sept 2023</t>
  </si>
  <si>
    <t>https://www.webofscience.com/wos/woscc/full-record/WOS:001054880600049</t>
  </si>
  <si>
    <t>Obukhov, Artem; Volkov, Andrey; Pchelintsev, Alexander; Nazarova, Alexandra; Teselkin, Daniil;, Examination of the Accuracy of Movement Tracking Systems for Monitoring Exercise for Musculoskeletal Rehabilitation</t>
  </si>
  <si>
    <t>https://www.webofscience.com/wos/woscc/full-record/WOS:001084403900001</t>
  </si>
  <si>
    <t>Yeo, Matthew S. K.; Pey, Javier J. J.; Elara, Mohan Rajesh; Passive Auto-Tactile Heuristic (PATH) Tiles: Novel Robot-Inclusive Tactile Paving Hazard Alert System; Buildings, Volume 13, 2023</t>
  </si>
  <si>
    <t>https://www.webofscience.com/wos/woscc/full-record/WOS:001094206800001</t>
  </si>
  <si>
    <t>Fahama, Hassoon Salman; Ansari-Asl, Karim; Kavian, Yousef Seifi; Soorki, Mehdi Naderi; An Experimental Comparison of RSSI-Based Indoor Localization Techniques Using ZigBee Technology; Ieee Access Volume 11, 2023</t>
  </si>
  <si>
    <t>https://www.webofscience.com/wos/woscc/full-record/WOS:001093855400001</t>
  </si>
  <si>
    <t>Lin, MS (Lin, Minshen) ; Zhong, WX (Zhong, Wenxing), Design principles and implementation of receiver positioning and beam steering for laser power transfer systems, ISCIENCE, Vol 26, 2023</t>
  </si>
  <si>
    <t>https://www.webofscience.com/wos/woscc/full-record/WOS:001102032500001</t>
  </si>
  <si>
    <t>Li, CX (Li, Chenxi) ; Chen, HY (Chen, Hongyao), Cultural psychology of english translation through computer vision-based robotic interpretation. LEARNING and MOTIVATION. Vol 84, 2023</t>
  </si>
  <si>
    <t>https://www.webofscience.com/wos/woscc/full-record/WOS:001099973600001</t>
  </si>
  <si>
    <t>Sartayeva, Y (Sartayeva, Yerkezhan) ; Chan, HCB (Chan, Henry C. B.) ; Ho, YH (Ho, Yik Him) ; Chong, PHJ (Chong, Peter H. J.), A survey of indoor positioning systems based on a six-layer model, Computer Netwworks, Vol 32, Dec 2023</t>
  </si>
  <si>
    <t>https://www.webofscience.com/wos/woscc/full-record/WOS:001098214900001</t>
  </si>
  <si>
    <t>Mederake, M., Eleftherakis, G., Schüll, D., Springer, F., Maffulli, N., Migliorini, F., &amp; Konrads, C. (2023). The gap height in open wedge high tibial osteotomy is not affected by the starting point of the osteotomy. BMC Musculoskeletal Disorders, 24(1), 373.</t>
  </si>
  <si>
    <t>Przystalski, K., Paleczek, A., Szustakowski, K., Wawryka, P., Jungiewicz, M., Zalewski, M., ... &amp; Miśkowiec, K. (2023). Automated correction angle calculation in high tibial osteotomy planning. Scientific Reports, 13(1), 12876.</t>
  </si>
  <si>
    <t>Mustamsir, E., &amp; Sukmajaya, W. P. (2023). High Tibial Osteotomy: State of the art. The Hip and Knee Journal, 4(2), 51-66.</t>
  </si>
  <si>
    <t>Vasiluta, P., Cofaru, I. I., Cofaru, N. F., &amp; Popa, D. L. (2017).</t>
  </si>
  <si>
    <t xml:space="preserve"> Studies of the Solar Radiations' Influence About Geomembranes Used in Ecological Landfill. Acta Universitatis Cibiniensis. Technical Series, 69(1), 148-154.</t>
  </si>
  <si>
    <t>Caja Ventura, L., &amp; Coronel Cabezas, J. G. (2023). Determinación de la variación porcentual del tiempo de inducción oxidativa (OIT) de la geomembrana lisa de alta densidad con las variaciones del espesor y su tiempo de exposición a rayos UV.</t>
  </si>
  <si>
    <t>https://repositorio.uncp.edu.pe/handle/20.500.12894/10330</t>
  </si>
  <si>
    <t>Matejic, M., Blagojevic, M., Cofaru, I. I., Kostic, N., Petrovic, N., &amp; Marjanovic, N. (2019).</t>
  </si>
  <si>
    <t xml:space="preserve"> Determining efficiency of cycloid reducers using different calculation methods. In MATEC Web of Conferences (Vol. 290, p. 01008). EDP Sciences.</t>
  </si>
  <si>
    <t>Teodor, V. G., Moroșanu, G. A., Baroiu, N., &amp; Geru, M. (2023). PROFILING OF THE HOB MILL TOOL FOR GENERATING A PROFILE KNOWN IN DISCRETE FORM. International Journal of Modern Manufacturing Technologies (IJMMT), 15(2).</t>
  </si>
  <si>
    <t>https://15109l04m-y-https-www-scopus-com.z.e-nformation.ro/record/display.uri?eid=2-s2.0-85180522635&amp;origin=resultslist&amp;sort=plf-f&amp;cite=2-s2.0-85109052487&amp;src=s&amp;imp=t&amp;sid=0eaa8c5d36b9c6d0e5c07acea56341ca&amp;sot=cite&amp;sdt=a&amp;sl=0&amp;relpos=0&amp;citeCnt=0&amp;searchTerm=</t>
  </si>
  <si>
    <t>Kiburi, F. G., Ronoh, E. K., Kanali, C. L., Kituu, G. M., &amp; Ajwang, P. O. (2023). Exergetic optimisation of a solar-biomass hybrid greenhouse dryer in drying banana slices. International Journal of Exergy, 41(1), 41-59.</t>
  </si>
  <si>
    <t xml:space="preserve">Petrović, N., Kostic, N., Marjanovic, N., Živković, J., &amp; Cofaru, I. (2020). </t>
  </si>
  <si>
    <t>Effects of structural optimization on practical roof truss construction.</t>
  </si>
  <si>
    <t>Mushchanov, V., Mushchanov, A., Orzhekhovskii, A., &amp; Tsepliaev, M. (2023). Optimum Space Frames with Rectangular Plans. Magazine of Civil Engineering, 124(8), 12408-12408.</t>
  </si>
  <si>
    <t>https://engstroy.spbstu.ru/userfiles/files/2023/8(124)/08.pdf</t>
  </si>
  <si>
    <t>Bouleanu, I (ULBS)., Gheorghevici, M (STS)., Helbet, R (STS).</t>
  </si>
  <si>
    <t>The quality of the prediction for the NVIS propagation with ITS-HF propagation (Open Access)</t>
  </si>
  <si>
    <t>Islam M.A., Hossam-E-Haider M.
Performance Analysis of High Frequency Propagation Prediction Models in the Context of Bangladesh
(2023) 2023 International Conference on Information and Communication Technology for Sustainable Development, ICICT4SD 2023 - Proceedings, pp. 199 - 203, Cited 0 times.
DOI: 10.1109/ICICT4SD59951.2023.10303353</t>
  </si>
  <si>
    <t>https://www.scopus.com/inward/record.uri?eid=2-s2.0-85179132429&amp;doi=10.1109%2fICICT4SD59951.2023.10303353&amp;partnerID=40&amp;md5=17949c42dee15d3a287e25d6e3a10976</t>
  </si>
  <si>
    <t>Helbet, R (STS)., Bechet, P.(AFT), Monda, V., Miclaus, S (AFT)., Bouleanu, I (ULBS).</t>
  </si>
  <si>
    <t>Low-cost sensor based on SDR platforms for TETRA signals monitoring</t>
  </si>
  <si>
    <t>Artyushenko V.M., Volovach V.I.
Estimating the Effect of Gaussian Noise on Short-Range Wireless Devices
(2023) 2023 International Scientific and Technical Conference on Dynamics of Systems, Mechanisms and Machines, Dynamics 2023 - Proceedings, Cited 0 times.
DOI: 10.1109/Dynamics60586.2023.10349506</t>
  </si>
  <si>
    <t>https://www.scopus.com/record/display.uri?eid=2-s2.0-85182508005&amp;origin=resultslist</t>
  </si>
  <si>
    <t>Robert Helbet (UTCN),Paul Bechet (AFT), Vasile Monda (UTCN), Simona Miclaus (AFT) Iulian Bouleanu (ULBS)</t>
  </si>
  <si>
    <t>Low-Cost Sensor Based on SDR Platforms for TETRA Signals Monitoring</t>
  </si>
  <si>
    <t>Șorecău, M., Șorecău, E., Sarbu, A., &amp; Bechet, P. (2023). Real-time statistical measurement of wideband signals based on software defined radio technology. Electronics, 12(13), 2920.</t>
  </si>
  <si>
    <t>https://www.mdpi.com/2079-9292/12/13/2920</t>
  </si>
  <si>
    <t>MDPI, Google Scholar</t>
  </si>
  <si>
    <t>Emil, S (AFT)., Neculai, C. (AFT), Paul, B (AFT)., Simona, M. (AFT), Iulian, Bouleanu (ULBS).</t>
  </si>
  <si>
    <t>A Method Based on Amplitude Probability Density Representation for Sounding High Frequency Noise in Ionospheric Channels (Open Access)</t>
  </si>
  <si>
    <t>Ryabova N., Ivanov V., Ivanov D., Elsukov A.
Estimating the Occupancy of Ionospheric HF Channels for Operation of the Intermode Time-Frequency Dispersion Sensor with Minimum Power
(2023) 2023 Systems of Signal Synchronization, Generating and Processing in Telecommunications, SYNCHROINFO 2023 - Proceedings, Cited 0 times.
DOI: 10.1109/SYNCHROINFO57872.2023.10178528</t>
  </si>
  <si>
    <t>https://www.scopus.com/record/display.uri?eid=2-s2.0-85166473261&amp;origin=resultslist</t>
  </si>
  <si>
    <t>Bechet, A.C., Helbet, R (STS)., Bouleanu, I. (ULBS), Sarbu, A. (AFT), Miclaus, S.(AFT), Bechet, P.(AFT)</t>
  </si>
  <si>
    <t>Low Cost Solution Based on Software Defined Radio for the RF Exposure Assessment: A Performance Analysis</t>
  </si>
  <si>
    <t>Some E., Gasiewski A.J.
Software Defined Radio Injection-Locking using a GPS signal for multichannel coherent receivers
(2023) IEEE Aerospace Conference Proceedings, 2023-March, Cited 0 times.
DOI: 10.1109/AERO55745.2023.10115547</t>
  </si>
  <si>
    <t>https://www.scopus.com/inward/record.uri?eid=2-s2.0-85160534528&amp;doi=10.1109%2fAERO55745.2023.10115547&amp;partnerID=40&amp;md5=5d3c15dff05a0f0059417c7150fe023a</t>
  </si>
  <si>
    <t>Bechet, A.C., Helbet, R.(STS), Bouleanu, I.(ULBS), Sarbu, A. (AFT), Miclaus, S. (AFT), Bechet, P. (AFT)</t>
  </si>
  <si>
    <t>Low Cost Solution Based on Software Defined Radio for the RF Exposure Assessment: A Performance Analysis (Open Access)</t>
  </si>
  <si>
    <t>Sârbu A., Şorecǎu E., Şorecǎu M., Miclǎuş S., Bechet P.
Real-time isotropic measurement system based on Software Defined Radio
(2022) 2022 IEEE 9th Electronics System-Integration Technology Conference, ESTC 2022 - Proceedings, pp. 597 - 602, Cited 0 times.
DOI: 10.1109/ESTC55720.2022.9939503</t>
  </si>
  <si>
    <t>https://www.scopus.com/inward/record.uri?eid=2-s2.0-85143170491&amp;doi=10.1109%2fESTC55720.2022.9939503&amp;partnerID=40&amp;md5=64932e26d8e1d278d986f29e89a865c4</t>
  </si>
  <si>
    <t>FIING2</t>
  </si>
  <si>
    <t>Şorecău M., Şorecău E., Sârbu A., Bechet P.
Spectral Analysis and Digital Signal Processing in Engineering Using Software Defined Radios and GNU Radio Software
(2023) Lecture Notes in Networks and Systems, 763 LNNS, pp. 1005 - 1017, Cited 0 times.
DOI: 10.1007/978-3-031-42467-0_93</t>
  </si>
  <si>
    <t>https://www.scopus.com/inward/record.uri?eid=2-s2.0-85181841461&amp;doi=10.1007%2f978-3-031-42467-0_93&amp;partnerID=40&amp;md5=0e71ebc7daf0384af2af5fc222bd6a6d</t>
  </si>
  <si>
    <t>Viorel Alina Cristina (ULBS)
Viorel Ioan-Adrian (UTCN)
Strete Larisa</t>
  </si>
  <si>
    <t>On the calculation of the Carter factor in the slotted electric machines</t>
  </si>
  <si>
    <t>Roberto Rocca
Giulio De Donato
Paolo Bolognesi, Chiara Boccaletti, Fabio Giulii Capponi,
Improved Design-Oriented Analytical Modelling of Switched Reluctance Machines Based on FrÖhlich-Kennelly Equations,
IEEE Transactions on Energy Conversion,
Vol.39 Issue 1</t>
  </si>
  <si>
    <t xml:space="preserve">https://ieeexplore.ieee.org/abstract/document/10226199
</t>
  </si>
  <si>
    <t xml:space="preserve">Amin Mahmoudi,  Emad Roshandel, Solmaz Kahourzade, Wen L Soong,
Introduction of Double-Stator Synchrounous Reluctance Motor and Modelling,
IEEE Access, IEEE-INST ELECTRICAL ELECTRONICS ENGINEERS INC
</t>
  </si>
  <si>
    <t xml:space="preserve">https://ieeexplore.ieee.org/abstract/document/10188820/
</t>
  </si>
  <si>
    <t>Neghina, M. [ULBS], Rasche, C. [UPB], Ciuc, M. [UPB], Sultana, A. [UPB] Tiganesteanu, C. [UPB]</t>
  </si>
  <si>
    <t>Automatic detection
of cervical cells in pap-smear images using polar transform and k-means segmentation</t>
  </si>
  <si>
    <t>Badarneh A., Alzuet A., Mustafa W.A., Alquran H., Alsalatie M., Mohammed F.F., Alkhayyat A.
Counting Non-Overlapping Abnormal Cervical Cells in Whole Slide Images
(2023) 6th Iraqi International Conference on Engineering Technology and its Applications, IICETA 2023, pp. 212 - 215
DOI: 10.1109/IICETA57613.2023.10351426</t>
  </si>
  <si>
    <t>https://www.scopus.com/inward/record.uri?eid=2-s2.0-85182524850&amp;doi=10.1109%2fIICETA57613.2023.10351426&amp;partnerID=40&amp;md5=710d9d7b7f83bda582986c989bc60f48f&amp;src=s&amp;citedAuthorId=25227824300&amp;imp=t&amp;sid=b22a7f30264998003bcadfc0787a7c19&amp;sot=cite&amp;sdt=cite&amp;cluster=scopubyr%2c%222023%22%2ct&amp;sl=0&amp;relpos=0&amp;citeCnt=0&amp;searchTerm=</t>
  </si>
  <si>
    <t>NEGHINA Mihai</t>
  </si>
  <si>
    <t>S. Rosioru [UPB], V. Mihai [UPB], M. Neghină [ULBS], D. Craciunean [ULBS], G. Stamatescu [UPB]</t>
  </si>
  <si>
    <t>PROSIM in the Cloud: Remote Automation Training Platform with Virtualized Infrastructure</t>
  </si>
  <si>
    <t>Pavel M.-D., Roșioru S., Arghira N., Stamatescu G.
Control of Open Mobile Robotic Platform Using Deep Reinforcement Learning
(2023) Studies in Computational Intelligence, 1083 SCI, pp. 368 - 379
DOI: 10.1007/978-3-031-24291-5_29</t>
  </si>
  <si>
    <t>https://www.scopus.com/inward/record.uri?eid=2-s2.0-85148707650&amp;doi=10.1007%2f978-3-031-24291-5_29&amp;partnerID=40&amp;md5=0dfb6914a8906eae556ff857c44626cf</t>
  </si>
  <si>
    <t>Alsabbagh W., Langendorfer P.,
Security of Programmable Logic Controllers and Related Systems: Today and Tomorrow
(2023) IEEE Open Journal of the Industrial Electronics Society, 4, pp. 659 - 693
DOI: 10.1109/OJIES.2023.3335976</t>
  </si>
  <si>
    <t>https://www.scopus.com/inward/record.uri?eid=2-s2.0-85178021869&amp;doi=10.1109%2fOJIES.2023.3335976&amp;partnerID=40&amp;md5=a8dd627bf7ff0517d64d9cb62adf3ccc</t>
  </si>
  <si>
    <t>Govoreanu, VC [ULBS]; Neghina, M [ULBS]</t>
  </si>
  <si>
    <t>Speech Emotion Recognition method using time-stretching in the Preprocessing Phase and Artificial Neural Network Classifiers</t>
  </si>
  <si>
    <t>Ade Malau P.J., Shidik G.F., Supriyanto C.
Time-Scale Modification Phase Vocoder for Accent Recognition
(2023) 2023 International Seminar on Application for Technology of Information and Communication: Smart Technology Based on Industry 4.0: A New Way of Recovery from Global Pandemic and Global Economic Crisis, iSemantic 2023, pp. 435 - 440
DOI: 10.1109/iSemantic59612.2023.10295321</t>
  </si>
  <si>
    <t>https://www.scopus.com/inward/record.uri?eid=2-s2.0-85177998817&amp;doi=10.1109%2fiSemantic59612.2023.10295321&amp;partnerID=40&amp;md5=7f8917c78ad1e82dc7f420ee92a34b77</t>
  </si>
  <si>
    <t>V. Neagoe [UPB], M. Neghină [ULBS], M. Datcu [DLR Germania]</t>
  </si>
  <si>
    <t>Neural Network Techniques for automated Land-Cover Change Detection in Multispectral Satellite Time Series Imagery</t>
  </si>
  <si>
    <t>Zhao X., Zhao K., Li S., Wang X.
GeSANet: Geospatial-Awareness Network for VHR Remote Sensing Image Change Detection
(2023) IEEE Transactions on Geoscience and Remote Sensing, 61, art. no. 5402814
DOI: 10.1109/TGRS.2023.3272550</t>
  </si>
  <si>
    <t>https://www.scopus.com/inward/record.uri?eid=2-s2.0-85159829494&amp;doi=10.1109%2fTGRS.2023.3272550&amp;partnerID=40&amp;md5=f1024523d65712849e1e9df7a8c1a14d</t>
  </si>
  <si>
    <t>Matei, A., Ţocu, N.-A., Zamfirescu, C.-B., Gellert, A., Neghină, M. [ULBS]</t>
  </si>
  <si>
    <t>Engineering a Digital Twin for Manual Assembling</t>
  </si>
  <si>
    <t>Matei A., Pirvu B.C., Petruse R.E., Candea C., Zamfirescu B.C.
Designing a Multi-agent Control System for a Reconfigurable Manufacturing System
(2023) Studies in Computational Intelligence, 1083 SCI, pp. 434 - 445
DOI: 10.1007/978-3-031-24291-5_34</t>
  </si>
  <si>
    <t>https://www.scopus.com/inward/record.uri?eid=2-s2.0-85148768606&amp;doi=10.1007%2f978-3-031-24291-5_34&amp;partnerID=40&amp;md5=8b778f510759191e700a8f34502d34b3</t>
  </si>
  <si>
    <t>Victor-Emil Neagoe, 
Catalina-Elena Neghina</t>
  </si>
  <si>
    <t>An Artificial Bee Colony Approach for Classification of Remote Sensing Imagery</t>
  </si>
  <si>
    <t>UPB
FING2</t>
  </si>
  <si>
    <t xml:space="preserve">Sambandam, P., Yuvaraj, D., Padmakumari, P., Swaminathan, S., Deep attention based optimized Bi-LSTM for improving geospatial data ontology, Data and Knowledge Engineering, Volume 144, March 2023, Article number 102123, 2023 </t>
  </si>
  <si>
    <t>https://www.scopus.com/record/display.uri?eid=2-s2.0-85143731860&amp;origin=resultslist&amp;sort=plf-f&amp;src=s&amp;sot=mulcite&amp;sdt=mulcite&amp;cluster=scopubyr%2C%222023%22%2Ct&amp;s=REFEID%282-s2.0-85064677960%29&amp;citeCnt=1&amp;sessionSearchId=029016b3b179eb1fb6d38cfb72e5cec3&amp;relpos=0</t>
  </si>
  <si>
    <t>NEGHINA Elena Catalina</t>
  </si>
  <si>
    <t xml:space="preserve">Fujiyama, N., Izuhara, S., Nishigami, S., (...), Yomo, H., Takizawa, Y. Fujiyama, N., Mobile Sensing Cluster with Orbiting Mutant for Indistinguishable Events in Noisy Environments, 2023 International Conference on Computing, Networking and Communications, ICNC 2023, pp. 568-574, 2023 </t>
  </si>
  <si>
    <t>https://www.scopus.com/record/display.uri?eid=2-s2.0-85151918809&amp;origin=resultslist&amp;sort=plf-f&amp;src=s&amp;sot=mulcite&amp;sdt=mulcite&amp;cluster=scopubyr%2C%222023%22%2Ct&amp;s=REFEID%282-s2.0-85064677960%29&amp;citeCnt=1&amp;sessionSearchId=029016b3b179eb1fb6d38cfb72e5cec3&amp;relpos=1</t>
  </si>
  <si>
    <t>CHIS Radu</t>
  </si>
  <si>
    <t>Valentin Ogrean (ULBS), Alexandru Dorobanțiu (ULBS), Remus Brad (ULBS)</t>
  </si>
  <si>
    <t>Deep Learning Architectures and Techniques for Multi-organ Segmentation</t>
  </si>
  <si>
    <t>Helaly, H.A., Badawy, M. &amp; Haikal, A.Y. A review of deep learning approaches in clinical and healthcare systems based on medical image analysis. Multimed Tools Appl (2023)</t>
  </si>
  <si>
    <t>DOROBANTIU Alexandru</t>
  </si>
  <si>
    <t>Dorobanțiu Alexandru (ULBS), Brad Remus (ULBS)</t>
  </si>
  <si>
    <t>Improving Lossless Image Compression with Contextual Memory</t>
  </si>
  <si>
    <t>Iqbal, S., N. Qureshi, A., Li, J. et al. On the Analyses of Medical Images Using Traditional Machine Learning Techniques and Convolutional Neural Networks. Arch Computat Methods Eng 30, 3173–3233 (2023).</t>
  </si>
  <si>
    <t>Anggriani, K.; Chiou, S.-F.; Wu, N.-I.; Hwang, M.-S. High Imperceptible Data Hiding Method Based on Combination Theory for AMBTC Compressed Images. Appl. Sci. 2023, 13, 7050.</t>
  </si>
  <si>
    <t>Mohebbian, M.R., Chafjiri, F.S., Vedaei, S.S. et al. CFA image compression using an efficient cascaded overlapping color transformation. Multimed Tools Appl 82, 43233–43250 (2023).</t>
  </si>
  <si>
    <t>Li, L.; Li, M.; Sun, W.; Li, Z.; Yang, Z. Spot Detection for Laser Sensors Based on Annular Convolution Filtering. Sensors 2023, 23, 3891</t>
  </si>
  <si>
    <t>Coronary Centerline Extraction from CCTA Using 3D-UNet</t>
  </si>
  <si>
    <t>Hong, P., Du, Y., Chen, D. et al. A U-Shaped Network Based on Multi-level Feature and Dual-Attention Coordination Mechanism for Coronary Artery Segmentation of CCTA Images. Cardiovasc Eng Tech 14, 380–392 (2023)</t>
  </si>
  <si>
    <t>Xu, P., Holstein-Rathlou, NH., Søgaard, S.B. et al. A hybrid approach to full-scale reconstruction of renal arterial network. Sci Rep 13, 7569 (2023)</t>
  </si>
  <si>
    <t>Precup, SA. (ULBS), Gellert, A. (ULBS), Dorobantiu, A (ULBS)., Zamfirescu, CB. (ULBS)</t>
  </si>
  <si>
    <t>Assembly Process Modeling Through Long Short-Term Memory</t>
  </si>
  <si>
    <t>Matei, A.; Precup, S.-A.; Circa, D.; Gellert, A.; Zamfirescu, C.-B. Estimating Travel Time for Autonomous Mobile Robots through Long Short-Term Memory. Mathematics 2023, 11, 1723.</t>
  </si>
  <si>
    <t>Sanduleac, M (Electrica); Corsi, A (Italia) ; Bragatto, T (Italia) ; Stanescu, D (ULBS) ; Stanescu, C (Transelectrica) ; Sbarcea, A (Electrica) ; Bulac, C (UPB)</t>
  </si>
  <si>
    <t>Using Frequency measurements for data consistency assessment related to malicious data injection in distribution related ICT systems</t>
  </si>
  <si>
    <t xml:space="preserve">Bragatto, T  ; Bucarelli, MA  ; Bucarelli, MS ; Carere, F; Geri, A ; Maccioni, M ,  False Data Injection Impact on High RES Power Systems with Centralized Voltage Regulation Architecture, Sensors vol 23, DOI10.3390/s23052557, </t>
  </si>
  <si>
    <t>https://www.webofscience.com/wos/woscc/full-record/WOS:000946895200001</t>
  </si>
  <si>
    <t>Stanescu Dorel</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</si>
  <si>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</si>
  <si>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</si>
  <si>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</si>
  <si>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</si>
  <si>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</si>
  <si>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</si>
  <si>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</si>
  <si>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</si>
  <si>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</si>
  <si>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</si>
  <si>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</si>
  <si>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</si>
  <si>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</si>
  <si>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</si>
  <si>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</si>
  <si>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</si>
  <si>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</si>
  <si>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UNIVERSITAT POLITECNICA DE VALENCIA</t>
  </si>
  <si>
    <t>BERNTZEN LASSE (USN), FLOREA ADRIAN (ULBS)</t>
  </si>
  <si>
    <t>PRO-VE 2023 – 24th IFIP / Socolnet
Working Conference on Virtual Enterprises, D2: Sustainability of Collaborative Ecosystems Parallel Sessions</t>
  </si>
  <si>
    <t xml:space="preserve">https://pro-ve2023.webs.upv.es/wp-content/uploads/2023/09/Programa-PRO-VE2023_fin-1.pdf </t>
  </si>
  <si>
    <t>SpringerLink</t>
  </si>
  <si>
    <t>Fisier 1 - PROVE23_PaperPresentation_Certificate_53.pdf
Fisier 2 - PRO-VE 2023 notification for paper 4449.pdf</t>
  </si>
  <si>
    <t>Engleza</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</si>
  <si>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</si>
  <si>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</si>
  <si>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</si>
  <si>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</si>
  <si>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</si>
  <si>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</si>
  <si>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</si>
  <si>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</si>
  <si>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</si>
  <si>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INSTALAȚIE PENTRU PREVENIREA ACUMULĂRILOR DE METAN PROVENITE DIN SONDELE DE ASECARE ÎN MINELE DE CĂRBUNE</t>
  </si>
  <si>
    <t>BĂLAN George (pensionar), ȚÎȚU Aurel Mihail (ULBS)</t>
  </si>
  <si>
    <t>BOPI nr 8/2023 - 30.08.2023, pg 34</t>
  </si>
  <si>
    <t>ANSAMBLU ERGONOMIC ANTISEDENTAR PENTRU HOME OFFICE</t>
  </si>
  <si>
    <t>ȚÎȚU Aurel Mihail (ULBS), MĂRGINEAN Ion (PENSIONAR), ȚÎȚU Ștefan (IOCN), BOGORIN-PREDESCU Oana (Cabinet Medical), BOGORIN-PREDESCU Adrian (CONTINENTAL AUTOMOTIVE SYSTEMS SIBIU), MOLDOVAN Alexandru Marcel (Bilstein SIBIU), OPREAN Constantin (Pensionar)</t>
  </si>
  <si>
    <t>BOPI nr 6/2023 - 30.06.2023, pg 13</t>
  </si>
  <si>
    <t>COMPUTER-AIDED METHOD OF ENCODING/DECODING BINARY DATA IN MULTIDIMENSIONAL STRUCTURES, OVER GALOIS FIELDS, FOR STORING DATA IN DASD MODULES</t>
  </si>
  <si>
    <t>STOIAN RODICA [RONEXPRIM S.R.L]; NEGHINĂ MIHAI [ULBS]</t>
  </si>
  <si>
    <t>29.Dec.2023</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</si>
  <si>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</si>
  <si>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</si>
  <si>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</si>
  <si>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</si>
  <si>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</si>
  <si>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</si>
  <si>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</si>
  <si>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</si>
  <si>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</si>
  <si>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</si>
  <si>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</si>
  <si>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</si>
  <si>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</si>
  <si>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</si>
  <si>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</si>
  <si>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</si>
  <si>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</si>
  <si>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</si>
  <si>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</si>
  <si>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</si>
  <si>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</si>
  <si>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</si>
  <si>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</si>
  <si>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</si>
  <si>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</si>
  <si>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</si>
  <si>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</si>
  <si>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</si>
  <si>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</si>
  <si>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</si>
  <si>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</si>
  <si>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</si>
  <si>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</si>
  <si>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</si>
  <si>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REAL TIME DATA ACQUISITION OF LOW-COST CURRENT SENSORS ACS712-05 AND INA219 USING RASPBERRY PI, DAQCPLATE AND NODE-RED</t>
  </si>
  <si>
    <t>articol</t>
  </si>
  <si>
    <t>A Maroşan, G Constantin, CE Gîrjob, AL Chicea, M Crenganis</t>
  </si>
  <si>
    <t>Fig 4</t>
  </si>
  <si>
    <t xml:space="preserve">Proceedings in Manufacturing Systems
 Vol. 18, Iss. 2,  (2023): </t>
  </si>
  <si>
    <t>51-59.</t>
  </si>
  <si>
    <t>ProQuest</t>
  </si>
  <si>
    <t>CIRCULAR ECONOMY AND RECYCLING IN THE TEXTILE INDUSTRY</t>
  </si>
  <si>
    <t>Annals of University of Oradea, Fascicle of Textiles, Leatherwork, vol. 24, no. 1</t>
  </si>
  <si>
    <t>ISSN 1843 – 813X</t>
  </si>
  <si>
    <t>17-27</t>
  </si>
  <si>
    <t>EBSCO</t>
  </si>
  <si>
    <t>Articol</t>
  </si>
  <si>
    <t>George Constantin (UPB), Adrian Maroşan, Claudia Emilia Gîrjob, Anca Lucia Chicea, Mihai Crenganisu, (ULBS)</t>
  </si>
  <si>
    <t>Proceedings in Manufacturing Systems; Bucharest</t>
  </si>
  <si>
    <t>2343–7472</t>
  </si>
  <si>
    <t>51-59</t>
  </si>
  <si>
    <t xml:space="preserve">https://www.proquest.com/scholarly-journals/real-time-data-acquisition-low-cost-current/docview/2902712173/se-2. </t>
  </si>
  <si>
    <t>ProQuest Central</t>
  </si>
  <si>
    <t>Calibrating DC01 Material Properties for Finite Element Analysis with Abaqus and Isight</t>
  </si>
  <si>
    <t>Ilie-Octavian Popp, Mihai-Octavian Popp, Mihaela Oleksik, Gabriela-Petruța Rusu, Anca Lucia Chicea (ULBS)</t>
  </si>
  <si>
    <t>Acta Universitatis Cibiniensis. Technical Series</t>
  </si>
  <si>
    <t>2668-6449</t>
  </si>
  <si>
    <t>5 pagini (de la 30 pana la 34)</t>
  </si>
  <si>
    <t>10.2478/aucts-2023-0004</t>
  </si>
  <si>
    <t>BDI</t>
  </si>
  <si>
    <t>IO Popp, MO Popp,           M Oleksik, GP Rusu,         AL Chicea                (ULBS)</t>
  </si>
  <si>
    <t>• Acta Universitatis Cibiniensis Technical Series vol 75(1) December 2023</t>
  </si>
  <si>
    <t>30-34</t>
  </si>
  <si>
    <t xml:space="preserve">10.2478/aucts-2023-0004 https://www.researchgate.net/publication/376963379_Calibrating_DC01_Material_Properties_for_Finite_Element_Analysis_with_Abaqus_and_Isight </t>
  </si>
  <si>
    <t>Proceedings in Manufacturing Systems</t>
  </si>
  <si>
    <t>ISSN 2067-9238</t>
  </si>
  <si>
    <t>COPERNICUS</t>
  </si>
  <si>
    <t>Ilie-Octavian Popp, Mihai-Octavian Popp, Mihaela Oleksik, Gabriela-Petruța Rusu, Anca Lucia Chicea(ULBS)</t>
  </si>
  <si>
    <t>Acta Universitatis Cibiniensis. Technical Series volumul 5, nr.1</t>
  </si>
  <si>
    <t xml:space="preserve"> 2457-5666</t>
  </si>
  <si>
    <t>pag. 30-34</t>
  </si>
  <si>
    <t>http://www.revistaginecologia.ro/index.php/arhiv/441</t>
  </si>
  <si>
    <t>INNOVATIVE TECHNOLOGY FOR UPPER LIMB REHABILITATION USING VIRTUAL REALITY AND LEAP MOTION CONTROLLER</t>
  </si>
  <si>
    <t>ŢOPA, Ionuț-Cristian - ULBS; RUSU, Dan-Mihai - ULBS</t>
  </si>
  <si>
    <t>Buletin Stiintific</t>
  </si>
  <si>
    <t>275-286</t>
  </si>
  <si>
    <t>Aspects regarding efficient practices in maintaining health status</t>
  </si>
  <si>
    <t>Coman Andrei (Medical Practice,Sibiu), Coman Diana (ULBS)</t>
  </si>
  <si>
    <t>Current Trends in Natural Sciences</t>
  </si>
  <si>
    <t>ISSN ( online) 2284-953X     ISSN 2284-9521</t>
  </si>
  <si>
    <t>p.65-68</t>
  </si>
  <si>
    <t>https://doi.org/10.47068/ctns.2023.v12i24.007</t>
  </si>
  <si>
    <t>Doaj, Scipio, Index Copernicus</t>
  </si>
  <si>
    <t>ENHANCING QUALITY IN KNOWLEDGE-BASED ORGANIZATIONS THROUGH THE IMPLEMENTATION OF COLLABORATIVE ROBOTS INTO NONCONVENTIONAL TECHNOLOGIES IN AUTOMOTIVE</t>
  </si>
  <si>
    <t>Vasile GUSAN 1 , Carmen PURCAR 2 , Mircea BĂDESCU 3 and Aurel Mihail ȚÎȚU 4,5 (1 University POLITEHNICA of Bucharest, 2 Lucian Blaga University of Sibiu, 3 Lucian Blaga University of Sibiu, 4 Lucian Blaga University of Sibiu, 5 The Academy of Romanian Scientists)</t>
  </si>
  <si>
    <t>Nonconventional Technologies Review</t>
  </si>
  <si>
    <t>ISSN 1454-3087</t>
  </si>
  <si>
    <t>pages 41-46</t>
  </si>
  <si>
    <t>https://www.revtn.ro/index.php/revtn/article/view/419/378</t>
  </si>
  <si>
    <t>Index Copernicus</t>
  </si>
  <si>
    <t>Badescu Mircea</t>
  </si>
  <si>
    <t>The discrepancy of managing decarbonization &amp; profitability</t>
  </si>
  <si>
    <t>Corina Cruceru (ULBS), Danut Dumitru Dumitrascu (ULBS)</t>
  </si>
  <si>
    <t>IREK – AESM: Institutional Repository of Economic Knowledge, volumul Strategii şi politici de management în economia contemporană [Resursă electronică]: conf. şt. internat., ediţia a 8-a, 24-25 martie 2023. Chişinău: SEP ASEM, 2023. 409 p. https://irek.ase.md/xmlui/bitstream/handle/123456789/2747/Culegere%20ICSPM%202023.pdf?sequence=1&amp;isAllowed=y</t>
  </si>
  <si>
    <t>ISBN 978-9975-147-99-6 (PDF).</t>
  </si>
  <si>
    <t>pp390-398</t>
  </si>
  <si>
    <t>DOI: 10.53486/icspm2023.58</t>
  </si>
  <si>
    <t>IMPLICATIONS OF FINANCIAL STRUCTURE ON THE VALUE OF COMPANIES FROM TOURISM INDUSTRY</t>
  </si>
  <si>
    <t>Cârlan (Tămaș) Nicoleta-Adriana (ULBS), Dan Nicoleta (ULBS), Popa Daniela (ULBS)</t>
  </si>
  <si>
    <t>Annals of the „Constantin Brâncuşi” University of Târgu Jiu, Economy Series, Issue 4/2023;</t>
  </si>
  <si>
    <t>ISSN 2344-3685, ISSN-L 1844-7007</t>
  </si>
  <si>
    <t>33 - 40</t>
  </si>
  <si>
    <t xml:space="preserve">ERIH PLUS; IDEAS; Genamics JournalSeek Database; EconPapers EcP; EBSCO; Cabell's; SCIPIO; DOAJ; REPEC; EconBiz; YORK UNIVESITY; GLOABAL IMPACT FACTOR; SOCIONET; Directory of Research Journals Indexing; Electronic Journals Index (SJSU); Universidad Nacional Autónoma de Mexico, Mexic; University of Ottawa Library, Ontario, Canada; University of the West Library, Rosemead, California, U.S.A. </t>
  </si>
  <si>
    <t>ANALYSIS OF THE INFLUENCE OF FINANCIAL EQUILIBRIUM ON THE PROFITABILITY OF TOURISM COMPANIES</t>
  </si>
  <si>
    <t>Cârlan (Tămaș) Nicoleta-Adriana (ULBS), Popa Daniela (ULBS), Dan Nicoleta (ULBS),</t>
  </si>
  <si>
    <t xml:space="preserve">Annals of the „Constantin Brâncuşi” University of Târgu Jiu, Economy Series, Issue 4/2023; </t>
  </si>
  <si>
    <t>143 - 148</t>
  </si>
  <si>
    <t>IMPROVING THE QUALITY OF WORK BY IMPLEMENTING AN OCCUPATIONAL HEALTH PROGRAM IN AN AUTOMOTIVE ORGANIZATION</t>
  </si>
  <si>
    <t>FUMUREANU, Laura-Maria (Asociația Conexiuni Sibiu); ZERBEŞ, Mihai-Victor (Universitatea „Lucian Blaga" din Sibiu); POPESCU, Liliana-Georgeta (Universitatea „Lucian Blaga" din Sibiu)</t>
  </si>
  <si>
    <t>Buletin Stiintific . 2023 Supplement</t>
  </si>
  <si>
    <t xml:space="preserve">315-325 </t>
  </si>
  <si>
    <t>https://eds.p.ebscohost.com/abstract?site=eds&amp;scope=site&amp;jrnl=12245178&amp;AN=164405754&amp;h=v756BqtNNHMTPHyUXVNR%2fX6Bpqtu7e%2byx3SDBtG36iGKc22vPUn18WeAxUxgsC9rC%2bMeUQXkjDhyAiKxmolaJg%3d%3d&amp;crl=c&amp;resultLocal=ErrCrlNoResults&amp;resultNs=Ehost&amp;crlhashurl=login.aspx%3fdirect%3dtrue%26profile%3dehost%26scope%3dsite%26authtype%3dcrawler%26jrnl%3d12245178%26AN%3d164405754</t>
  </si>
  <si>
    <t>HEMPCRETE FOR SUSTAINABLE HOUSING DEVELOPMENT</t>
  </si>
  <si>
    <t>OLTEANU, Alexandru (Asociația Conexiuni Sibiu); ZERBEŞ, Mihai-Victor (Universitatea „Lucian Blaga" din Sibiu); FUMUREANU, Laura-Maria (Asociația Conexiuni Sibiu); POPESCU, Liliana-Georgeta (Universitatea „Lucian Blaga" din Sibiu)</t>
  </si>
  <si>
    <t>326-336</t>
  </si>
  <si>
    <t>https://eds.p.ebscohost.com/abstract?site=eds&amp;scope=site&amp;jrnl=12245178&amp;AN=164405755&amp;h=hyTruHaAmVf%2bGzUDsHRm3CnQasP5ZAtXRqhUC57XOHUguQsUkq22ekRf1ODWS4qEKxPlJjnU6G%2bEWrt2MNFL6A%3d%3d&amp;crl=c&amp;resultLocal=ErrCrlNoResults&amp;resultNs=Ehost&amp;crlhashurl=login.aspx%3fdirect%3dtrue%26profile%3dehost%26scope%3dsite%26authtype%3dcrawler%26jrnl%3d12245178%26AN%3d164405755</t>
  </si>
  <si>
    <t>IMPROVING THE TUTORING PROCESS WITHIN THE FRENCH LANGUAGE STUDY PROGRAMS</t>
  </si>
  <si>
    <t xml:space="preserve">Roman Rodica (Universitatea „Lucian Blaga" din Sibiu); Dumitra Baron (Universitatea „Lucian Blaga" din Sibiu); ZERBEŞ, Mihai-Victor (Universitatea „Lucian Blaga" din Sibiu); </t>
  </si>
  <si>
    <t>ICERI2023 Proceedings</t>
  </si>
  <si>
    <t>ISBN: 978-84-09-55942-8
ISSN: 2340-1095</t>
  </si>
  <si>
    <t>8280-8288</t>
  </si>
  <si>
    <t>10.21125/iceri.2023.2120</t>
  </si>
  <si>
    <t>https://library.iated.org/view/ROMAN2023IMP</t>
  </si>
  <si>
    <t>MODELLING THE PROCESS OF IMPROVING THE ACTIVITY OF THE OFFICE OF DOCTORAL STUDIES IN UNIVERSITY</t>
  </si>
  <si>
    <t xml:space="preserve">POPESCU, Liliana-Georgeta (Universitatea „Lucian Blaga" din Sibiu); ZERBEŞ, Mihai-Victor (Universitatea „Lucian Blaga" din Sibiu); </t>
  </si>
  <si>
    <t>EDULEARN23 Proceedings</t>
  </si>
  <si>
    <t>ISBN: 978-84-09-52151-7
ISSN: 2340-1117</t>
  </si>
  <si>
    <t>5155-5162</t>
  </si>
  <si>
    <t>10.21125/edulearn.2023.1351</t>
  </si>
  <si>
    <t>https://library.iated.org/view/POPESCU2023MOD</t>
  </si>
  <si>
    <t>OPTIMIZING THE CURRICULUM IN STATE KINDERGARTENS IN ROMANIA</t>
  </si>
  <si>
    <t>POPESCU, Liliana-Georgeta (Universitatea „Lucian Blaga" din Sibiu); ZERBEŞ, Mihai-Victor (Universitatea „Lucian Blaga" din Sibiu); Oana Artene-Piloiu (Asociația Conexiuni Sibiu);</t>
  </si>
  <si>
    <t>5214-5223</t>
  </si>
  <si>
    <t>10.21125/edulearn.2023.1367</t>
  </si>
  <si>
    <t>https://library.iated.org/view/POPESCU2023OPT</t>
  </si>
  <si>
    <t>GOOD PRACTICES IN IMPROVING THE PROMOTING PROCESS OF FRENCH LANGUAGE PROGRAMS</t>
  </si>
  <si>
    <t xml:space="preserve">ZERBEŞ, Mihai-Victor (Universitatea „Lucian Blaga" din Sibiu); Dumitra Baron (Universitatea „Lucian Blaga" din Sibiu); Roman Rodica (Universitatea „Lucian Blaga" din Sibiu);  POPESCU, Liliana-Georgeta (Universitatea „Lucian Blaga" din Sibiu); OLTEANU, Alexandru (Asociația Conexiuni Sibiu); </t>
  </si>
  <si>
    <t>INTED2023 Proceedings</t>
  </si>
  <si>
    <t>ISBN: 978-84-09-49026-4
ISSN: 2340-1079</t>
  </si>
  <si>
    <t>7532-7540</t>
  </si>
  <si>
    <t>10.21125/inted.2023.2056</t>
  </si>
  <si>
    <t>https://library.iated.org/view/ZERBES2023GOO</t>
  </si>
  <si>
    <t>THE ROLE OF NONVERBAL COMMUNICATION IN
AN ORGANIZATIONAL CONTEXT</t>
  </si>
  <si>
    <t>NEAMU Vasilica Silvia (Asociația Conecept Creativ Sibiu);
ZERBEȘ Mihai-Victor (Universitatea „Lucian Blaga" din Sibiu),</t>
  </si>
  <si>
    <t>Proceesings of the 7th International Conference
”Anthropology of communication”</t>
  </si>
  <si>
    <t>ISBN: 978-606-733-290-2</t>
  </si>
  <si>
    <t>141-144</t>
  </si>
  <si>
    <t>https://www.lobbyart-anthropology.ro/Anthropology--and--Communication.php</t>
  </si>
  <si>
    <t>PERSONALITY AND SCHOOL INTERACTION: ALTRUISM,
SELF-CONTROL AND HONESTY</t>
  </si>
  <si>
    <t>NEAMU Vasilica Silvia (Asociația Conecept Creativ Sibiu);
POPA Teodora
GHEORGHE Alina
PETRESCU Ioana
ZERBEȘ Mihai-Victor (Universitatea „Lucian Blaga" din Sibiu),</t>
  </si>
  <si>
    <t>164-170</t>
  </si>
  <si>
    <t>MEMORY, ATTENTION, INTELLIGENCE, PERSONALITY
AS PREDICTORS OF SUCCESS</t>
  </si>
  <si>
    <t>194-205</t>
  </si>
  <si>
    <t>Evaluation of Students’ Measuring Capability in the Dimensional Control Laboratory Using R&amp;R Procedure by Variables</t>
  </si>
  <si>
    <t>ACTA Universitatis Cibiniensis – Technical series, volume 75, issue 1, 2023</t>
  </si>
  <si>
    <t>eISSN: 2668-6449</t>
  </si>
  <si>
    <t>15-20</t>
  </si>
  <si>
    <t>https://doi.org/10.2478/aucts-2023-0002</t>
  </si>
  <si>
    <t>Implications Of Financial Structure On The Value Of Companies From Tourism Industry</t>
  </si>
  <si>
    <t>FIG3</t>
  </si>
  <si>
    <t>Annals of the „Constantin Brâncuşi” University of Târgu Jiu, Economy Series, Issue 4/2023</t>
  </si>
  <si>
    <t xml:space="preserve"> ISSN 2344 – 3685/ISSN-L 1844 - 7007</t>
  </si>
  <si>
    <t>33-40</t>
  </si>
  <si>
    <t>Dan Nicoleta</t>
  </si>
  <si>
    <t>Analysis Of The Influence Of Financial Equilibrium On The Profitability Of Tourism Companies</t>
  </si>
  <si>
    <t>FIG4</t>
  </si>
  <si>
    <t>Annals of the „Constantin Brâncuşi” University of Târgu Jiu, Economy Series, Issue 4/2024</t>
  </si>
  <si>
    <t>143-148</t>
  </si>
  <si>
    <t>PARAMETRIZED CAD MODELLING OF THE PATHOLOGICAL HUMAN LOWER LIMB AFFECTED BY AXIAL DEVIATION IN STATIONARY POSITION AND DURING GAIT CYCLE</t>
  </si>
  <si>
    <t>Andrei-Horia BRĂNESCU (ULBS), Nicolae Florin COFARU (ULBS), Ileana Ioana COFARU (ULBS), Eugen AVRIGEAN (ULBS)</t>
  </si>
  <si>
    <t>ACTA TEHNICA NAPOCENSIS - The 15th INTERNATIONAL CONFERENCE ON MODERN TECHNOLOGIES IN MANUFACTURING - 18-20 October 2023 – Cluj-Napoca</t>
  </si>
  <si>
    <t>1221-5872-L</t>
  </si>
  <si>
    <t>333-340</t>
  </si>
  <si>
    <t xml:space="preserve">A CAD-CAE MODELLING OF THE BIOMECHANICS OF THE BIPLANAR MEDIAL OPENING WEDGE HIGH TIBIAL OSTEOTOMY </t>
  </si>
  <si>
    <t>Nicolae Florin COFARU (ULBS), Ileana Ioana COFARU (ULBS), Andrei Horia BRĂNESCU (ULBS), Eugen AVRIGEAN (ULBS)</t>
  </si>
  <si>
    <t>341-347</t>
  </si>
  <si>
    <t>Developing the 3D model of the human lower body
using the Skeleton System method</t>
  </si>
  <si>
    <t>Andrei-Horia Brănescu (ULBS), Dan-Mihai Rusu (UTC-N), Nicolae-Florin Cofaru (ULBS), Mihai-Raul Petrașcu (ULBS)</t>
  </si>
  <si>
    <t xml:space="preserve"> Advances in Digital Health and Medical Bioengineering
Proceedings of the 11th International Conference on E-Health and Bioengineering, EHB-2023, November 9–10, 2023, Bucharest, Romania – Volume 1: Medical Devices, Measurements, and Artificial Intelligence Applicationst</t>
  </si>
  <si>
    <t>1680-0737</t>
  </si>
  <si>
    <t>Designing an integrated modern parking in a crowded city area – a case study</t>
  </si>
  <si>
    <t>Lobonț Lucian (ULBS), Muntoiu Robert Răzvan Cosmin (Rosenberger Bau - Germany)</t>
  </si>
  <si>
    <t>Smart Cities International Conference (SCIC) Proceedings. 10, (Oct. 2023)</t>
  </si>
  <si>
    <t xml:space="preserve">ISSN 2972-1032, </t>
  </si>
  <si>
    <t>345–356</t>
  </si>
  <si>
    <t>https://ideas.repec.org/a/pop/procee/v10y2022p345-356.html</t>
  </si>
  <si>
    <t>Lobont Lucian</t>
  </si>
  <si>
    <t>STUDENT COMPETITIONS AND SKILLS DEVELOPMENT OF FUTURE ENGINEERS</t>
  </si>
  <si>
    <t>articol          (https://www.utgjiu.ro/rev_ing/pdf/2023-4/24_moraru%20gina-maria_student%20competitions.pdf)</t>
  </si>
  <si>
    <t>Moraru Gina-Maria (ULBS)</t>
  </si>
  <si>
    <t>Annals of Constantin Brâncuşi University of Târgu-Jiu, Engineering Series, No.4/2023</t>
  </si>
  <si>
    <t>1842-4856 (PRINT)  / 2537-530X (ONLINE)</t>
  </si>
  <si>
    <t>153-158</t>
  </si>
  <si>
    <r>
      <rPr>
        <rFont val="Arial Narrow"/>
        <color theme="1"/>
        <sz val="10.0"/>
      </rPr>
      <t xml:space="preserve">DOAJ, </t>
    </r>
    <r>
      <rPr>
        <rFont val="Arial Narrow"/>
        <color theme="1"/>
        <sz val="10.0"/>
      </rPr>
      <t>JournalSeek, OAJI, Academic Resource Index ResearchBib,Citefactor, Scientific Indexing Services (https://www.utgjiu.ro/rev_ing/index.php?lang=ro)</t>
    </r>
  </si>
  <si>
    <t>ISSUES FACING THE ENVIRONMENTAL ENGINEERING FIELD OF STUDY</t>
  </si>
  <si>
    <t>articol          (https://www.utgjiu.ro/rev_ing/pdf/2023-4/25_moraru%20gm_butanescu-volanin%20rc%20.pdf)</t>
  </si>
  <si>
    <t>Moraru Gina-Maria, Butănescu-Volanin Remus-Constantin (ULBS)</t>
  </si>
  <si>
    <t>159-163</t>
  </si>
  <si>
    <r>
      <rPr>
        <rFont val="Arial Narrow"/>
        <color theme="1"/>
        <sz val="10.0"/>
      </rPr>
      <t xml:space="preserve">DOAJ, </t>
    </r>
    <r>
      <rPr>
        <rFont val="Arial Narrow"/>
        <color theme="1"/>
        <sz val="10.0"/>
      </rPr>
      <t>JournalSeek, OAJI, Academic Resource Index ResearchBib,Citefactor, Scientific Indexing Services (https://www.utgjiu.ro/rev_ing/index.php?lang=ro)</t>
    </r>
  </si>
  <si>
    <t>SPIF ON POLYMERS – EXPERIMENTAL DATA DESIGN AND PROCESSING</t>
  </si>
  <si>
    <t>Roșca Nicolae (ULBS), Oleksik Mihaela (ULBS), Roșca Liviu (ULBS)</t>
  </si>
  <si>
    <t>ACTA UNIVERSITATIS CIBINIENSIS – TECHNICAL SERIES</t>
  </si>
  <si>
    <t>35-40</t>
  </si>
  <si>
    <t>10.2478/aucts-2023-0005</t>
  </si>
  <si>
    <t>Google Scholar</t>
  </si>
  <si>
    <t>TOMESCU, Mădălin; ROTARU, Ionela Magdalena</t>
  </si>
  <si>
    <t>Revista Fiabilitate şi Durabilitate / Fiability and Durability</t>
  </si>
  <si>
    <t>2344 – 3669</t>
  </si>
  <si>
    <t>37-44</t>
  </si>
  <si>
    <t xml:space="preserve"> Index Copernicus
 EBSCO
JournalSeek
DOAJ
 ULRICHS
 SCIPIO
</t>
  </si>
  <si>
    <t>45-52</t>
  </si>
  <si>
    <t>Dimulescu Sabin Cristinel, S.C. DSC DIMECOSAB S.R.L. Gorj, Ionela Magdalena Rotaru</t>
  </si>
  <si>
    <t>Annals of "Constantin Brâncuşi" University of Târgu-Jiu - Engineering Series</t>
  </si>
  <si>
    <t>1842-4856</t>
  </si>
  <si>
    <t>99-105</t>
  </si>
  <si>
    <t xml:space="preserve"> EBSCO
 DOAJ
JournalSeek
Open Academic Journals Index: OAJI
Academic Resource Index: Academic Resource Index ResearchBib
Citefactor
Global Impact Factor: GIF
Scientific Indexing Services</t>
  </si>
  <si>
    <t>STUDY ON THE STUDENT-TEACHER RELATIONSHIP IN THE CONTEXT OF ONLINE TEACHING, ACCORDING TO THE STUDENTS OF THE FACULTY OF ENGINEERING, LUCIAN BLAGA UNIVERSITY OF SIBIU.</t>
  </si>
  <si>
    <t>MIRICESCU, Dan; BUTĂNESCU-VOLANIN, Remus Constantin</t>
  </si>
  <si>
    <t>Revista de Management și Inginerie Economică (Review of Management &amp; Economic Engineering), 2023, Vol 22, No 4 (90)</t>
  </si>
  <si>
    <t>ISSN 1583-624X</t>
  </si>
  <si>
    <t>307-317 (https://www.rmee.org/abstracturi/90/07_Articol_695_v3.pdf)</t>
  </si>
  <si>
    <t>EBSCO (https://openurl.ebsco.com/EPDB%3Agcd%3A6%3A9762646/detailv2?sid=ebsco%3Aplink%3Ascholar&amp;id=ebsco%3Agcd%3A174805265&amp;crl=c)
Ulrichsweb
Google Scholar
Index Copernicus International
Cabell's Directories
PBN Polska Bibliografia Naukowa</t>
  </si>
  <si>
    <t>Gina-Maria Moraru, Remus-Constantin Butănescu-Volanin</t>
  </si>
  <si>
    <t>Annals of the „Constantin Brancusi” University of Targu Jiu, Engineering Series, No. 4/2023</t>
  </si>
  <si>
    <t>ISSN 1842-4856</t>
  </si>
  <si>
    <t>EBSCO
DOAJ
 JournalSeek
OAJI
Academic Resource Index ResearchBib
Citefactor
GIF
Scientific Indexing Services
(https://www.utgjiu.ro/rev_ing/)</t>
  </si>
  <si>
    <t>Applications and Optimization Possibilities for Descriptive Geometry and Product Design</t>
  </si>
  <si>
    <t>Scientific Bulletin Series C: Fascicle Mechanics, Tribology, Machine Manufacturing Technology, Vol. 2023 Issue 37</t>
  </si>
  <si>
    <t>1224-3264</t>
  </si>
  <si>
    <t>47-53</t>
  </si>
  <si>
    <t>The importance and role of auto lubricants in thermal engines
of road vehicles</t>
  </si>
  <si>
    <t>Neamțu, G.(ULBS), Bulgariu, C.(UPB), Țîțu, M.(ULBS/AOSR)</t>
  </si>
  <si>
    <t>Journal of Research and Innovation for Sustainable Society (JRISS)
Volume 5, Issue 2</t>
  </si>
  <si>
    <t>2668-0416</t>
  </si>
  <si>
    <t>77-91</t>
  </si>
  <si>
    <t>https://doi.org/10.33727/JRISS.2023.2.10:77-91</t>
  </si>
  <si>
    <t>Sustainable development of road transport in romania, in the context of accession to the Schengen area</t>
  </si>
  <si>
    <t>Neamțu, G.(ULBS), Țîțu, M.(ULBS/AOSR), Tertereanu, P.(UPB)</t>
  </si>
  <si>
    <t>Review of Management and Economic Engineering Vol. 22, No. 3(89)</t>
  </si>
  <si>
    <t>2360-2155</t>
  </si>
  <si>
    <t>226-244</t>
  </si>
  <si>
    <t>Researching the relevance of management tools elaborated to improve quality management at the level of a central public authority</t>
  </si>
  <si>
    <t>Moisescu, Iuliana(UPB), Țîțu, M.(ULBS/AOSR), Olteanu, C.(UPB)</t>
  </si>
  <si>
    <t>Review of Management and Economic Engineering
Vol. 22, No. 3(89)</t>
  </si>
  <si>
    <t>170 - 178</t>
  </si>
  <si>
    <t>Implementing quality management in a software engineering organization</t>
  </si>
  <si>
    <t>Niță, Nicoleta Mădălina, (UPBS), Țîțu, M.(ULBS/AOSR)</t>
  </si>
  <si>
    <t>Review of Management and Economic Engineering, Vol. 22, No. 2(88)</t>
  </si>
  <si>
    <t>2360-2156</t>
  </si>
  <si>
    <t>138-143</t>
  </si>
  <si>
    <t>The competence level of project managers, an important indicator in the sustainable development of organizations</t>
  </si>
  <si>
    <t>Țîțu, M.(ULBS/AOSR), Niță, Nicoleta Mădălina(UPB)</t>
  </si>
  <si>
    <t>2360-2157</t>
  </si>
  <si>
    <t>96-103</t>
  </si>
  <si>
    <t>Comparative aspects of Electrical Erosion Processes</t>
  </si>
  <si>
    <t>Bucur, V.(pensionar), Oprean, C.(pensionar), Țîțu, M.(ULBS)</t>
  </si>
  <si>
    <t>Nonconventional Technologies Review, Vol. 27, Issue 4</t>
  </si>
  <si>
    <t>1454-3087</t>
  </si>
  <si>
    <t>17-26</t>
  </si>
  <si>
    <t>Use of IT tools in nonconventional technology applications</t>
  </si>
  <si>
    <t>Deac Suteu, D. V.(UPB), Popa, Maria (Univ. Alba Iulia), Dragomir, M.(UTCN), Țîțu, M.(ULBS)</t>
  </si>
  <si>
    <t>Nonconventional Technologies Review, Vol. 27, Issue 3</t>
  </si>
  <si>
    <t>1454-3088</t>
  </si>
  <si>
    <t>58-65</t>
  </si>
  <si>
    <t>Advancements in electrical discharge machining: a comprehensive study of evolution, techniques, and applications in precision engineering</t>
  </si>
  <si>
    <t>Pop Alina Bianca(UTCN), Țîțu, M.(ULBS)</t>
  </si>
  <si>
    <t>44-50</t>
  </si>
  <si>
    <t>Studies and research regarding the services offered by the sibiu county directorate of personal registration offered to organizations with objects of activity in nonconventional technologies</t>
  </si>
  <si>
    <t>Olteanu, C.D.(UPB), Țîțu, M.(ULBS), Moisescu, Iuliana(UPB), Niță, Nicoleta Mădălina(UPB)</t>
  </si>
  <si>
    <t>36-43</t>
  </si>
  <si>
    <t>Nonconventional technologies in the modern world of aviation</t>
  </si>
  <si>
    <t>Apostol, Eliza Ioana(UPB), Doicin, C.V.(UPB), Ionescu, N.(UPB), Țîțu, M.(ULBS)</t>
  </si>
  <si>
    <t>29-35</t>
  </si>
  <si>
    <t>Enhancing quality in knowledge-based organizations through the implementation of collaborative robots into nonconventional technologies in automotive</t>
  </si>
  <si>
    <t>Gusan, V.(UPB), Purcar, Carmen(ULBS), Bădescu, M.(ULBS), Țîțu, M.(ULBS)</t>
  </si>
  <si>
    <t>Nonconventional Technologies Review, Vol. 27, Issue 2</t>
  </si>
  <si>
    <t>41-46</t>
  </si>
  <si>
    <t>Contributions to the improvement of the quality of the nonconventional processes within the national information system of signaling in the context of romania's accession to the schengen area</t>
  </si>
  <si>
    <t>Tertereanu, P.(UPB), Țîțu, M.(ULBS), Oprean, C.(pensionar)</t>
  </si>
  <si>
    <t>2-8</t>
  </si>
  <si>
    <t>The place and role of knowledge management in a sustainable organization from the software engineering branch</t>
  </si>
  <si>
    <t>Niță, N.M.(UPB), Țîțu, M.(ULBS)</t>
  </si>
  <si>
    <t>Management of Sustainable Development Journal, Volume 15, No. 1</t>
  </si>
  <si>
    <t>2247 – 0220</t>
  </si>
  <si>
    <t>55-61</t>
  </si>
  <si>
    <t>https://doi.org/10.54989/msd-2023-0008</t>
  </si>
  <si>
    <t>A knowledge management guideline: identifying and quantifying the knowledge level of a team that works for a software engineering project</t>
  </si>
  <si>
    <t>Țîțu, M.(ULBS), Niță, N.M.(UPB)</t>
  </si>
  <si>
    <t>Management of Sustainable Development Journal, Volume 15, No. 2</t>
  </si>
  <si>
    <t>2248 – 0220</t>
  </si>
  <si>
    <t>59 - 66</t>
  </si>
  <si>
    <t>https://doi.org/10.54989/msd-2023-0016</t>
  </si>
  <si>
    <t>ARCHITECTURAL REFERENCE MODELS USED IN PROCESS MODELING</t>
  </si>
  <si>
    <t>Țîțu, M.(ULBS), Moisescu, Iuliana(UPB)</t>
  </si>
  <si>
    <t>Annals of the Academy of Romanian Scientists Series on Economic, Legal and Sociological Sciences, Volume 6, no. 1/2023</t>
  </si>
  <si>
    <t>2067 – 1199</t>
  </si>
  <si>
    <t>5-19</t>
  </si>
  <si>
    <t xml:space="preserve"> https://doi.org/10.56082/annalsarscieco.2023.1.5</t>
  </si>
  <si>
    <t>Cluster analysis approach for identifying optimal cutting parameters in end milling of aluminum alloy 7136 for improved surface roughness</t>
  </si>
  <si>
    <t>Țîțu, M.(ULBS), Oprean, C.(pensionar), Pop, Bianca Alina(UTCN)</t>
  </si>
  <si>
    <t>Annals of the Academy of Romanian Scientists Series on Engineering Sciences, Volume 15, Number 1/2023</t>
  </si>
  <si>
    <t>2066-8570</t>
  </si>
  <si>
    <t>124-137</t>
  </si>
  <si>
    <t>https://doi.org/10.56082/annalsarscieng.2023.1.124</t>
  </si>
  <si>
    <t>Actualities and pragmatic perspectives of total quality management in the automotive knowledge-based organization</t>
  </si>
  <si>
    <t>Țîțu, M.(ULBS), Oprean, C.(pensionar), Pop, Bianca Alina(UTCN), Țîțu, Ș.(IOCN)</t>
  </si>
  <si>
    <t>5-20</t>
  </si>
  <si>
    <t>https://doi.org/10.56082/annalsarscieng.2023.1.5</t>
  </si>
  <si>
    <t>Finite element analysis of stresses and deformations in cold pressure welding assembly</t>
  </si>
  <si>
    <t>Fiabilitate şi Durabilitate / Fiability and Durability</t>
  </si>
  <si>
    <t>1844 – 640X</t>
  </si>
  <si>
    <t>130-136</t>
  </si>
  <si>
    <t>Indexcopernicus: Index Copernicus
EBSCO: EBSCO
JournalSeek: JournalSeek
DOAJ: DOAJ
ULRICHS: ULRICHS
SCIPIO: SCIPIO</t>
  </si>
  <si>
    <t>Some aspects about material recycling</t>
  </si>
  <si>
    <t>225-230</t>
  </si>
  <si>
    <t>Material - design - product</t>
  </si>
  <si>
    <t>Analele Universitatii "Constantin Brancusi" din Tg Jiu, Seria Inginerie, nr.2, 2022</t>
  </si>
  <si>
    <t>36-42</t>
  </si>
  <si>
    <t>EBSCO: EBSCO
DOAJ: DOAJ
JournalSeek: JournalSeek
Open Academic Journals Index: OAJI
Academic Resource Index: Academic Resource Index ResearchBib
CiteFactor: Citefactor
Global Impact Factor: GIF
Scientific Indexing Services: Scientific Indexing Services</t>
  </si>
  <si>
    <t>Investigating Critical Thinking Among Engineering Students in Romania</t>
  </si>
  <si>
    <t>Grecu, V. (ULBS)</t>
  </si>
  <si>
    <t>Acta Universitatis Cibiniensis. Technical Series 75 (1), 21-29</t>
  </si>
  <si>
    <t>21-29</t>
  </si>
  <si>
    <t>DOI: 10.2478/aucts-2023-0003</t>
  </si>
  <si>
    <t>Exploring the Landscape of Sustainable Innovation.</t>
  </si>
  <si>
    <t>Grecu,V. (ULBS) and Deneș, C. (ULBS)</t>
  </si>
  <si>
    <t xml:space="preserve">FAIMA Business &amp; Management Journal </t>
  </si>
  <si>
    <t>ISSN: 2344-4088</t>
  </si>
  <si>
    <t>41-55.</t>
  </si>
  <si>
    <t>https://faimajournal.upb.ro/archive/FBMJ_Contents_Abstracts_Volume11_Issue3.pdf</t>
  </si>
  <si>
    <t>Developing Transversal Skills in Engineering Studies.</t>
  </si>
  <si>
    <t>https://faimajournal.upb.ro/archive/FBMJ_Contents_Abstracts_Volume11_Issue1.pdf</t>
  </si>
  <si>
    <t>POPP, I.-O., POPP, M.-O., OLEKSIK, M., RUSU, G.-P., &amp; CHICEA, A. L. (toți ULBS)</t>
  </si>
  <si>
    <t>Acta Universitatis Cibiniensis. Technical Series, 75(1), 2023</t>
  </si>
  <si>
    <t>eISSN:
2668-6449</t>
  </si>
  <si>
    <t>DOI: 10.2478/aucts-2023-0004</t>
  </si>
  <si>
    <t>Ebsco, Inspec, Engineering Village</t>
  </si>
  <si>
    <t>SPIF on Polymers–Experimental Data Design and Processing</t>
  </si>
  <si>
    <t>ROŞCA, N., OLEKSIK, M., &amp; ROŞCA, L.  (toți ULBS)</t>
  </si>
  <si>
    <t>DOI: 10.2478/aucts-2023-0005</t>
  </si>
  <si>
    <t>THE ROLE OF THE INTERNSHIP MENTOR IN DEVELOPING THE SKILLS OF ENGINEERING STUDENTS</t>
  </si>
  <si>
    <t>L.G. Popescu (ULBS)</t>
  </si>
  <si>
    <t>7417-7421</t>
  </si>
  <si>
    <t>10.21125/inted.2023.2026</t>
  </si>
  <si>
    <t>https://library.iated.org/view/POPESCU2023ROL</t>
  </si>
  <si>
    <t>Popescu Liliana</t>
  </si>
  <si>
    <t>CASE STUDY ON IMPROVING ADULT LEARNING</t>
  </si>
  <si>
    <t>7375-7382</t>
  </si>
  <si>
    <t>10.21125/inted.2023.2012</t>
  </si>
  <si>
    <t>https://library.iated.org/view/POPESCU2023CAS</t>
  </si>
  <si>
    <r>
      <rPr>
        <rFont val="Arial Narrow"/>
        <color theme="1"/>
        <sz val="10.0"/>
      </rPr>
      <t>M.V. Zerbes (ULBS)</t>
    </r>
    <r>
      <rPr>
        <rFont val="Arial Narrow"/>
        <color rgb="FF222222"/>
        <sz val="10.0"/>
      </rPr>
      <t>, </t>
    </r>
    <r>
      <rPr>
        <rFont val="Arial Narrow"/>
        <color rgb="FF000000"/>
        <sz val="10.0"/>
      </rPr>
      <t>D. Baron (ULBS)</t>
    </r>
    <r>
      <rPr>
        <rFont val="Arial Narrow"/>
        <color rgb="FF222222"/>
        <sz val="10.0"/>
      </rPr>
      <t>, </t>
    </r>
    <r>
      <rPr>
        <rFont val="Arial Narrow"/>
        <color rgb="FF000000"/>
        <sz val="10.0"/>
      </rPr>
      <t>R. Roman(ULBS)</t>
    </r>
    <r>
      <rPr>
        <rFont val="Arial Narrow"/>
        <color rgb="FF222222"/>
        <sz val="10.0"/>
      </rPr>
      <t>, </t>
    </r>
    <r>
      <rPr>
        <rFont val="Arial Narrow"/>
        <color rgb="FF000000"/>
        <sz val="10.0"/>
      </rPr>
      <t xml:space="preserve">L.G. Popescu  (ULBS) </t>
    </r>
    <r>
      <rPr>
        <rFont val="Arial Narrow"/>
        <color rgb="FF222222"/>
        <sz val="10.0"/>
      </rPr>
      <t>, </t>
    </r>
    <r>
      <rPr>
        <rFont val="Arial Narrow"/>
        <color rgb="FF000000"/>
        <sz val="10.0"/>
      </rPr>
      <t>A. Olteanu</t>
    </r>
    <r>
      <rPr>
        <rFont val="Arial Narrow"/>
        <color rgb="FF222222"/>
        <sz val="10.0"/>
      </rPr>
      <t> (Conexiuni)</t>
    </r>
  </si>
  <si>
    <t>L.G. Popescu (ULBS), M.V. Zerbes (ULBS), O. Artene-Piloiu (Conexiuni)</t>
  </si>
  <si>
    <t>L.G. Popescu (ULBS) M.V. Zerbes (ULBS)</t>
  </si>
  <si>
    <t>L.M FUMUREANU, (As Conexiuni); M.V. Zerbes (ULBS); L.G. Popescu (ULBS)</t>
  </si>
  <si>
    <t>eISSN: 2451-3148</t>
  </si>
  <si>
    <t>A. OLTEANU(As Conexiuni ); M.V. Zerbes (ULBS); L.M. FUMUREANU (As Conexiuni); L.G. Popescu (ULBS)</t>
  </si>
  <si>
    <t>STUDY ON THE APPLICATIONS OF ADDITIVE MANUFACTURING TECHNOLOGY</t>
  </si>
  <si>
    <t>The Tribune (Revista)</t>
  </si>
  <si>
    <t>ISSN: 2668-2583
ISSN-L: 2668-2583</t>
  </si>
  <si>
    <t>17-28</t>
  </si>
  <si>
    <t>https://lobbyart-anthropology.ro/THE-TRIBUNE.php</t>
  </si>
  <si>
    <t>ANALYSIS OF THE LOGISTICS MARKET AND MANAGEMENT OF LOGISTICS ACTIVITIES IN ROMANIA DURING THE PANDEMIC</t>
  </si>
  <si>
    <t>Dan MIRICESCU (ULBS),
Elida-Tomiță TODĂRIȚĂ
(Nicolae Balcescu” Land Forces Academy, Sibiu, Romania)</t>
  </si>
  <si>
    <t xml:space="preserve">International Conference KNOWLEDGE-BASED ORGANIZATION
Vol. XXIX No 1 2023 
</t>
  </si>
  <si>
    <t>eISSN:
2451-3113</t>
  </si>
  <si>
    <t>pag. 138-145</t>
  </si>
  <si>
    <t>DOI: 10.2478/kbo-2023-0021</t>
  </si>
  <si>
    <t>EBSCO
Google Scholar
Ulrich's Periodicals Directory/ulrichsweb</t>
  </si>
  <si>
    <t>STUDY REGARDING THE CONNEXION BETWEEN A LEADERSHIP AND MOTIVATIONS IN THE LOGISTICS ACTIVITY IN THE PRODUCTION ORGANISATIONS</t>
  </si>
  <si>
    <t>Elida-Tomiță TODĂRIȚĂ
(Nicolae Balcescu” Land Forces Academy, Sibiu, Romania),
Dan MIRICESCU (ULBS),
 Andreea PORANCEA-RĂULEA
(“Nicolae Bălcescu” Land Forces Academy, Sibiu, Romania)</t>
  </si>
  <si>
    <t>Land Forces Academy Review, Vol. XXVIII, No. 4(112), 2023</t>
  </si>
  <si>
    <t>ISSN 2247-840X, ISSN-L 1582-6384.</t>
  </si>
  <si>
    <t>pag. 338-346</t>
  </si>
  <si>
    <t>DOI: 10.2478/raft-2023-0040</t>
  </si>
  <si>
    <t>ProQuest
EBSCO
Google Scholar
Ulrich's Periodicals Directory/ulrichsweb
DOAJ</t>
  </si>
  <si>
    <t>STUDY ON THE STUDENT-TEACHER RELATIONSHIP IN THE CONTEXT OF ONLINE TEACHING, ACCORDING TO THE STUDENTS OF THE FACULTY OF ENGINEERING, LUCIAN BLAGA UNIVERSITY OF SIBIU</t>
  </si>
  <si>
    <t>Dan MIRICESCU (ULBS),
Remus Constantin BUTĂNESCU-VOLANIN (ULBS)</t>
  </si>
  <si>
    <t>Review of Management and Economic Engineering Vol. 22, Nr. 4(90), December 2023, p.307 -317, ISSN (print): 1583-624X, ISSN (online): 2360-2155 Copyright © Association of Managers and Economic Engineers from Romania</t>
  </si>
  <si>
    <t xml:space="preserve">ISSN (print): 1583-624X, ISSN (online): 2360-2155 </t>
  </si>
  <si>
    <t>p.307 -317</t>
  </si>
  <si>
    <t xml:space="preserve">
EBSCO
Google Scholar
Ulrich's
Index Copernicus
Cabell's Directories</t>
  </si>
  <si>
    <t>CRITICAL SUCCESS PARAMETERS FOR ONLINE AND DISTANCE EDUCATION BEFORE, DURING AND AFTER THE COVID-19 PANDEMIC</t>
  </si>
  <si>
    <t>G. Aretoulis (Aristotle University of Thessaloniki GREECE),
 E. Aretouli (University of Ioannina GREECE),
 S. Armenia (Università Telematica degli Studi IUL - ITALY),
D. Miricescu (ULBS),
J. Papathanasiou (University of Macedonia GREECE),
 J. Stanković (University of Niš SERBIA),
G. Tsaples (University of Macedonia GREECE)</t>
  </si>
  <si>
    <t>ICERI2023, Proceedings16th annual International Conference of Education, Research and Innovation, Seville, Spain, November 2023</t>
  </si>
  <si>
    <t>Pages: 9218-9224</t>
  </si>
  <si>
    <t>doi: 10.21125/iceri.2023.2367</t>
  </si>
  <si>
    <t xml:space="preserve">
Google Scholar
Cabell's Directories</t>
  </si>
  <si>
    <t>LEARNING PREFERENCES THROUGH DISTANCE EDUCATION AND THE ASSOCIATION WITH STUDENTS' PROFILE</t>
  </si>
  <si>
    <t>doi: 10.21125/iceri.2023.2367</t>
  </si>
  <si>
    <t>SUSTAINABLE DISTANCE EDUCATION: A LITERATURE REVIEW OF THE LAST DECADES AND A CORRESPONDING BIBLIOMETRIC ANALYSIS</t>
  </si>
  <si>
    <t xml:space="preserve">CLASSIFICATION OF ADOLESCENT IDIOPATHIC SCOLIOSIS SEVERITY USING NON-INVASIVE DIGITAL TECHNOLOGY – Preliminary results </t>
  </si>
  <si>
    <t>Mihai Neghina(ULBS), Radu Petruse(ULBS), Martin Bertsch(ETH Zurich), William R Taylor(ETH Zurich), Sasa Cukovic(ETH Zurich)</t>
  </si>
  <si>
    <t>Proceedings of the 19th International Symposium on Computer Simulation in Biomechanics (TGCS 2023)</t>
  </si>
  <si>
    <t>nu are</t>
  </si>
  <si>
    <t>23-24</t>
  </si>
  <si>
    <t>https://tgcs.isbweb.org/iscsb-2023/abstracts/TGCS_2023_Proceedings.pdf</t>
  </si>
  <si>
    <t>Optimizing Manual Assembly Operations: Ergonomics Analysis and Human-Robot Collaboration</t>
  </si>
  <si>
    <t>Radu Emanuil Petruse(ULBS), Silvana Maria Vlad (fara afiliere)</t>
  </si>
  <si>
    <t>1-13</t>
  </si>
  <si>
    <t>DOI: 10.2478/aucts-2023-0001</t>
  </si>
  <si>
    <t>41-55</t>
  </si>
  <si>
    <t>43-52</t>
  </si>
  <si>
    <t>Purcar Carmen</t>
  </si>
  <si>
    <t>A REVIEW OF ARTIFICIAL INTELLIGENCE AND MACHINE LEARNING FOR OCCUPATIONAL HEALTH AND SAFETY IN THE ERA OF INDUSTRY 6.0</t>
  </si>
  <si>
    <t>Bratu Mihaela Laura (ULBS), Cioca Lucian-Ionel (ULBS), Rotaru Mihaela (ULBS), Vlad Dorin (ULBS), Timbalari Carolina (ULBS), Buta Bianca (ULBS)</t>
  </si>
  <si>
    <t>ANNALES UNIVERSITATIS APULENSIS SERIES OECONOMICA</t>
  </si>
  <si>
    <t>ISSN: 1454-9409 (Print) / 2344–4975 (Online) / ISSN–L 1454–9409</t>
  </si>
  <si>
    <t>Repec EBSCO Host Central &amp; Eastern European Academic Source The Belt and Road Initiative Reference Source EBSCO Discovery Service EconLit IndexCopernicus Portal ISSN ROAD Cite Factor</t>
  </si>
  <si>
    <t>Implementation of a weather station to monitor agricultural crops</t>
  </si>
  <si>
    <t>Ionuț Claudiu Udrescu (VITESCO)
Alina Cristina Viorel (ULBS) 
Gabriela Crăciunaș (ULBS)
Mihai Bogdan (ULBS)</t>
  </si>
  <si>
    <t>International Journal of Advanced Statistics and IT&amp;C for Economics and Life Sciences, VOLUME 13 (2023): ISSUE 1 (DECEMBER 2023)</t>
  </si>
  <si>
    <t>ISSN 2559 - 365X</t>
  </si>
  <si>
    <t>38 - 44</t>
  </si>
  <si>
    <t>DOI: 10.2478/ijasitels-2023-0005</t>
  </si>
  <si>
    <t>SCIENDO</t>
  </si>
  <si>
    <t>An Overview on Sound Features in Time and Frequency Domain</t>
  </si>
  <si>
    <t>Constantinescu, C. (ULBS) and Brad, R. (ULBS)</t>
  </si>
  <si>
    <t>International Journal of Advanced Statistics and IT&amp;C for Economics and Life Sciences, 13(1)</t>
  </si>
  <si>
    <t>ISSN 2067 – 354X</t>
  </si>
  <si>
    <t>45-58</t>
  </si>
  <si>
    <t>10.2478/ijasitels-2023-0006</t>
  </si>
  <si>
    <t>Sciendo</t>
  </si>
  <si>
    <t>A comparison of artificial intelligence models used for fake news detection</t>
  </si>
  <si>
    <t>Ștefan Emil Repede  (ULBS, Remus Brad  (ULBS</t>
  </si>
  <si>
    <t xml:space="preserve"> Bulletin of "Carol I" National Defence University, 12</t>
  </si>
  <si>
    <t>ISSN 2284-936X</t>
  </si>
  <si>
    <t>114-131</t>
  </si>
  <si>
    <t xml:space="preserve">10.53477/2284-9378-23-10 </t>
  </si>
  <si>
    <t>Proquest</t>
  </si>
  <si>
    <t>Sentiment Analysis Using Bert Model</t>
  </si>
  <si>
    <t>Manuel-Ilie Dorca (Lucian Blaga University of Sibiu), Antoniu Gabriel Pitic (Lucian Blaga University of Sibiu), Radu G. Cretulescu (Lucian Blaga University of Sibiu)</t>
  </si>
  <si>
    <t>International Journal of Advanced Statistics and IT&amp;C for Economics and Life Sciences</t>
  </si>
  <si>
    <t>59-66</t>
  </si>
  <si>
    <t xml:space="preserve"> 10.2478/ijasitels-2023-0007</t>
  </si>
  <si>
    <t>Methods for data validation using QR codes</t>
  </si>
  <si>
    <t xml:space="preserve">Oleksik Vlad Andrei (Lucian Blaga University of Sibiu) , Pitic Elena Alina (Lucian Blaga University of Sibiu), Crețulescu Radu George (Lucian Blaga University of Sibiu) </t>
  </si>
  <si>
    <t>67-79</t>
  </si>
  <si>
    <t>10.2478/ijasitels-2023-0008</t>
  </si>
  <si>
    <t>Effects of Self-Regulation and Cooperation on Technology Acceptance and Teachers' E-Teaching Competence</t>
  </si>
  <si>
    <t>D Zoppelt, A Hermann, R Crețulescu, R Wild, U Elsholz, Effects of Self-Regulation and Cooperation on Technology Acceptance and Teachers’ E-Teaching Competence</t>
  </si>
  <si>
    <t>European Proceedings of Educational Sciences
scholar.google.com/scholar?hl=ro&amp;as_sdt=0%2C5&amp;q=Effects+Of+Self-Regulation+And+Cooperation+On+Technology+Acceptance+And+Teachers’+E-Teaching+Competence&amp;btnG=</t>
  </si>
  <si>
    <t>ICDD conference, paper ID 104</t>
  </si>
  <si>
    <t>Recenzie</t>
  </si>
  <si>
    <t>IDCC 2023</t>
  </si>
  <si>
    <t>ICDD conference, paper ID 114</t>
  </si>
  <si>
    <t>IDCC 2024</t>
  </si>
  <si>
    <t>Fog Detection through Image Processing Methods</t>
  </si>
  <si>
    <t>Teodor-Adrian Radescu, Arpad Gellert</t>
  </si>
  <si>
    <t>International Journal of Advanced Statistics and IT&amp;C for Economics and Life Sciences, Vol. 13, Issue 1, December 2023</t>
  </si>
  <si>
    <t>2559-365X</t>
  </si>
  <si>
    <t>28-37</t>
  </si>
  <si>
    <t>10.2478/ijasitels-2023-0004</t>
  </si>
  <si>
    <t>PKP, ROAD, SCIENDO, EBSCO, Google Scholar</t>
  </si>
  <si>
    <t>Simulink implementation of the open-loop scalar command for a three-phase induction machine model</t>
  </si>
  <si>
    <t>Craciunas Gabriela (ULBS)
Viorel Alina Cristina(ULBS)</t>
  </si>
  <si>
    <t xml:space="preserve">International Journal of Advanced Statistics and IT&amp;C for Economics and Life Sciences 
December 2023* Vol. XIII, no. 1
</t>
  </si>
  <si>
    <t>ISSN 2559-365X
eISSN 2067-354X</t>
  </si>
  <si>
    <t>DOI: 10.2478/ijasitels-2023-000</t>
  </si>
  <si>
    <t>CRACIUNAS Gabriela</t>
  </si>
  <si>
    <t>Different Chopper Types for Supply Separately Excited DC Motor</t>
  </si>
  <si>
    <t>Viorel Alina Cristina(ULBS)
Craciunas Gabriela (ULBS)</t>
  </si>
  <si>
    <t>Ionuț Claudiu Udrescu(Vitesco Technologies Engineering Romania SRL)
Viorel Alina Cristina(ULBS)
Craciunas Gabriela (ULBS)
Bogdan Mihai (ULBS)</t>
  </si>
  <si>
    <t>Viorel Alina Cristina (ULBS)
Crăciunaș Gabriela (ULBS)</t>
  </si>
  <si>
    <t>International Journal of Advanced Statistics and IT&amp;C for Economics and Life Sciences Vol.13</t>
  </si>
  <si>
    <t>2067-354X</t>
  </si>
  <si>
    <t>23-27</t>
  </si>
  <si>
    <t>https://doi.org/10.2478/ijasitels-2023-0003</t>
  </si>
  <si>
    <t>De Gruyter Group</t>
  </si>
  <si>
    <t xml:space="preserve">Simulink implementation of the openloop scalar command for a three-phase induction machine model </t>
  </si>
  <si>
    <t>International Journal of Advanced Statistics and IT&amp;C for Economics and Life Sciences, Vol.13</t>
  </si>
  <si>
    <t>14-22</t>
  </si>
  <si>
    <t>https://doi.org/10.2478/ijasitels-2023-0002</t>
  </si>
  <si>
    <t>Udrescu Ionut Claudiu
Viorel Alina Cristina (ULBS)
Crăciunaș Gabriela (ULBS)
Bogdan Mihai (ULBS)</t>
  </si>
  <si>
    <t>38-44</t>
  </si>
  <si>
    <t>https://doi.org/10.2478/ijasitels-2023-0005</t>
  </si>
  <si>
    <t>10.2478/ijasitels-2023-0007</t>
  </si>
  <si>
    <t>Drivers of Digital Transformation and their Impact on Organizational Management</t>
  </si>
  <si>
    <t xml:space="preserve">Cantemir Mihu, Antoniu Gabriel Pitic(ULBS), Dorin Bayraktar
 </t>
  </si>
  <si>
    <t>Studies in Business and Economics
VOLUME 18 (2023): ISSUE 1 (APRIL 2023)</t>
  </si>
  <si>
    <t>eISSN:
2344-5416</t>
  </si>
  <si>
    <t>149 - 170</t>
  </si>
  <si>
    <t>https://doi.org/10.2478/sbe-2023-0009</t>
  </si>
  <si>
    <t>A Categorical Metamodel for Reactive Kripke Frames</t>
  </si>
  <si>
    <t>CRACIUNEAN  Daniel-Cristian (ULBS)</t>
  </si>
  <si>
    <t>https://doi.org/10.2478/ijasitels-2023-0001</t>
  </si>
  <si>
    <t>https://sciendo.com/article/10.2478/ijasitels-2023-0001</t>
  </si>
  <si>
    <t>CRACIUNEAN Daniel Cristian</t>
  </si>
  <si>
    <t>Constantinescu Constantin, Remus Brad (ULBS)</t>
  </si>
  <si>
    <t>https://doi.org/10.2478/ijasitels-2023-0006</t>
  </si>
  <si>
    <t>Prerequisites of using similitude for studying distribution networks with a laboratory-scaled grid</t>
  </si>
  <si>
    <t>Mihai Sanduleac (UPB), Carmen Stanescu (Transelectrica), Teodor Diaconu (UPB), Dorel Stanescu (ULBS), Paul Lacatus (UPB), Cristina Efremov (Univ. Moldova)</t>
  </si>
  <si>
    <t>Procedings of International Conference on Modern Power Systems (MPS)</t>
  </si>
  <si>
    <t>ISBN:979-8-3503-2682-6</t>
  </si>
  <si>
    <t>DOI: 10.1109/MPS58874.2023.10187424</t>
  </si>
  <si>
    <t xml:space="preserve"> IEEE Xplore</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</si>
  <si>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</si>
  <si>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</si>
  <si>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</si>
  <si>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</si>
  <si>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</si>
  <si>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</si>
  <si>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</si>
  <si>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</si>
  <si>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</si>
  <si>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</si>
  <si>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</si>
  <si>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</si>
  <si>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</si>
  <si>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</si>
  <si>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Approche systémique et recherche en matière de performance sportive: Aspects liés aux méthodes scientifiques d'approche de l'entraînement sportif</t>
  </si>
  <si>
    <t xml:space="preserve">GBĂDESCU Delia, DENEŞ Călin, BĂDESCU Mircea </t>
  </si>
  <si>
    <t> Editions Notre Savoir</t>
  </si>
  <si>
    <t>978-6206280170</t>
  </si>
  <si>
    <t>Abordagem sistémica e investigação no desempenho desportivo: Aspectos relacionados com as formas científicas de abordagem do treino desportivo para aumentar a eficácia do treino</t>
  </si>
  <si>
    <t> Edições Nosso Conhecimento</t>
  </si>
  <si>
    <t> 978-6206280194</t>
  </si>
  <si>
    <t>Approccio sistemico e ricerca nella performance sportiva: Aspetti legati alle modalità scientifiche di approccio all'allenamento sportiva</t>
  </si>
  <si>
    <t xml:space="preserve"> Edizioni Sapienza</t>
  </si>
  <si>
    <t>978-6206280187</t>
  </si>
  <si>
    <t>Enfoque sistémico e investigación en el rendimiento deportivo: Aspectos relacionados con las formas científicas de enfocar el entrenamiento deportivo</t>
  </si>
  <si>
    <t>Ediciones Nuestro Conocimiento</t>
  </si>
  <si>
    <t>978-6206280026</t>
  </si>
  <si>
    <t>Systemischer Ansatz und Forschung im Bereich der sportlichen Leistung</t>
  </si>
  <si>
    <t>Verlag Unser Wissen</t>
  </si>
  <si>
    <t> 978-6206279983</t>
  </si>
  <si>
    <t>Provocări și soluții tehnico-economice sustenabile în procesul de exploatare a zăcămintelor de gaze naturale și de recuperare a energiei de detentă aferentă depozitelor de înmagazinare – Surse importante de energie durabilă</t>
  </si>
  <si>
    <t>PRODEA LAURENȚIU, LUPU DIANA</t>
  </si>
  <si>
    <t>Editura Universității „Lucian Blaga” din Sibiu</t>
  </si>
  <si>
    <t xml:space="preserve">978-606-12-1993-3                                    Llink BIBLIOTECA NATIONALA ISBN                                                                  https://aleph.bibnat.ro/F/C3CATUI9Y3GR7IXP81UNDTC2RLESAJK2JPXPUGXG41GGQDQ41M-18662?func=full-set-set&amp;set_number=030788&amp;set_entry=000002&amp;format=999            </t>
  </si>
  <si>
    <t>DECEMBRIE</t>
  </si>
  <si>
    <t>Prodea Laurentiu</t>
  </si>
  <si>
    <t>KNOWLEDGE CAPITALIZATION IN AUTOMOTIVE RESEARCH &amp; DEVELOPMENT OFFSHORE</t>
  </si>
  <si>
    <t>Gal, M., Kifor, C. V.</t>
  </si>
  <si>
    <t>LAP LAMBERT Academic Publishing</t>
  </si>
  <si>
    <t>ISBN-10 ‏ : ‎ 6206754405</t>
  </si>
  <si>
    <t>Aug</t>
  </si>
  <si>
    <t xml:space="preserve">172 pag x x2 pct x2 (coef multiplicare)/2 autori </t>
  </si>
  <si>
    <t>Microeconomics</t>
  </si>
  <si>
    <t>Fleischer Wiegand Helmut</t>
  </si>
  <si>
    <t>978-620-6-15257-6</t>
  </si>
  <si>
    <t>aprilie</t>
  </si>
  <si>
    <t>Fleischer Wiegand</t>
  </si>
  <si>
    <t>Managementul proprietății intelectuale și excelența operațională: crearea unei culturi a calității într-o organizație bazată pe cunoștințe. Capitolul VIII -  In: Economia și societatea în era digitalizării</t>
  </si>
  <si>
    <t>Țîțu M. (ULBS), Pop Alina Bianca (UTCN), Oprean C. (ULBS)</t>
  </si>
  <si>
    <t>Editura Academiei Oamenilor de Știință din România</t>
  </si>
  <si>
    <t>978-630-6518-22-7</t>
  </si>
  <si>
    <t>Transfer de masa, impuls si caldura in instalatiile industriale</t>
  </si>
  <si>
    <t>Bren</t>
  </si>
  <si>
    <t>978-606-610-291-9</t>
  </si>
  <si>
    <t>Februarie</t>
  </si>
  <si>
    <t>Analiza datelor cu Microsoft Excel (https://www.editurauniversitara.ro/arte-si-multimedia-28/analiza-datelor-cu-microsoft-excel-mihaela-oleksik-liviu-rosca.html)</t>
  </si>
  <si>
    <t>OLEKSIK, M., ROSCA, L. (ambii ULBS)</t>
  </si>
  <si>
    <t>Pro Universitaria</t>
  </si>
  <si>
    <t>978-606-261690-8</t>
  </si>
  <si>
    <t>Ubiquitos statistics and probability (https://isbnsearch.org/isbn/9781594962103)</t>
  </si>
  <si>
    <t>Teora USA</t>
  </si>
  <si>
    <t>978-159-496-210-3</t>
  </si>
  <si>
    <t>mai</t>
  </si>
  <si>
    <t>Metaphysical thuth &amp; artificial intelligence "Anthropology of communication"</t>
  </si>
  <si>
    <t>Popescu P. A. (S.C.Tribuna), Ionescu A.G. (ULBS), Popescu L.G.</t>
  </si>
  <si>
    <t>Editura ASTRA Museum</t>
  </si>
  <si>
    <t>ISBN 978-606-733-290-2</t>
  </si>
  <si>
    <t>sept</t>
  </si>
  <si>
    <t>Carta albă a IMM-urilor din Rmânia 2023</t>
  </si>
  <si>
    <t>Coordonator ştiinţific: Ovidiu NICOLESCU
Ciprian NICOLESCU
(Cap. 1, Cap. 2, Cap. 15)
Dan MIRICESCU
(Cap.3, Cap. 11, Cap. 12)
Daniel URÎTU
(Cap. 4, Cap. 9)
Cezar SIMION
(Cap. 5, Cap. 6, Cap. 8)
Dragoş PUFULETE
(Cap. 7, Cap. 14)
Camelia CRISTOF
(Cap. 10)
Denisa SAMEK
(Cap. 13)</t>
  </si>
  <si>
    <t>Editura 
PRO Universitaria</t>
  </si>
  <si>
    <t>ISSN 2810-2088
ISBN 978-606-26-1624-3</t>
  </si>
  <si>
    <t>iunie</t>
  </si>
  <si>
    <t xml:space="preserve">Cap. 3
31 pag.
Cap. 11
49 pag
Cap. 12
14 pag </t>
  </si>
  <si>
    <t>6 + 1 coord. (fiecare cu contribuţie proprie pe capitole)</t>
  </si>
  <si>
    <t>6 + 1 coord.</t>
  </si>
  <si>
    <t>92 pag x 2pct/pag =184 pct.</t>
  </si>
  <si>
    <r>
      <rPr>
        <rFont val="Arial Narrow"/>
        <color theme="1"/>
        <sz val="10.0"/>
      </rPr>
      <t> </t>
    </r>
    <r>
      <rPr>
        <rFont val="Arial Narrow"/>
        <color rgb="FF0F1111"/>
        <sz val="10.0"/>
      </rPr>
      <t>Editions Notre Savoir</t>
    </r>
  </si>
  <si>
    <r>
      <rPr>
        <rFont val="Arial Narrow"/>
        <color theme="1"/>
        <sz val="10.0"/>
      </rPr>
      <t> </t>
    </r>
    <r>
      <rPr>
        <rFont val="Arial Narrow"/>
        <color rgb="FF0F1111"/>
        <sz val="10.0"/>
      </rPr>
      <t>Edições Nosso Conhecimento</t>
    </r>
  </si>
  <si>
    <r>
      <rPr>
        <rFont val="Arial Narrow"/>
        <color theme="1"/>
        <sz val="10.0"/>
      </rPr>
      <t> </t>
    </r>
    <r>
      <rPr>
        <rFont val="Arial Narrow"/>
        <color rgb="FF0F1111"/>
        <sz val="10.0"/>
      </rPr>
      <t>978-6206280194</t>
    </r>
  </si>
  <si>
    <r>
      <rPr>
        <rFont val="Arial Narrow"/>
        <color theme="1"/>
        <sz val="10.0"/>
      </rPr>
      <t> </t>
    </r>
    <r>
      <rPr>
        <rFont val="Arial Narrow"/>
        <color rgb="FF0F1111"/>
        <sz val="10.0"/>
      </rPr>
      <t>978-6206279983</t>
    </r>
  </si>
  <si>
    <t>978-606-12-1993-3</t>
  </si>
  <si>
    <t>Lupu Diana</t>
  </si>
  <si>
    <t>Categorical Mechanisms in Multi-level Modeling Method,</t>
  </si>
  <si>
    <t>CRACIUNEAN  Daniel-Cristian</t>
  </si>
  <si>
    <t>Editura ULBS</t>
  </si>
  <si>
    <t>978-606-12-1986-5</t>
  </si>
  <si>
    <t>250 * 2</t>
  </si>
  <si>
    <t>Notiuni de electrosecuritate</t>
  </si>
  <si>
    <t>Fita N. Daniel, Diodiu I. Lucian, Visan R. Nicolae, Olteanu C. Razvan, Muresan-Grecu Florin, Pintea D. Mircea</t>
  </si>
  <si>
    <t>FING 2</t>
  </si>
  <si>
    <t>FOCUS</t>
  </si>
  <si>
    <t>978-973-677-367-9</t>
  </si>
  <si>
    <t>(191x2)/6</t>
  </si>
  <si>
    <t>Evaluarea riscurilor electrice</t>
  </si>
  <si>
    <t>978-973-677-368-6</t>
  </si>
  <si>
    <t>(214x2)/6</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</si>
  <si>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</si>
  <si>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</si>
  <si>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</si>
  <si>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</si>
  <si>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</si>
  <si>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</si>
  <si>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</si>
  <si>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</si>
  <si>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</si>
  <si>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</si>
  <si>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</si>
  <si>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</si>
  <si>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Mihai Crenganis</t>
  </si>
  <si>
    <t>Studii si cercetari privind proiectarea unei structuri robotice seriale cu control avansat si aplicabilitate industriala</t>
  </si>
  <si>
    <t>SC.HIDAROM.SRL</t>
  </si>
  <si>
    <t>Fing.4</t>
  </si>
  <si>
    <t>11/23-4/24</t>
  </si>
  <si>
    <t>Mutiu Nicolae Calin</t>
  </si>
  <si>
    <t>CONTRACT DE PRESTĂRI SERVICII CERCETARE Nr. 5352 din 13.11.2023 : Cercetare științifică aplicată pentru realizarea/adaptarea unor algoritmi matematici de reglare a deplasărilor relative sculă-piesă destinați fabricării unei freze profilate cu canale foarte adânci destinată industriei lemnului, realizată din carburi metalice sinterizate. Prelucrarea se face cu ajutorul discurilor abrazive diamantate, pe MU-CN asistate de computer cu 5-6 grade de libertate interpolabile simultan.</t>
  </si>
  <si>
    <t>TOOLS WIZARD GmbH, Elvetia</t>
  </si>
  <si>
    <t>11/2023 - 06/2024</t>
  </si>
  <si>
    <t>560 EUR</t>
  </si>
  <si>
    <t>CONTRACT DE PRESTĂRI SERVICII CERCETARE Nr. 5585 din 25.11.2023 : Cercetare științifică aplicată pentru realizarea/adaptarea unor algoritmi matematici de reglare a deplasărilor relative sculă-piesă pentru fabricarea frezelor cilindrice tip BURR (freze pentru prelucrarea metalelor cu turații foarte mari: până la 12.000 rot/min). Frezele vor fi realizate din materiale foarte dure (carburi metalice sinterizate) iar prelucrarea se va face cu ajutorul discurilor abrazive diamantate pe MU-CN asistate de computer cu 5-6 grade de libertate interpolabile simultan.</t>
  </si>
  <si>
    <t>630 EUR</t>
  </si>
  <si>
    <t>CONTRACT DE PRESTĂRI SERVICII CERCETARE Nr. 5689 din 05.12.2023 : Cercetare științifică aplicată pentru realizarea/adaptarea unor algoritmi matematici de reglare a deplasărilor relative sculă-piesă destinați fabricării unei scule combinate (burghiu-tarod-adâncitor) cu canale elicoidale, realizată din oțel înalt aliat pentru scule călit (HSS-C). Prelucrarea se face cu ajutorul discurilor abrazive tip CBN, pe MU-CN asistate de computer cu 5-6 grade de libertate interpolabile simultan.</t>
  </si>
  <si>
    <t>12/2023 - 06/2024</t>
  </si>
  <si>
    <t>CONTRACT DE PRESTĂRI SERVICII CERCETARE Nr. 5791 din 11.12.2023 : Cercetare științifică aplicată pentru realizarea/adaptarea unor algoritmi matematici de reglare a deplasărilor relative sculă-piesă destinați fabricării unei freze cu canale elicoidale, cu profil invers-conic și cap semisferic (Cod produs: 161-42-08-BSH) realizată din carburi metalice sinterizate. Prelucrarea se face cu ajutorul discurilor abrazive diamantate pe MU-CN asistate de computer cu 5-6 grade de libertate interpolabile simultan.</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</si>
  <si>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</si>
  <si>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</si>
  <si>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</si>
  <si>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</si>
  <si>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</si>
  <si>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</si>
  <si>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</si>
  <si>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</si>
  <si>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</si>
  <si>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</si>
  <si>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</si>
  <si>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</si>
  <si>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Ruiz, C. G. A. (2023). Study of the Processing-Structure-Property Relationship in Recycled Thermoplastic Composites (Doctoral dissertation, The University of Alabama at Birmingham).</t>
  </si>
  <si>
    <t>https://www.proquest.com/openview/95b027c91b2f9a20994af119702093a5/1?pq-origsite=gscholar&amp;cbl=18750&amp;diss=y</t>
  </si>
  <si>
    <t>Popp, M. O. (2023). Studii și cercetări privind îmbunătățirea preciziei dimensionale și de formă a pieselor prelucrate prin deformare incrementală (Doctoral dissertation).</t>
  </si>
  <si>
    <t>http://digital-library.ulbsibiu.ro/jspui/bitstream/123456789/3484/2/2023-Popp%20Mihai%20Octavian_ro.pdf</t>
  </si>
  <si>
    <t>Teza de doctorat</t>
  </si>
  <si>
    <t xml:space="preserve">Avrigean, E. </t>
  </si>
  <si>
    <t>Studies and Research on the Behavior of Polyethylene when Electrofusion Welding Fittings to High Density Polyethylene Pipes</t>
  </si>
  <si>
    <t>Bin, W. A. N. G., Zhenchao, W. A. N. G., Anqi, H. E., Debao, C. H. E. N. G., Yaru, W. A. N. G., Xiaoying, Z. H. A. O., &amp; Aimin, X. I. A. N. G. (2023). Electrofusion welding of polyethylene/carbon black composites. China Plastics, 37(10), 111.</t>
  </si>
  <si>
    <t>https://www.plaschina.com.cn/EN/abstract/abstract4344.shtml</t>
  </si>
  <si>
    <t>Oleksik, V., Dobrota, D., Racz, S. G., Rusu, G. P., Popp, M. O., Avrigean, E.</t>
  </si>
  <si>
    <t>Experimental Research on the Behaviour of Metal Active Gas Tailor Welded Blanks during Single Point Incremental Forming Process</t>
  </si>
  <si>
    <t>DM Duse, I Bondrea, E Avrigean</t>
  </si>
  <si>
    <t>Fabricatia integrata de calculator CIM a transmisiilor cardanice</t>
  </si>
  <si>
    <t>Ram Vishal, G., Srikanth, H. V., Abhishek, T. K., Mahendra, K., Anirudh, P., &amp; Rahul, B. (2023). Strength Investigation on Butt Welded Polymer Tubes. Journal of Polymer &amp; Composites, 11, 2.</t>
  </si>
  <si>
    <t>https://www.researchgate.net/profile/Rahul-b-2/publication/378877573_Strength_Investigation_on_Butt_Welded_Polymer_Tubes/links/65f03acb32321b2cff68229c/Strength-Investigation-on-Butt-Welded-Polymer-Tubes.pdf</t>
  </si>
  <si>
    <t>E Avrigean, AM Pascu, VS Oleksik</t>
  </si>
  <si>
    <t>Study of the cardan cross using the experimental and analytical method</t>
  </si>
  <si>
    <t>Özbakis, M. (2023). Ağır Seri Ticari araçlarda kullanılan Kardan Millerinin Yorulma davranışlarının nümerik Ve Deneysel yöntemler Ile Belirlenerek Yorulma dayanımlarını arttırmaya yönelik Parametrelerin saptanması (Doctoral dissertation, Dokuz Eylul Universitesi (Turkey)).</t>
  </si>
  <si>
    <t>https://search.proquest.com/openview/96d5be23444adf8469944e0d2065b94b/1?pq-origsite=gscholar&amp;cbl=2026366&amp;diss=y</t>
  </si>
  <si>
    <t>E Avrigean, LJ Hunyadi</t>
  </si>
  <si>
    <t>Study on Temperature Distribution in the Jointing Fittings for Polyethylene Natural Gas Pipes</t>
  </si>
  <si>
    <t>Comparative Study on the Temperatures of Welding the Polyethylene Fittings–Sockets-High Density Polyethylene Pipe</t>
  </si>
  <si>
    <t>Barreto Torrella, S. I., &amp; César Leyva, O. R. (2023). Juntas defectuosas de tuberías de PEAD y sus causas. Ingeniería Hidráulica y Ambiental, 44(2), 36-49.</t>
  </si>
  <si>
    <t>http://scielo.sld.cu/scielo.php?pid=S1680-03382023000200036&amp;script=sci_abstract&amp;tlng=en</t>
  </si>
  <si>
    <t>Determining the fatigue characteristics of the vehicle cardanic joint</t>
  </si>
  <si>
    <t>Szpunar, M., Szawara, P., Myśliwiec, P. and Ostrowski, R., 2023. Influence of input parameters on the coefficient of friction during incremental sheet forming of grade 5 titanium alloy. Advances in Mechanical and Materials Engineering, 40(1), pp.113-123.</t>
  </si>
  <si>
    <t>https://yadda.icm.edu.pl/yadda/element/bwmeta1.element.baztech-b0c77adb-493e-4dc4-a279-7fdbea96d686/c/1186-Article_Text-2962-1-10-20230904.pdf</t>
  </si>
  <si>
    <t>Index Copernicus, Scilit, Google Scholar</t>
  </si>
  <si>
    <t>Popp, M.O., 2023. Studii și cercetări privind îmbunătățirea preciziei dimensionale și de formă a pieselor prelucrate prin deformare incrementală (Doctoral dissertation).</t>
  </si>
  <si>
    <t>teză de doctorat</t>
  </si>
  <si>
    <t>Breaz R.E., Racz S.G., Bologa O.C., Tera M.</t>
  </si>
  <si>
    <t>CONSIDERATIONS REGARDING CAM TECHNIQUES FOR ROBOT MILLING.</t>
  </si>
  <si>
    <t>Arro, B. A. (2023). FACULTAD DE INGENIERÍA ESCUELA DE INGENIERÍA MECATRÓNICA (Doctoral dissertation, UNIVERSIDAD NACIONAL DE TRUJILLO).</t>
  </si>
  <si>
    <t>https://dspace.unitru.edu.pe/server/api/core/bitstreams/a14b8590-1a73-4b70-b21e-2c89a3393f49/content</t>
  </si>
  <si>
    <t>Arifianto, A., ,Rancangan Bangun Lengan Robot Pemilah Tomat Otomatis Berdasarkan Warna. (Design of the Automatic Tomato Sorting Robot Arm Based on Color). Undergraduate thesis, Universitas 17 Agustus 1945 Surabaya.</t>
  </si>
  <si>
    <t>http://repository.untag-sby.ac.id/28377/</t>
  </si>
  <si>
    <t>Sun, S., ENABLING EFFICIENT FLEET COMPOSITION SELECTION THROUGH THE
DEVELOPMENT OF A RANK HEURISTIC FOR A BRANCH AND BOUND
METHOD, The Ohio State University</t>
  </si>
  <si>
    <t>https://kb.osu.edu/server/api/core/bitstreams/c38baaf2-74c4-450e-a3d1-e4ec18853786/content</t>
  </si>
  <si>
    <t>Googlee scholar</t>
  </si>
  <si>
    <t>Acesso, A., Advances in hybrid manufacturing of polymer matrix composites reinforced with fragmented carbon fiber</t>
  </si>
  <si>
    <t>https://repositorio.ufu.br/handle/123456789/38797</t>
  </si>
  <si>
    <t>Vasques, P.A.M.,IMPLEMENTACIÓN DE UN SISTEMA DE CONTROL NUMÉRICO COMPUTARIZADO PARA MEJORAR EL PROCESO DE ENSEÑANZA – APRENDIZAJE EN LAS PRÁCTICAS DEL LABORATORIO DE ELECTRÓNICA, Tesis Ingeniería en Tecnología de la Información</t>
  </si>
  <si>
    <t>https://repositorio.unesum.edu.ec/handle/53000/4806</t>
  </si>
  <si>
    <t>Ben Abdelkader, Wifak and Ben-Elechi, Slim and Sbayti, Manel and BAHLOUL, Riadh, Optimization Study of Bimetallic Low Carbon Steel/Cp-Titanium Plastically Deformed Under Single Point Incremental Forming Process. Available at SSRN: https://ssrn.com/abstract=4450035 or http://dx.doi.org/10.2139/ssrn.4450035</t>
  </si>
  <si>
    <t>https://papers.ssrn.com/sol3/papers.cfm?abstract_id=4450035</t>
  </si>
  <si>
    <t>JOMTONG, P., 2023. A Novel Analytic Hierarchy Process Technique for Large and Fuzzy Criteria Decision Making Problems (Doctoral dissertation, Silpakorn University).</t>
  </si>
  <si>
    <t>http://ithesis-ir.su.ac.th/dspace/bitstream/123456789/4562/1/60405806.pdf</t>
  </si>
  <si>
    <t>Faria, I.C.S., Filleti, R.A.P., de Oliveira, M.C. and Helleno, A.L., 2023. Avaliação e seleção de processo de soldagem em uma empresa do setor metalúrgico por meio de métodos de tomada de decisão multicritério. Exacta.</t>
  </si>
  <si>
    <t>https://uninove.emnuvens.com.br/exacta/article/download/21649/10056</t>
  </si>
  <si>
    <t xml:space="preserve">Oleksik, V., Bologa, O., Breaz, R., Racz, G. </t>
  </si>
  <si>
    <t>Comparison between the numerical simulations of incremental sheet forming and conventional stretch forming process</t>
  </si>
  <si>
    <t>Leleń, M. and Sałamacha, D., 2023. Machine Tool Table Dynamics Tests when Starting and Braking during an Operation Test. Advances in Science and Technology. Research Journal, 17(1).</t>
  </si>
  <si>
    <t>https://yadda.icm.edu.pl/baztech/element/bwmeta1.element.baztech-2e39dcd8-7a01-48c8-86c6-be8f62e58811/c/Lelen_Salamacha_2023.pdf</t>
  </si>
  <si>
    <t>Weise, D., Langner, C., Pierer, A., Kraeusel, V., Petru, J., Koziorek, J. and Prauzek, M., 2023. Investigation of the suitability of a fused filament fabricated tool for incremental sheet metal forming. Computer Methods in Materials Science, 23(1), pp.43-49.</t>
  </si>
  <si>
    <t>https://bibliotekanauki.pl/articles/29520057.pdf</t>
  </si>
  <si>
    <t>DOAJ, Google Scholar</t>
  </si>
  <si>
    <t>Plančić, I., Čabaravdić, M. and Begović, E., SPECIFIČNOSTI I UTICAJNI PARAMETRI NA KVALITET IZRADAKA PRI INKREMENTALNOM OBLIKOVANJU LIMA PRIMJENOM ROBOTA CHARACTERISTICS AND INFLUENTIAL PARAMETERS ON THE QUALITY OF PRODUCTS MADE BY ROBOFORMING.</t>
  </si>
  <si>
    <t>https://quality.unze.ba/wp-content/uploads/2023/05/008-Q23-076.pdf</t>
  </si>
  <si>
    <t>Valentin Oleksik, Adrian Pascu, Daniel Mara, Octavian Bologa, Gabriel Racz, Radu Breaz</t>
  </si>
  <si>
    <t>Influence of geometric parameters on strain and thickness reduction in incremental forming process</t>
  </si>
  <si>
    <t>Breaz R.E., Racz S.G.</t>
  </si>
  <si>
    <t>Considerations Regarding the Industrial Implementation of Incremental Forming Process</t>
  </si>
  <si>
    <t>Ghazi, S.K., Bedana, A.S. and Salloomb, M.Y., 2023. Investigating the Impact of Process Parameters on Thinning and Formability in Aluminum Alloy AA 1050 Incremental Sheet Metal Forming. Engineering and Technology Journal, 41(12), pp.1653-1659.</t>
  </si>
  <si>
    <t>https://www.iasj.net/iasj/download/6fa62440c9649a34</t>
  </si>
  <si>
    <t>DOAJ, EBSCO, Google Scholar</t>
  </si>
  <si>
    <t>Tala, C., König, J., Benavides, P. and Véliz, F., Robotic Incremental Sheet Metal Forming: Waste Management Through Digital Fabrication.</t>
  </si>
  <si>
    <t>https://papers.cumincad.org/data/works/att/sigradi2023_152.pdf</t>
  </si>
  <si>
    <t>Perzynski, K., Pawlikowski, K. and Madej, Ł., 2023. The role of die definition in the numerical simulations of two-points incremental forming processes. Computer Methods in Materials Science, 23.</t>
  </si>
  <si>
    <t>https://yadda.icm.edu.pl/baztech/element/bwmeta1.element.baztech-d47b0217-44b0-42d3-8451-4bfe38285c94/c/perzynski_the_role.pdf</t>
  </si>
  <si>
    <t>Breaz R.E., Racz S.G., Bologa O.C.</t>
  </si>
  <si>
    <t>5-axes modular CNC machining center</t>
  </si>
  <si>
    <t>Sanap, M.U., Tiwari, P.B. and Anasane, S.S., 2023, September. Design and Development of Multi-axis Manipulator for Data Acquisition for Neurosurgery Applications. In Journal of Physics: Conference Series (Vol. 2601, No. 1, p. 012009). IOP Publishing.</t>
  </si>
  <si>
    <t>https://iopscience.iop.org/article/10.1088/1742-6596/2601/1/012009/pdf</t>
  </si>
  <si>
    <t>O Bologa, RE Breaz, SG Racz, M Crenganiş</t>
  </si>
  <si>
    <t>Decision-making Tool for Moving from 3-axes to 5-axes CNC Machine-tool</t>
  </si>
  <si>
    <t>FING4.</t>
  </si>
  <si>
    <t>Estudo experimental da influência do comprimento de corte no comportamento de desgaste de ferramentas com revestimento de TiN/TiALN durante fresagem de Inconel 718</t>
  </si>
  <si>
    <t xml:space="preserve">	http://hdl.handle.net/10400.22/23204</t>
  </si>
  <si>
    <t>Mihai Crenganis, Akos Csiszar</t>
  </si>
  <si>
    <t>A Dynamic Model for KUKA KR6 in SPIF Processes</t>
  </si>
  <si>
    <t xml:space="preserve">M Popp, Studii și cercetări privind îmbunătățirea preciziei dimensionale și de formă a pieselor prelucrate prin deformare incrementală, Teza doctorat </t>
  </si>
  <si>
    <t>http://digital-library.ulbsibiu.ro/xmlui/handle/123456789/3484</t>
  </si>
  <si>
    <t>Marçal, Ricardo Miguel nunes, Desenvolvimento de um protótipo de veículo autónomo a partir de um carro telecomandado</t>
  </si>
  <si>
    <t>https://repositorio.ipl.pt/handle/10400.21/17067</t>
  </si>
  <si>
    <t xml:space="preserve">Sun S, Enabling efficient fleet composition selection through the development of a rank heuristic for a branch and bound method, Teza doctorat </t>
  </si>
  <si>
    <t>https://core.ac.uk/download/pdf/564419593.pdf</t>
  </si>
  <si>
    <t>Google Schoolar</t>
  </si>
  <si>
    <t xml:space="preserve">Stephany Michelle Amador Castro
Wilfredo Zepeda Medina, Viabilidad de implementar un motor de firma electrónica certificada para continuidad del negocio en una institución financiera, teza de doctorat </t>
  </si>
  <si>
    <t>https://repositorio.unitec.edu/handle/123456789/8551</t>
  </si>
  <si>
    <t xml:space="preserve">SK Ghazi, AS Bedana, MY Salloomb, Investigating the Impact of Process Parameters on Thinning and Formability in Aluminum Alloy AA 1050 Incremental Sheet Metal Forming, Engineering and Technology Journal 41 (12) (2023) 1653- 1659 </t>
  </si>
  <si>
    <t>Google Scholar, Crosreff, DOAJ, Ebsco</t>
  </si>
  <si>
    <t>C Tala, J König, P Benavides, F Véliz, Robotic Incremental Sheet Metal Forming: Waste Management Through Digital Fabrication</t>
  </si>
  <si>
    <t>sigradi2023_152.pdf (cumincad.org)</t>
  </si>
  <si>
    <t>Dutta, B.J., Chandna, P, Process variables optimization for multiple responses in SPIF of titanium using Taguchi-GRA</t>
  </si>
  <si>
    <t>https://link.springer.com/article/10.1007/s12289-023-01781-0</t>
  </si>
  <si>
    <t>K Perzynski, K Pawlikowski, The role of die definition in the numerical simulations of two-points incremental forming processes, COMPUTER 
METHODS IN MATERIALS 
SCIENCE, 2023, vol. 23, no. 1, 5–12,  https://doi.org/10.7494/cmms.2023.1.0795</t>
  </si>
  <si>
    <t>https://yadda.icm.edu.pl/baztech/element/bwmeta1.element.baztech-d47b0217-44b0-42d3-8451-4bfe38285c94</t>
  </si>
  <si>
    <t xml:space="preserve">Google Scholar, Crosreff, DOAJ </t>
  </si>
  <si>
    <t>Alexandru Bârsan, Mihai Crenganiş, Mihai Octavian Popp, Gabriela Petruța Rusu</t>
  </si>
  <si>
    <t>Roboforming-Investigations Regarding Forming Forces in SPIF Process</t>
  </si>
  <si>
    <t xml:space="preserve">Google Scholar, teza doctorat </t>
  </si>
  <si>
    <r>
      <rPr>
        <rFont val="Arial Narrow"/>
        <color theme="1"/>
        <sz val="10.0"/>
      </rPr>
      <t xml:space="preserve">NGUYEN, T. N., ANTONOV, S., HUNG, T. V., HY, T. T., &amp; LIEN, H. D. (2023). Modularity Design of Single Point Incremental Forming Machine. </t>
    </r>
    <r>
      <rPr>
        <rFont val="Arial Narrow"/>
        <i/>
        <color theme="1"/>
        <sz val="10.0"/>
      </rPr>
      <t>Applied Mechanics and Materials</t>
    </r>
    <r>
      <rPr>
        <rFont val="Arial Narrow"/>
        <color theme="1"/>
        <sz val="10.0"/>
      </rPr>
      <t>,</t>
    </r>
    <r>
      <rPr>
        <rFont val="Arial Narrow"/>
        <i/>
        <color theme="1"/>
        <sz val="10.0"/>
      </rPr>
      <t xml:space="preserve"> 914</t>
    </r>
    <r>
      <rPr>
        <rFont val="Arial Narrow"/>
        <color theme="1"/>
        <sz val="10.0"/>
      </rPr>
      <t>, 3-11. https://doi.org/10.4028/p-dm8764</t>
    </r>
  </si>
  <si>
    <t>https://www.scientific.net/AMM.914.3</t>
  </si>
  <si>
    <t>Inspec, Index Copernicus</t>
  </si>
  <si>
    <t>ROSA-SAINZ, A., CENTENO, G., SILVA, M., &amp; VALLELLANO, C. (2023). On the Assessment of the Forming Limit Diagram at Necking and Fracture for Polymer Sheets. International Conference on the Technology of Plasticity,  Proceedings of the 14th International Conference on the Technology of Plasticity - Current Trends in the Technology of Plasticity, p. 295-303, Springer, https://doi.org/10.1007/978-3-031-42093-1_29</t>
  </si>
  <si>
    <t>https://link.springer.com/chapter/10.1007/978-3-031-42093-1_29</t>
  </si>
  <si>
    <t>Springer, Inspec</t>
  </si>
  <si>
    <r>
      <rPr>
        <rFont val="Arial Narrow"/>
        <color theme="1"/>
        <sz val="10.0"/>
      </rPr>
      <t xml:space="preserve">ROŞCA, N., OLEKSIK, M., &amp; ROŞCA, L. Spif on Polymers–Experimental Data Design and Processing. </t>
    </r>
    <r>
      <rPr>
        <rFont val="Arial Narrow"/>
        <i/>
        <color theme="1"/>
        <sz val="10.0"/>
      </rPr>
      <t>Acta Universitatis Cibiniensis. Technical Series</t>
    </r>
    <r>
      <rPr>
        <rFont val="Arial Narrow"/>
        <color theme="1"/>
        <sz val="10.0"/>
      </rPr>
      <t>,</t>
    </r>
    <r>
      <rPr>
        <rFont val="Arial Narrow"/>
        <i/>
        <color theme="1"/>
        <sz val="10.0"/>
      </rPr>
      <t xml:space="preserve"> 75</t>
    </r>
    <r>
      <rPr>
        <rFont val="Arial Narrow"/>
        <color theme="1"/>
        <sz val="10.0"/>
      </rPr>
      <t>(1), 35-40, DOI: 10.2478/aucts-2023-0005</t>
    </r>
  </si>
  <si>
    <t>https://sciendo.com/article/10.2478/aucts-2023-0005</t>
  </si>
  <si>
    <t>DOAJ</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</si>
  <si>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</si>
  <si>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NGUYEN, T. N., ANTONOV, S., HUNG, T. V., HY, T. T., &amp; LIEN, H. D. (2023). Modularity Design of Single Point Incremental Forming Machine. </t>
    </r>
    <r>
      <rPr>
        <rFont val="Arial Narrow"/>
        <i/>
        <color theme="1"/>
        <sz val="10.0"/>
      </rPr>
      <t>Applied Mechanics and Materials</t>
    </r>
    <r>
      <rPr>
        <rFont val="Arial Narrow"/>
        <color theme="1"/>
        <sz val="10.0"/>
      </rPr>
      <t>,</t>
    </r>
    <r>
      <rPr>
        <rFont val="Arial Narrow"/>
        <i/>
        <color theme="1"/>
        <sz val="10.0"/>
      </rPr>
      <t xml:space="preserve"> 914</t>
    </r>
    <r>
      <rPr>
        <rFont val="Arial Narrow"/>
        <color theme="1"/>
        <sz val="10.0"/>
      </rPr>
      <t>, 3-11. https://doi.org/10.4028/p-dm8764</t>
    </r>
  </si>
  <si>
    <r>
      <rPr>
        <rFont val="Arial Narrow"/>
        <color theme="1"/>
        <sz val="10.0"/>
      </rPr>
      <t xml:space="preserve">PHAN, N. T., VO, T., DINH, L. C. K., TRINH, T. T., &amp; DANG, V. H. (2023). Determination of the Optimized Parameter of the Processing of SUS 304 Sheet Material to the Formability by SPIF Technology. </t>
    </r>
    <r>
      <rPr>
        <rFont val="Arial Narrow"/>
        <i/>
        <color theme="1"/>
        <sz val="10.0"/>
      </rPr>
      <t>Applied Mechanics and Materials</t>
    </r>
    <r>
      <rPr>
        <rFont val="Arial Narrow"/>
        <color theme="1"/>
        <sz val="10.0"/>
      </rPr>
      <t>,</t>
    </r>
    <r>
      <rPr>
        <rFont val="Arial Narrow"/>
        <i/>
        <color theme="1"/>
        <sz val="10.0"/>
      </rPr>
      <t xml:space="preserve"> 914</t>
    </r>
    <r>
      <rPr>
        <rFont val="Arial Narrow"/>
        <color theme="1"/>
        <sz val="10.0"/>
      </rPr>
      <t xml:space="preserve">, 163-172. </t>
    </r>
  </si>
  <si>
    <t>https://www.scientific.net/AMM.914.163</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</si>
  <si>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</si>
  <si>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SHAKER, W. K., &amp; KLIMCHICK, A. (2023). Simulation Study for Robot-based Single Point Incremental Forming. 2023 International Conference on Industrial Engineering, Applications and Manufacturing (ICIEAM), DOI: 10.1109/ICIEAM57311.2023.10138999</t>
  </si>
  <si>
    <t>https://ieeexplore.ieee.org/abstract/document/10138999?casa_token=htqNJYo1BQsAAAAA:w1IM83pugLkfe96v7XT1NviTsk5XTSJxtTskQ6JSEfTcWf6u3BBD7bUP3G8Q-K1L2dDKvxVPNw</t>
  </si>
  <si>
    <t>IEEE Explore</t>
  </si>
  <si>
    <r>
      <rPr>
        <rFont val="Arial Narrow"/>
        <color theme="1"/>
        <sz val="10.0"/>
      </rPr>
      <t xml:space="preserve">RUSU, G. P. (2023). </t>
    </r>
    <r>
      <rPr>
        <rFont val="Arial Narrow"/>
        <i/>
        <color theme="1"/>
        <sz val="10.0"/>
      </rPr>
      <t>Comportarea la deformare incrementală a tablelor sudate, Teză de doctorat, 2023</t>
    </r>
  </si>
  <si>
    <t>http://digital-library.ulbsibiu.ro/xmlui/handle/123456789/3483</t>
  </si>
  <si>
    <t xml:space="preserve">SADIQ, D. M., &amp; ABED, I. J. (2023). Formability and Surface Quality of Medical Grade Titanium in Incremental Sheet Forming. 9th International Scientific Conference on Advances in Mechanical Engineering, </t>
  </si>
  <si>
    <t>https://www.researchgate.net/profile/Tihomir-Dovramadjiev/publication/375963490_Book_of_Abstracts_from_9_th_International_Scientific_Conference_on_Advances_in_Mechanical_Engineering_978-3-0364-1445-4_Advancements_and_Technological_Optimization_in_Yacht_Design_Osmosis_Treatment_an/links/6565bedab1398a779dc01630/Book-of-Abstracts-from-9-th-International-Scientific-Conference-on-Advances-in-Mechanical-Engineering-978-3-0364-1445-4-Advancements-and-Technological-Optimization-in-Yacht-Design-Osmosis-Treatment-an.pdf#page=109</t>
  </si>
  <si>
    <t>Neindexată</t>
  </si>
  <si>
    <r>
      <rPr>
        <rFont val="Arial Narrow"/>
        <color theme="1"/>
        <sz val="10.0"/>
      </rPr>
      <t xml:space="preserve">SZPUNAR, M., SZAWARA, P., MYŚLIWIEC, P., &amp; OSTROWSKI, R. (2023). Influence of input parameters on the coefficient of friction during incremental sheet forming of grade 5 titanium alloy. </t>
    </r>
    <r>
      <rPr>
        <rFont val="Arial Narrow"/>
        <i/>
        <color theme="1"/>
        <sz val="10.0"/>
      </rPr>
      <t>Advances in Mechanical and Materials Engineering</t>
    </r>
    <r>
      <rPr>
        <rFont val="Arial Narrow"/>
        <color theme="1"/>
        <sz val="10.0"/>
      </rPr>
      <t>,</t>
    </r>
    <r>
      <rPr>
        <rFont val="Arial Narrow"/>
        <i/>
        <color theme="1"/>
        <sz val="10.0"/>
      </rPr>
      <t xml:space="preserve"> 40</t>
    </r>
    <r>
      <rPr>
        <rFont val="Arial Narrow"/>
        <color theme="1"/>
        <sz val="10.0"/>
      </rPr>
      <t xml:space="preserve">(1), 113-123. </t>
    </r>
  </si>
  <si>
    <t>https://yadda.icm.edu.pl/yadda/element/bwmeta1.element.baztech-b0c77adb-493e-4dc4-a279-7fdbea96d686</t>
  </si>
  <si>
    <t>CrossRef, Worldcat</t>
  </si>
  <si>
    <r>
      <rPr>
        <rFont val="Arial Narrow"/>
        <color theme="1"/>
        <sz val="10.0"/>
      </rPr>
      <t xml:space="preserve">LIU, P., HUANG, X., &amp; GUO, Z. (2023). Superhydrophobic Corrosion Inhibitor Intercalated Hydrotalcite Coating for Enhanced Corrosion Resistance of the Aluminum. </t>
    </r>
    <r>
      <rPr>
        <rFont val="Arial Narrow"/>
        <i/>
        <color theme="1"/>
        <sz val="10.0"/>
      </rPr>
      <t>ACS Applied Engineering Materials</t>
    </r>
    <r>
      <rPr>
        <rFont val="Arial Narrow"/>
        <color theme="1"/>
        <sz val="10.0"/>
      </rPr>
      <t>,</t>
    </r>
    <r>
      <rPr>
        <rFont val="Arial Narrow"/>
        <i/>
        <color theme="1"/>
        <sz val="10.0"/>
      </rPr>
      <t xml:space="preserve"> 1</t>
    </r>
    <r>
      <rPr>
        <rFont val="Arial Narrow"/>
        <color theme="1"/>
        <sz val="10.0"/>
      </rPr>
      <t>(1), 486-494. https://doi.org/10.1021/acsaenm.2c00117</t>
    </r>
  </si>
  <si>
    <t>https://pubs.acs.org/doi/abs/10.1021/acsaenm.2c00117</t>
  </si>
  <si>
    <t>OLEKSIK, V., BOLOGA, O., BREAZ, R.E., RACZ G. (toti ULBS)</t>
  </si>
  <si>
    <t>Comparison between the numerical simulations of incremental sheet forming and conventional stretch forming process. The 11th ESAFORM Conference on Material Forming, 23-25 April 2008, Lyon, France, Published in International Journal of Material Forming, ISSN 1960-6206 (Print) 1960-6214 (Online), Springer Paris doi: 10.1007/s12289-008-0153-6, Vol. 1 (2008), Supplement 1, paper 433, pp. 1187-1190, 2008, WOS:000208613900296</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</si>
  <si>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</si>
  <si>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OLEKSIK, V., PASCU, M., DEAC, C., FLEACĂ, R., ROMAN, M. (toți ULBS)</t>
  </si>
  <si>
    <t>Numerical simulation of the incremental forming process for knee implants. X International Conference on Computational Plasticity COMPLAS X, Barcelona, Spain, 1-4 September 2009, E. Ońate and D. R. J. Owen (Eds), 2009.</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</si>
  <si>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</si>
  <si>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MUSTAMSIR, E., &amp; SUKMAJAYA, W. P. (2023). High Tibial Osteotomy: State of the art. </t>
    </r>
    <r>
      <rPr>
        <rFont val="Arial Narrow"/>
        <i/>
        <color theme="1"/>
        <sz val="10.0"/>
      </rPr>
      <t>The Hip and Knee Journal</t>
    </r>
    <r>
      <rPr>
        <rFont val="Arial Narrow"/>
        <color theme="1"/>
        <sz val="10.0"/>
      </rPr>
      <t>,</t>
    </r>
    <r>
      <rPr>
        <rFont val="Arial Narrow"/>
        <i/>
        <color theme="1"/>
        <sz val="10.0"/>
      </rPr>
      <t xml:space="preserve"> 4</t>
    </r>
    <r>
      <rPr>
        <rFont val="Arial Narrow"/>
        <color theme="1"/>
        <sz val="10.0"/>
      </rPr>
      <t>(2), 51-66. DOI: https://doi.org/10.46355/hipknee.v4i2.155</t>
    </r>
  </si>
  <si>
    <t>https://thehipkneejournal.id/index.php/hipknee/article/view/155</t>
  </si>
  <si>
    <t>BOLOGA, O., OLEKSIK, V., RACZ, G. (toți ULBS)</t>
  </si>
  <si>
    <t>Experimental research for determining the forces on incremental sheet forming process, 8th ESAFORM Conference. Cluj-Napoca, Romania</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</si>
  <si>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</si>
  <si>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AVRIGEAN, E., PASCU, A., OLEKSIK, V. (toți ULBS)</t>
  </si>
  <si>
    <t>Study of the Cardan Cross Using the Experimental and Analytical Method, Published by Procedia Engineering, Elsevier, Vol. 100 (2015), p. 499-504, 2015, doi:10.1016/j.proeng.2015.01.396</t>
  </si>
  <si>
    <r>
      <rPr>
        <rFont val="Arial Narrow"/>
        <color theme="1"/>
        <sz val="10.0"/>
      </rPr>
      <t xml:space="preserve">ÖZBAKIS, M. (2023). </t>
    </r>
    <r>
      <rPr>
        <rFont val="Arial Narrow"/>
        <i/>
        <color theme="1"/>
        <sz val="10.0"/>
      </rPr>
      <t>Ağır Seri Ticari araçlarda kullanılan Kardan Millerinin Yorulma davranışlarının nümerik Ve Deneysel yöntemler Ile Belirlenerek Yorulma dayanımlarını arttırmaya yönelik Parametrelerin saptanması</t>
    </r>
    <r>
      <rPr>
        <rFont val="Arial Narrow"/>
        <color theme="1"/>
        <sz val="10.0"/>
      </rPr>
      <t xml:space="preserve"> Dokuz Eylul Universitesi (Turkey)]. </t>
    </r>
  </si>
  <si>
    <t>https://www.proquest.com/openview/96d5be23444adf8469944e0d2065b94b/1?pq-origsite=gscholar&amp;cbl=2026366&amp;diss=y</t>
  </si>
  <si>
    <r>
      <rPr>
        <rFont val="Arial Narrow"/>
        <color theme="1"/>
        <sz val="10.0"/>
      </rPr>
      <t xml:space="preserve">ROŞCA, N., OLEKSIK, M., &amp; ROŞCA, L. Spif on Polymers–Experimental Data Design and Processing. </t>
    </r>
    <r>
      <rPr>
        <rFont val="Arial Narrow"/>
        <i/>
        <color theme="1"/>
        <sz val="10.0"/>
      </rPr>
      <t>Acta Universitatis Cibiniensis. Technical Series</t>
    </r>
    <r>
      <rPr>
        <rFont val="Arial Narrow"/>
        <color theme="1"/>
        <sz val="10.0"/>
      </rPr>
      <t>,</t>
    </r>
    <r>
      <rPr>
        <rFont val="Arial Narrow"/>
        <i/>
        <color theme="1"/>
        <sz val="10.0"/>
      </rPr>
      <t xml:space="preserve"> 75</t>
    </r>
    <r>
      <rPr>
        <rFont val="Arial Narrow"/>
        <color theme="1"/>
        <sz val="10.0"/>
      </rPr>
      <t>(1), 35-40, DOI: 10.2478/aucts-2023-0005</t>
    </r>
  </si>
  <si>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</si>
  <si>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WELSEN, S., &amp; SHAH, J. A. Student experience of flexible engineering education: A Case study at two foreign universities in the far east. 2022 IEEE International Conference on Teaching, Assessment and Learning for Engineering (TALE). DOI 10.1109/TALE54877.2022.00089</t>
  </si>
  <si>
    <t>https://research.nottingham.edu.cn/ws/portalfiles/portal/1069756602/Published_Xplore.pdf</t>
  </si>
  <si>
    <r>
      <rPr>
        <rFont val="Arial Narrow"/>
        <color theme="1"/>
        <sz val="10.0"/>
      </rPr>
      <t xml:space="preserve">BEN ABDELKADER, W., BEN-ELECHI, S., SBAYTI, M., &amp; BAHLOUL, R. Optimization Study of Bimetallic Low Carbon Steel/Cp-Titanium Plastically Deformed Under Single Point Incremental Forming Process. </t>
    </r>
    <r>
      <rPr>
        <rFont val="Arial Narrow"/>
        <i/>
        <color theme="1"/>
        <sz val="10.0"/>
      </rPr>
      <t>Cp-Titanium Plastically Deformed Under Single Point Incremental Forming Process</t>
    </r>
    <r>
      <rPr>
        <rFont val="Arial Narrow"/>
        <color theme="1"/>
        <sz val="10.0"/>
      </rPr>
      <t>. http://dx.doi.org/10.2139/ssrn.4450035</t>
    </r>
  </si>
  <si>
    <t xml:space="preserve">OLEKSIK, V., PASCU, A., MARA, D., BOLOGA, O., RACZ, G., BREAZ, R. (toți ULBS) </t>
  </si>
  <si>
    <t>Influence of geometric parameters on strain and thickness reduction in incremental forming process, Metal Forming Conference, 2010</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</si>
  <si>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</si>
  <si>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</si>
  <si>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DUTTA, B. J., &amp; CHANDNA, P. (2023). Process variables optimization for multiple responses in SPIF of titanium using Taguchi-GRA. IOP, </t>
    </r>
    <r>
      <rPr>
        <rFont val="Arial Narrow"/>
        <i/>
        <color theme="1"/>
        <sz val="10.0"/>
      </rPr>
      <t>Engineering Research Express</t>
    </r>
    <r>
      <rPr>
        <rFont val="Arial Narrow"/>
        <color theme="1"/>
        <sz val="10.0"/>
      </rPr>
      <t>,</t>
    </r>
    <r>
      <rPr>
        <rFont val="Arial Narrow"/>
        <i/>
        <color theme="1"/>
        <sz val="10.0"/>
      </rPr>
      <t xml:space="preserve"> 6</t>
    </r>
    <r>
      <rPr>
        <rFont val="Arial Narrow"/>
        <color theme="1"/>
        <sz val="10.0"/>
      </rPr>
      <t xml:space="preserve">(1), 015004. DOI 10.1088/2631-8695/ad0c8b </t>
    </r>
  </si>
  <si>
    <t>https://iopscience.iop.org/article/10.1088/2631-8695/ad0c8b/meta</t>
  </si>
  <si>
    <t>Compendex, Inspec</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</si>
  <si>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</si>
  <si>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OLEKSIK, V., DOBROTA, D., RACZ, S. G., RUSU, G. P., POPP, M. O., AVRIGEAN, E.</t>
  </si>
  <si>
    <t>Experimental Research on the Behaviour of Metal Active Gas Tailor Welded Blanks during Single Point Incremental Forming Process. Metals, 11(2), Article 198. https://doi.org/10.3390/met11020198, WOS:000622771200001</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</si>
  <si>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</si>
  <si>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SZPUNAR, M., SZAWARA, P., MYŚLIWIEC, P., &amp; OSTROWSKI, R. (2023). Influence of input parameters on the coefficient of friction during incremental sheet forming of grade 5 titanium alloy. </t>
    </r>
    <r>
      <rPr>
        <rFont val="Arial Narrow"/>
        <i/>
        <color theme="1"/>
        <sz val="10.0"/>
      </rPr>
      <t>Advances in Mechanical and Materials Engineering</t>
    </r>
    <r>
      <rPr>
        <rFont val="Arial Narrow"/>
        <color theme="1"/>
        <sz val="10.0"/>
      </rPr>
      <t>,</t>
    </r>
    <r>
      <rPr>
        <rFont val="Arial Narrow"/>
        <i/>
        <color theme="1"/>
        <sz val="10.0"/>
      </rPr>
      <t xml:space="preserve"> 40</t>
    </r>
    <r>
      <rPr>
        <rFont val="Arial Narrow"/>
        <color theme="1"/>
        <sz val="10.0"/>
      </rPr>
      <t xml:space="preserve">(1), 113-123. </t>
    </r>
  </si>
  <si>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</si>
  <si>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Minimizing the Main Strains and Thickness Reduction in the Single Point Incremental Forming Process of Polyamide and High-Density Polyethylene Sheets, Materials, 16(4), 2023, DOI: 10.3390/ma16041644, WOS:000941590100001</t>
  </si>
  <si>
    <r>
      <rPr>
        <rFont val="Arial Narrow"/>
        <color theme="1"/>
        <sz val="10.0"/>
      </rPr>
      <t xml:space="preserve">RUIZ, C. G. A. (2023). </t>
    </r>
    <r>
      <rPr>
        <rFont val="Arial Narrow"/>
        <i/>
        <color theme="1"/>
        <sz val="10.0"/>
      </rPr>
      <t>Study of the Processing-Structure-Property Relationship in Recycled Thermoplastic Composites</t>
    </r>
    <r>
      <rPr>
        <rFont val="Arial Narrow"/>
        <color theme="1"/>
        <sz val="10.0"/>
      </rPr>
      <t xml:space="preserve"> The University of Alabama at Birmingham. </t>
    </r>
  </si>
  <si>
    <t>https://digitalcommons.library.uab.edu/etd-collection/3473/</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</si>
  <si>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</si>
  <si>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SZPUNAR, M., SZAWARA, P., MYŚLIWIEC, P., &amp; OSTROWSKI, R. (2023). Influence of input parameters on the coefficient of friction during incremental sheet forming of grade 5 titanium alloy. </t>
    </r>
    <r>
      <rPr>
        <rFont val="Arial Narrow"/>
        <i/>
        <color theme="1"/>
        <sz val="10.0"/>
      </rPr>
      <t>Advances in Mechanical and Materials Engineering</t>
    </r>
    <r>
      <rPr>
        <rFont val="Arial Narrow"/>
        <color theme="1"/>
        <sz val="10.0"/>
      </rPr>
      <t>,</t>
    </r>
    <r>
      <rPr>
        <rFont val="Arial Narrow"/>
        <i/>
        <color theme="1"/>
        <sz val="10.0"/>
      </rPr>
      <t xml:space="preserve"> 40</t>
    </r>
    <r>
      <rPr>
        <rFont val="Arial Narrow"/>
        <color theme="1"/>
        <sz val="10.0"/>
      </rPr>
      <t xml:space="preserve">(1), 113-123. </t>
    </r>
  </si>
  <si>
    <t>ROUABHIA, D., &amp; HADJADJ, I. (2023). Neighborhood-Assisted Point Cloud Inference.</t>
  </si>
  <si>
    <t>https://www.researchsquare.com/article/rs-3797785/v1</t>
  </si>
  <si>
    <t xml:space="preserve"> Google Scholar</t>
  </si>
  <si>
    <t>R Brad (ULBS), E Hăloiu (ULBS), R Brad (ULBS)</t>
  </si>
  <si>
    <t>Seam puckering objective evaluation method for sewing process</t>
  </si>
  <si>
    <t>胡胜, 张佳琪, 张溪, &amp; 高冰冰. (2023). 基于深度置信网络的缝纫平整度客观评价模型. Journal of Xi'an Polytechnic University, 37(4).</t>
  </si>
  <si>
    <t>https://openurl.ebsco.com/EPDB%3Agcd%3A4%3A2039028/detailv2?sid=ebsco%3Aplink%3Ascholar&amp;id=ebsco%3Agcd%3A172295152&amp;crl=c</t>
  </si>
  <si>
    <t>Ebsco</t>
  </si>
  <si>
    <t>Brad, Raluca (ULBS), and Remus Brad (ULBS)</t>
  </si>
  <si>
    <t>Statistical quality control practices in clothing industry</t>
  </si>
  <si>
    <t>Ural, Ö., &amp; Elmalı, C. (2023). STATISTICAL PROCESS CONTROL AS A TOOL FOR QUALITY IMPROVEMENT: A CASE STUDY IN DENIM PANT PRODUCTION. Mugla Journal of Science and Technology, 9(2), 94-103.</t>
  </si>
  <si>
    <t>https://dergipark.org.tr/en/pub/muglajsci/issue/81299/1316596</t>
  </si>
  <si>
    <t>Brad, Raluca (ULBS)</t>
  </si>
  <si>
    <t>Textile industry application of the 5S method</t>
  </si>
  <si>
    <t>Alexander, J. R., Reddy, A. V., &amp; Reddy, N. K. (2023, September). A critical review on implementation of 5S and six sigma in textile industry. In AIP Conference Proceedings (Vol. 2800, No. 1). AIP Publishing.</t>
  </si>
  <si>
    <t xml:space="preserve">
https://doi.org/10.1063/5.0163127
</t>
  </si>
  <si>
    <t>Aoko Pauline , An Assessment of Effect of Agricultural Knowledge Management on Fall Army Worm (Faw) Control Technologies Among Smallholder Maize Farmers in Kilungu, Makueni County, Kenya, Thesis</t>
  </si>
  <si>
    <t>http://erepository.uonbi.ac.ke/handle/11295/164201</t>
  </si>
  <si>
    <t>University of Nairobi Reaserch Archive</t>
  </si>
  <si>
    <t xml:space="preserve">RE Petruse, V Grecu, BM Chiliban  (Universitatea "Lucian Blaga" Sibiu) </t>
  </si>
  <si>
    <t>N Panța, NE Popescu, Charting the Course of AI in Business Sustainability: A Bibliometric Analysis, Studies in Business and Economics
VOLUME 18 (2023): ISSUE 3 (DECEMBER 2023)</t>
  </si>
  <si>
    <t>https://sciendo.com/article/10.2478/sbe-2023-0055</t>
  </si>
  <si>
    <t>Iosif-Adrian Maroşan(ULBS), George Constantin(UPB)</t>
  </si>
  <si>
    <t>WG Aguilar Castillo - 2023, Diseño y construcción de un robot hexápodo todo terreno con geolocalización</t>
  </si>
  <si>
    <t>https://repositorio.espe.edu.ec/bitstream/21000/36132/1/T-ESPE-052712.pdf</t>
  </si>
  <si>
    <t>GP Rusu, A Bârsan, MO Popp, A Maroșan (ULBS)</t>
  </si>
  <si>
    <t>Comparison between aluminum alloys behavior in incremental sheet metal forming process of frustum pyramid shaped parts</t>
  </si>
  <si>
    <t>MO Popp - 2023 - digital-library.ulbsibiu.ro, Studii și cercetări privind îmbunătățirea preciziei dimensionale și de formă a pieselor prelucrate prin deformare incrementală</t>
  </si>
  <si>
    <t>Teza de doctorat indexata in Google Scholar</t>
  </si>
  <si>
    <t>Alexandru Bârsan, Mihai Octavian Popp, GP Rusu, IA Maroșan(ULBS)</t>
  </si>
  <si>
    <t>Robot-Forming-Industrial Robots Used In Single Point Incremental Forming Process</t>
  </si>
  <si>
    <t>S Sun - 2023 - kb.osu.edu, ENABLING EFFICIENT FLEET COMPOSITION SELECTION THROUGH THE DEVELOPMENT OF A RANK HEURISTIC FOR A BRANCH AND BOUND METHOD</t>
  </si>
  <si>
    <t>https://kb.osu.edu/items/6c486e0d-1489-4b83-9613-75a648afa908</t>
  </si>
  <si>
    <t>SMA Castro, WZ Medina - 2023 - repositorio.unitec.edu, Viabilidad de implementar un motor de firma electrónica certificada para continuidad del negocio en una institución financiera</t>
  </si>
  <si>
    <t>GP Rusu, MO Popp, AL Chicea, IO Popp (ULBS)</t>
  </si>
  <si>
    <t>Determining the Forming Limit Diagram by Experimental Methods</t>
  </si>
  <si>
    <t>Mihai Octavian Popp, Studii și cercetări privind îmbunătățirea preciziei dimensionale și de formă a pieselor prelucrate prin deformare incrementală, Teză de doctorat</t>
  </si>
  <si>
    <t>https://doctorate.ulbsibiu.ro/wp-content/uploads/Rezumat_Popp_Mihai_EN.pdf</t>
  </si>
  <si>
    <t>Teză de doctorat indexată în Google Scholar</t>
  </si>
  <si>
    <t>MO Popp, GP Rusu, IO Popp, CE Gîrjob (ULBS)</t>
  </si>
  <si>
    <t>V Oleksik, D Dobrotă, SG Racz, GP Rusu, MO Popp, E Avrigean (ULBS)</t>
  </si>
  <si>
    <t>MO Popp, GP Rusu, SG Racz, V Oleksik</t>
  </si>
  <si>
    <t>GP Rusu, A Bârsan, MO Popp, A Maroșan</t>
  </si>
  <si>
    <t>Robot-based incremental sheet forming – the tool path planning</t>
  </si>
  <si>
    <t>GP Rusu, MO Popp, M Oleksik (ULBS), C Rodean (Continental Automotive)</t>
  </si>
  <si>
    <t>Numerical simulation of material failure in single point incremental forming process</t>
  </si>
  <si>
    <t>MO Popp, GP Rusu, SG Racz, IO Popp</t>
  </si>
  <si>
    <t>Force and thickness prediction with FEA of the cranial implants manufactured through SPIF</t>
  </si>
  <si>
    <t>M Szpunar, P Szawara, O Piotr, R Ostrowski, Influence of input parameters on the coefficient of friction during incremental sheet forming of grade 5 titanium alloy, Advanves in Mechanical and Materials Engineering</t>
  </si>
  <si>
    <t>file:///C:/Users/mihai/Downloads/1186-Article%20Text-2962-1-10-20230904.pdf</t>
  </si>
  <si>
    <t>Haydar Kepekci, Mehmet Emin Agca; Numerical Investigation of the Thermal Effect of Material Variations on the Brake Disc ; International Journal of Pioneering Technology and Engineering</t>
  </si>
  <si>
    <t xml:space="preserve">Citare 1 </t>
  </si>
  <si>
    <t>20</t>
  </si>
  <si>
    <t>Study regarding the physical-mechanical properties of knits for garments–pilling performance</t>
  </si>
  <si>
    <t>Kazi Md. Elias, Mohammad Obaidur Rahman, H. M. Zakir Hossain, Studying the Effect of Polyester Fiber Blend Ratio and Pilling Cycle on Blended Knit Fabrics, Journal of Textile Science and Technology, 2023.</t>
  </si>
  <si>
    <t>https://www.scirp.org/journal/paperinformation?paperid=128976</t>
  </si>
  <si>
    <t xml:space="preserve"> Google Scholar, </t>
  </si>
  <si>
    <t>Koviljka Asanovic, Nadiia Bukhonka, Tatjana Mihailovic, Isidora Cvijetic, Mirjana Reljic, Mirjana Kostic,  Influence of pilling on the structural characteristics of flax plain weft-knitted fabrics, International conference
„Contemporary trends and innovations in the textile industry", Serbia, 2023.</t>
  </si>
  <si>
    <t>https://www.researchgate.net/profile/Huelya-Kesici/publication/374373550_EFFECT_OF_PHASE_RATIO_ON_CORE-SHEATH_COMPOSITE_NANOFIBERS_MORPHOLOGY/links/651aac491e2386049df17577/EFFECT-OF-PHASE-RATIO-ON-CORE-SHEATH-COMPOSITE-NANOFIBERS-MORPHOLOGY.pdf#page=127</t>
  </si>
  <si>
    <t>Manish Oraon, Ranjeet Prasad, Vinay Sharma,Investigating the surface roughness of calamine brass in incremental sheet metal forming, Materials Today: Proceedings,2023</t>
  </si>
  <si>
    <t>https://doi.org/10.1016/j.matpr.2023.10.032, https://www.sciencedirect.com/science/article/pii/S2214785323049374</t>
  </si>
  <si>
    <t>O Bologa, V Oleksik, G Racz</t>
  </si>
  <si>
    <t>Experimental research for determining the forces on incremental sheet forming process</t>
  </si>
  <si>
    <t>Mihai Popp, Gabriela Rusu, Sever-Gabriel Racz, Ilie Octavian Popp</t>
  </si>
  <si>
    <t>Habeeba, Halah Ali, Muhsin J. Jweegb, and Ali Abbar Khleifa. "Investigation of the Effect of SPIF Parameters on the Thickness of Al 2024 Alloy." Engineering and Technology Journal 41.12 (2023): 1627-1637.</t>
  </si>
  <si>
    <t>https://doi.org/10.30684/etj.2023.143718.1604, https://etj.uotechnology.edu.iq/article_181509_c4b5c4f85954da91ca39792f4cc69529.pdf</t>
  </si>
  <si>
    <t>Szpunar, M., Szawara, P., Myśliwiec, P., &amp; Ostrowski, R. (2023). Influence of input parameters on the coefficient of friction during incremental sheet forming of grade 5 titanium alloy. Advances in Mechanical and Materials Engineering, 40(1), 113-123.</t>
  </si>
  <si>
    <t>https://doi.org/10.7862/rm.2023.12</t>
  </si>
  <si>
    <t>Nayak, G. S. (2023). Titanium/PMMA Sandwich Materials for Biomedical Applications: Experiments and Simulation (Doctoral dissertation, TU Clausthal).</t>
  </si>
  <si>
    <t>https://www.researchgate.net/profile/Gargi-Shankar-Nayak-2/publication/378909867_TitaniumPMMA_sandwich_materials_for_biomedical_applications_Experiments_and_simulation/links/65f19d80c05fd26880077348/Titanium-PMMA-sandwich-materials-for-biomedical-applications-Experiments-and-simulation.pdf</t>
  </si>
  <si>
    <t>SLAVOV, Stoyan, and Oleksandr MARKOV. "A TOOL FOR BALL BURNISHING WITH ABILITY FOR WIRE AND WIRELESS MONITORING OF THE DEFORMING FORCE VALUES." ACTA TECHNICA NAPOCENSIS-Series: APPLIED MATHEMATICS, MECHANICS, and ENGINEERING 65.4S (2023).</t>
  </si>
  <si>
    <t>Racz S. G., Oleksik V. S., Breaz R. E.</t>
  </si>
  <si>
    <t>Bârsan, A., Racz, S.-G., Breaz, R., &amp; Crenganiș, M.</t>
  </si>
  <si>
    <t>Dynamic analysis of a robot-based incremental sheet forming using Matlab-Simulink SimscapeTM environment.</t>
  </si>
  <si>
    <t>Perzynski, K., Pawlikowski, K., &amp; Madej, L. (2023). The role of die definition in the numerical simulations of two-points incremental forming processes. Computer Methods in Materials Science, 23(1), 6.</t>
  </si>
  <si>
    <t>https://www.cmms.agh.edu.pl/2023_1_0795/</t>
  </si>
  <si>
    <t>Aksonov О., Pliuhin В., Tsegelnyk Є., Slovikovskyi О., Duniev О., &amp; Yehorov А. (2022). Electric Drive SCADA Development with Vijeo Designer (Schneider Electric). Lighting Engineering &amp; Power Engineering, 61(3), 107–121. https://doi.org/10.33042/2079-424X.2022.61.3.04</t>
  </si>
  <si>
    <t>https://lepe.kname.edu.ua/index.php/lepe/article/view/495</t>
  </si>
  <si>
    <t>Sever-Gabriel Racz, Mihai Crenganiș, Radu-Eugen Breaz, Adrian Maroșan, Alexandru Bârsan, Claudia-Emilia Gîrjob, Cristina-Maria Biriș, Melania Tera</t>
  </si>
  <si>
    <t>Sun, S. (2023). ENABLING EFFICIENT FLEET COMPOSITION SELECTION THROUGH THE DEVELOPMENT OF A RANK HEURISTIC FOR A BRANCH AND BOUND METHOD (Doctoral dissertation, The Ohio State University).</t>
  </si>
  <si>
    <t>https://kb.osu.edu/handle/1811/102822</t>
  </si>
  <si>
    <t>Teza de doctorat indexata în Google Scholar.</t>
  </si>
  <si>
    <t>MAROȘAN, I. A. - TEZĂ DE DOCTORAT.</t>
  </si>
  <si>
    <t>https://scholar.google.ro/scholar_url?url=https://docs.upb.ro/wp-content/uploads/2023/06/REZUMAT-TEZA_MAROSAN_RO.pdf&amp;hl=ro&amp;sa=X&amp;d=11541781080967976187&amp;ei=FaWgZJ_DHrqI6rQP76i_sAY&amp;scisig=ABFrs3z5TV7nAt39FMjyEMqPwgYb&amp;oi=scholaralrt&amp;hist=-Fpkv8gAAAAJ:3129594188417363096:ABFrs3y3QIZe5vzGMUSJLfCRApsx&amp;html=&amp;pos=0&amp;folt=cit&amp;fols=</t>
  </si>
  <si>
    <t>Maroşan, A., Constantin, G., Gîrjob, C. E., Chicea, A. L., &amp; Crenganis, M. (2023). REAL TIME DATA ACQUISITION OF LOW-COST CURRENT SENSORS ACS712-05 AND INA219 USING RASPBERRY PI, DAQCPLATE AND NODE-RED. Proceedings in Manufacturing Systems, 18(2), 51-59.</t>
  </si>
  <si>
    <t>https://www.proquest.com/openview/3bc6277917d725fdecc27c4b923fd4f8/1?pq-origsite=gscholar&amp;cbl=2035956</t>
  </si>
  <si>
    <t>Bârsan, A., Crenganiș, M., Popp, M. O., Rusu, G. P.,</t>
  </si>
  <si>
    <t>Roboforming - Investigations regarding forming forces in SPIF process</t>
  </si>
  <si>
    <t>Rusu Gabriela Petruța  -  TEZĂ DE DOCTORAT</t>
  </si>
  <si>
    <t>Bârsan, A., Popp, M. O., Rusu, G. P., Maroșan, I. A</t>
  </si>
  <si>
    <t>Robot-forming-industrial robots used in single point incremental forming process</t>
  </si>
  <si>
    <t>Bârsan, A., Popp, M. O., Rusu, G. P., Maroșan, A. I.</t>
  </si>
  <si>
    <t>Rusu, G. P., Bârsan, A., Popp, M. O., Maroșan, A.</t>
  </si>
  <si>
    <t>Popp Mihai Octavian -  TEZĂ DE DOCTORAT</t>
  </si>
  <si>
    <t>Flores Medina, P. J., Garibay Murillo, P., &amp; Peñaloza Mendoza, G. R. (2023). Automation of inoculation in culture media for the microbiology laboratory. REVISTA DE CIENCIAS TECNOLÓGICAS, 6(4), e285. https://doi.org/10.37636/recit.v6n4e285</t>
  </si>
  <si>
    <t>https://recit.uabc.mx/index.php/revista/article/view/285</t>
  </si>
  <si>
    <t>A Brief Review of Robotic Machining</t>
  </si>
  <si>
    <t>Soori, M., Arezoo, B., &amp; Dastres, R. Robotical Automation in CNC Machine Tools, A Review.</t>
  </si>
  <si>
    <t>https://www.researchgate.net/publication/376521574_Robotical_Automation_in_CNC_Machine_Tools_A_Review?enrichId=rgreq-e6b737fef347bf3cb7d0c0a140670b5f-XXX&amp;enrichSource=Y292ZXJQYWdlOzM3NjUyMTU3NDtBUzoxMTQzMTI4MTIxMjQ0NjAyOEAxNzAyNjI4NTM3ODgx&amp;el=1_x_3&amp;_esc=publicationCoverPdf</t>
  </si>
  <si>
    <t>Rusu, G., Popp, M., Bârsan, A., Oleksik M.</t>
  </si>
  <si>
    <t>Şeker, A., &amp; Değirmencioğlu, F. (2023). CAM ELYAF TAKVİYELİ KOMPOZİT YAPIDA TERMOPLASTİK POLİMER MALZEME İLE ÜRETİLEN SÜSPANSİYON PİSTONUNUN ANALİZİ VE ÜRETİMİ. INTERNATIONAL JOURNAL OF NEW HORIZONS IN THE SCIENCES, 47-55.</t>
  </si>
  <si>
    <t>https://zenodo.org/records/10446647</t>
  </si>
  <si>
    <t>Ghazi, S. K., Bedana, A. S., &amp; Salloomb, M. Y. (2023). Investigating the Impact of Process Parameters on Thinning and Formability in Aluminum Alloy AA 1050 Incremental Sheet Metal Forming. Engineering and Technology Journal, 41(12), 1653-1659.</t>
  </si>
  <si>
    <t>https://etj.uotechnology.edu.iq/article_181685.html</t>
  </si>
  <si>
    <t>Tala, C., König, J., Benavides, P., &amp; Véliz, F. Robotic Incremental Sheet Metal Forming: Waste Management Through Digital Fabrication.</t>
  </si>
  <si>
    <t>Rusu Gabriela-Petruța, Comportarea la deformare incrementală a tablelor sudate, Teză de doctorat</t>
  </si>
  <si>
    <t>https://doctorate.ulbsibiu.ro/wp-content/uploads/21.-Rezumat_Rusu_Gabriela_RO.pdf</t>
  </si>
  <si>
    <r>
      <rPr>
        <rFont val="Arial Narrow"/>
        <color theme="1"/>
        <sz val="10.0"/>
      </rPr>
      <t xml:space="preserve">Popp Ilie-Octavian, Popp Mihai-Octavian, Oleksik Mihaela, Rusu Gabriela-Petruța, Chicea Anca Lucia, </t>
    </r>
    <r>
      <rPr>
        <rFont val="Arial Narrow"/>
        <i/>
        <color theme="1"/>
        <sz val="10.0"/>
      </rPr>
      <t>Calibrating DC01 material properties for finite element analysis with abaqus and isight,</t>
    </r>
    <r>
      <rPr>
        <rFont val="Arial Narrow"/>
        <color theme="1"/>
        <sz val="10.0"/>
      </rPr>
      <t xml:space="preserve"> ACTA UNIVERSITATIS CIBINIENSIS – TECHNICAL SERIES Vol. 75. Pp. 30-34, 2023, DOI: 10.2478/aucts-2023-0004</t>
    </r>
  </si>
  <si>
    <t>https://intapi.sciendo.com/pdf/10.2478/aucts-2023-0004</t>
  </si>
  <si>
    <r>
      <rPr>
        <rFont val="Arial Narrow"/>
        <color theme="1"/>
        <sz val="10.0"/>
      </rPr>
      <t xml:space="preserve">Danăilă Irina, </t>
    </r>
    <r>
      <rPr>
        <rFont val="Arial Narrow"/>
        <i/>
        <color theme="1"/>
        <sz val="10.0"/>
      </rPr>
      <t>Studiul proprietăților mecanice ale matricelor termorigide nanostructurate</t>
    </r>
    <r>
      <rPr>
        <rFont val="Arial Narrow"/>
        <color theme="1"/>
        <sz val="10.0"/>
      </rPr>
      <t>, Teza de doctorat, Universitatea "Dunarea de Jos" din Galati, 2023</t>
    </r>
  </si>
  <si>
    <t>https://arthra.ugal.ro/handle/123456789/9158</t>
  </si>
  <si>
    <t>Google Scholar
Teza de doctorat</t>
  </si>
  <si>
    <t>Rezaei, M., Saei, S., Jafari Khouzani, S., Esmaielzade Rostami, M., Rahmannia, M., Rafie Manzelat, A. M., Bayanati, M., Rasti, S., Rajabloo, Y., Ghorbani, H., Azizan, A., Bozorgzad, P., Jafari Khouzani, P., Arabpour Dahouei, A., Faranoush, P., Hiwa Raouf, K., Ebrahimpour, M., Fallahian, A., Savardashtaki, M., Khodashenas, M., Zare Lahijan, L., Soltani Moghadam, A., Mirzohreh, S.-T., Abbasmofrad, H., Rahimi, R., Shakori Poshteh, S., Pishbin, A., Masoomi Goodarzi, N., Tolouei, M., Sadeghniiat-Haghighi, A., Hajializade, M., Khodadadi , H. R., Nobakht, S., Karami-Nejad, A., Taherzadeh Amlashi, T., Hosseininejad-Mohebati, A., Rasti, A., Zohrei, A., Hedayati Emami, S., Roohinezhad, R., Ghahari, S., Ebrahimi, S., Mousavi, S.-H., Mohamadi, Z., Sobhani, M., Pirouzan, M., Pirouzan, Z., Momayezi, A., Foroutan, A., Karimimoghadam, A., Farjami, P., Ranjbar, E., Taheri, F., Farrokhi, M., &amp; Moeini, A. (2023). Emerging Technologies in Medicine: Artificial Intelligence, Robotics, and Medical Automation. Kindle, 3(1), 1–184. Retrieved from http://preferpub.org/index.php/kindle/article/view/Book29</t>
  </si>
  <si>
    <t>http://preferpub.org/index.php/kindle/article/view/Book29</t>
  </si>
  <si>
    <t>volume apărute la edituri din străinătate</t>
  </si>
  <si>
    <t>SAYAHKARAJY, M., &amp; WITTE, H. (2023). Soft Medical Robots and Probes: Concise Survey of Current Advances. Design, Construction, Maintenance, 3, 263-278.</t>
  </si>
  <si>
    <t>https://wseas.com/journals/dcm/2023/a52dcm-018(2023).pdf</t>
  </si>
  <si>
    <t>TOTUK, O. H., Mıstıkoğlu, S., &amp; Güvenç, M. A. (2023). Design, Optimization, Simulation, and Implementation of a 3D Printed Soft Robotic Peristaltic Pump.</t>
  </si>
  <si>
    <t>https://www.researchsquare.com/article/rs-3182693/v1</t>
  </si>
  <si>
    <r>
      <rPr>
        <rFont val="Arial Narrow"/>
        <color theme="1"/>
        <sz val="10.0"/>
      </rPr>
      <t xml:space="preserve">Manish Oraon, Ranjeet Prasad, Vinay Sharma, </t>
    </r>
    <r>
      <rPr>
        <rFont val="Arial Narrow"/>
        <i/>
        <color theme="1"/>
        <sz val="10.0"/>
      </rPr>
      <t>Investigating the surface roughness of calamine brass in incremental sheet metal forming</t>
    </r>
    <r>
      <rPr>
        <rFont val="Arial Narrow"/>
        <color theme="1"/>
        <sz val="10.0"/>
      </rPr>
      <t>, MaterialsToday: Proceedings, 9 october 2023, ISSN 2214-7853, DOI: doi.org/10.1016/j.matpr.2023.10.032</t>
    </r>
  </si>
  <si>
    <r>
      <rPr>
        <rFont val="Arial Narrow"/>
        <color theme="1"/>
        <sz val="10.0"/>
      </rPr>
      <t xml:space="preserve">Govind Panwar, Dinesh Khanduja, Vikas Upadhyay, </t>
    </r>
    <r>
      <rPr>
        <rFont val="Arial Narrow"/>
        <i/>
        <color theme="1"/>
        <sz val="10.0"/>
      </rPr>
      <t>Impact of Processing Variables on Formability of AA7079 Sheet by SPIF Technique</t>
    </r>
    <r>
      <rPr>
        <rFont val="Arial Narrow"/>
        <color theme="1"/>
        <sz val="10.0"/>
      </rPr>
      <t>, Journal of The Institution of Engineers (India): Series D, Volume 105, pages 89–96, (2024), ISSN 2250-2130, DOI: https://doi.org/10.1007/s40033-023-00450-5</t>
    </r>
  </si>
  <si>
    <r>
      <rPr>
        <rFont val="Arial Narrow"/>
        <color theme="1"/>
        <sz val="10.0"/>
      </rPr>
      <t xml:space="preserve">Thanh Vu Nguyen, Tuyen Vo, Nhat Tuan Phan, Le Cao Ky Dinh, </t>
    </r>
    <r>
      <rPr>
        <rFont val="Arial Narrow"/>
        <i/>
        <color theme="1"/>
        <sz val="10.0"/>
      </rPr>
      <t>Reviews on the Effect of Single Point Incremental Forming (SPIF) Process Parameters on Surface Roughness of Aluminum Alloy AA1050-H14 Sheet Metal</t>
    </r>
    <r>
      <rPr>
        <rFont val="Arial Narrow"/>
        <color theme="1"/>
        <sz val="10.0"/>
      </rPr>
      <t>, Applied Mechanics and Materials, Volume 914, pp. 151-162, ISSN 1660-9336, e-ISSN 1662-7482, DOI https://doi.org/10.4028/p-i4970l</t>
    </r>
  </si>
  <si>
    <t>https://www.scientific.net/AMM.914.151</t>
  </si>
  <si>
    <r>
      <rPr>
        <rFont val="Arial Narrow"/>
        <color theme="1"/>
        <sz val="10.0"/>
      </rPr>
      <t xml:space="preserve">Nhat Tuan Phan,  Tuyen Vo, Le Cao Ky Dinh, Tien Tho Trinh, Van Hai Dang, </t>
    </r>
    <r>
      <rPr>
        <rFont val="Arial Narrow"/>
        <i/>
        <color theme="1"/>
        <sz val="10.0"/>
      </rPr>
      <t>Determination of the Optimized Parameter of the Processing of SUS 304 Sheet Material to the Formability by SPIF Technology</t>
    </r>
    <r>
      <rPr>
        <rFont val="Arial Narrow"/>
        <color theme="1"/>
        <sz val="10.0"/>
      </rPr>
      <t>, Applied Mechanics and Materials, Volume 914, pp. 163-172, ISSN 1660-9336, e-ISSN 1662-7482, DOI https://doi.org/10.4028/p-8068jr</t>
    </r>
  </si>
  <si>
    <r>
      <rPr>
        <rFont val="Arial Narrow"/>
        <color theme="1"/>
        <sz val="10.0"/>
      </rPr>
      <t xml:space="preserve">Mihai Octavian Popp, </t>
    </r>
    <r>
      <rPr>
        <rFont val="Arial Narrow"/>
        <i/>
        <color theme="1"/>
        <sz val="10.0"/>
      </rPr>
      <t>Studii și cercetări privind îmbunătățirea preciziei dimensionale și de formă a pieselor prelucrate prin deformare incrementală</t>
    </r>
    <r>
      <rPr>
        <rFont val="Arial Narrow"/>
        <color theme="1"/>
        <sz val="10.0"/>
      </rPr>
      <t>, Teza de doctorat, Universitatea "Lucian Blaga" din Sibiu, 2023</t>
    </r>
  </si>
  <si>
    <r>
      <rPr>
        <rFont val="Arial Narrow"/>
        <color theme="1"/>
        <sz val="10.0"/>
      </rPr>
      <t xml:space="preserve">Parveen Kumar, Hari Singh, </t>
    </r>
    <r>
      <rPr>
        <rFont val="Arial Narrow"/>
        <i/>
        <color theme="1"/>
        <sz val="10.0"/>
      </rPr>
      <t>Experimental analysis of forming forces in incremental forming and its prediction by AI-based methods</t>
    </r>
    <r>
      <rPr>
        <rFont val="Arial Narrow"/>
        <color theme="1"/>
        <sz val="10.0"/>
      </rPr>
      <t>, Proceedings of the Institution of Mechanical Engineers, Part E: Journal of Process Mechanical Engineering, DOI https://doi.org/10.1177/09544089241237026</t>
    </r>
  </si>
  <si>
    <t>https://journals.sagepub.com/doi/abs/10.1177/09544089241237026</t>
  </si>
  <si>
    <t>V. OLEKSIK, A.M. PASCU</t>
  </si>
  <si>
    <t>Proiectarea optimală a maşinilor şi utilajelor: pentru uzul studenţilor, 2007, Editura Universităţii" Lucian Blaga"</t>
  </si>
  <si>
    <t>Ram Vishal G, Srikanth H.V.,Abhishek T.K., Mahendra K.,Anirudh P., Rahul B., Strength Investigation on Butt Welded
Polymer Tubes, Journal of Polymer&amp;composites, Volume 11, Special Issue 13, 2023
DOI (Journal): 10.37591/JoPC</t>
  </si>
  <si>
    <t>OLEKSIK, V., PASCU, A., DEAC, C., FLEACĂ, R., ROMAN, M. (toti ULBS)</t>
  </si>
  <si>
    <t>Numerical simulation of the incremental forming process for knee implants, X International Conference on Computational Plasticity, COMPLAS X, E. Oñate and D. R. J. Owen (Eds), CIMNE, Barcelona, 2009</t>
  </si>
  <si>
    <r>
      <rPr>
        <rFont val="Arial Narrow"/>
        <color theme="1"/>
        <sz val="10.0"/>
      </rPr>
      <t xml:space="preserve">Mihai Octavian Popp, </t>
    </r>
    <r>
      <rPr>
        <rFont val="Arial Narrow"/>
        <i/>
        <color theme="1"/>
        <sz val="10.0"/>
      </rPr>
      <t>Studii și cercetări privind îmbunătățirea preciziei dimensionale și de formă a pieselor prelucrate prin deformare incrementală</t>
    </r>
    <r>
      <rPr>
        <rFont val="Arial Narrow"/>
        <color theme="1"/>
        <sz val="10.0"/>
      </rPr>
      <t>, Teza de doctorat, Universitatea "Lucian Blaga" din Sibiu, 2023</t>
    </r>
  </si>
  <si>
    <t>OLEKSIK VALENTIN, PASCU ADRIAN, MARA DANIEL, BOLOGA OCTAVIAN, RACZ GABRIEL, BREAZ RADU  (toti ULBS)</t>
  </si>
  <si>
    <t xml:space="preserve">Influence of geometric parameters on strain and thickness reduction in incremental forming process, Steel Research International, ISSN: 1611-3683, vol. 81, Issue 9, 2010, pag. 930-933 </t>
  </si>
  <si>
    <r>
      <rPr>
        <rFont val="Arial Narrow"/>
        <color theme="1"/>
        <sz val="10.0"/>
      </rPr>
      <t xml:space="preserve">Mihai Octavian Popp, </t>
    </r>
    <r>
      <rPr>
        <rFont val="Arial Narrow"/>
        <i/>
        <color theme="1"/>
        <sz val="10.0"/>
      </rPr>
      <t>Studii și cercetări privind îmbunătățirea preciziei dimensionale și de formă a pieselor prelucrate prin deformare incrementală</t>
    </r>
    <r>
      <rPr>
        <rFont val="Arial Narrow"/>
        <color theme="1"/>
        <sz val="10.0"/>
      </rPr>
      <t>, Teza de doctorat, Universitatea "Lucian Blaga" din Sibiu, 2023</t>
    </r>
  </si>
  <si>
    <r>
      <rPr>
        <rFont val="Arial Narrow"/>
        <color theme="1"/>
        <sz val="10.0"/>
      </rPr>
      <t xml:space="preserve">Popp Ilie-Octavian, Popp Mihai-Octavian, Oleksik Mihaela, Rusu Gabriela-Petruța, Chicea Anca Lucia, </t>
    </r>
    <r>
      <rPr>
        <rFont val="Arial Narrow"/>
        <i/>
        <color theme="1"/>
        <sz val="10.0"/>
      </rPr>
      <t>Calibrating DC01 material properties for finite element analysis with abaqus and isight,</t>
    </r>
    <r>
      <rPr>
        <rFont val="Arial Narrow"/>
        <color theme="1"/>
        <sz val="10.0"/>
      </rPr>
      <t xml:space="preserve"> ACTA UNIVERSITATIS CIBINIENSIS – TECHNICAL SERIES Vol. 75. Pp. 30-34, 2023, DOI: 10.2478/aucts-2023-0004</t>
    </r>
  </si>
  <si>
    <r>
      <rPr>
        <rFont val="Arial Narrow"/>
        <color theme="1"/>
        <sz val="10.0"/>
      </rPr>
      <t xml:space="preserve">Danăilă Irina, </t>
    </r>
    <r>
      <rPr>
        <rFont val="Arial Narrow"/>
        <i/>
        <color theme="1"/>
        <sz val="10.0"/>
      </rPr>
      <t>Studiul proprietăților mecanice ale matricelor termorigide nanostructurate</t>
    </r>
    <r>
      <rPr>
        <rFont val="Arial Narrow"/>
        <color theme="1"/>
        <sz val="10.0"/>
      </rPr>
      <t>, Teza de doctorat, Universitatea "Dunarea de Jos" din Galati, 2023</t>
    </r>
  </si>
  <si>
    <t>J Wang, J Wu, JT Miao, TW Wong, Additive Manufacturing for Polymers (Book), Published in Frontier in Materials, 2023</t>
  </si>
  <si>
    <t>https://books.google.ro/books?hl=ro&amp;lr=&amp;id=GRTdEAAAQBAJ&amp;oi=fnd&amp;pg=PP1&amp;ots=sTbjLiPDeI&amp;sig=KtEM9AKwSwWob_1OC6LuX2XpGLA&amp;redir_esc=y#v=onepage&amp;q&amp;f=false</t>
  </si>
  <si>
    <t>Daouda Nikiema, Ndeye Awa Sene, Pascale Balland, Alain Sergent, Study of walls’ influence on the mechanical properties of 3D printed onyx parts: Experimental, analytical and numerical investigations, Heliyon 9 (2023) e19187, DOI:https://doi.org/10.1016/j.heliyon.2023.e19187</t>
  </si>
  <si>
    <t>AVRIGEAN E., PASCU A., OLEKSIK V.S, (toti ULBS)</t>
  </si>
  <si>
    <t>Study of the cardan cross using the experimental an analytical method. Procedia Engineering, volume 100, 2015, ISSN 1877-7058, pag. 499-504, 25th DAAAM International Symposium on Intelligent Manufacturing and Automation, DAAAM 2014 doi:10.1016/j.proeng.2015.01.396</t>
  </si>
  <si>
    <t>Özbakis, Murat, Determination of the fatigue behaviors of cardan shafts used in heavy duty vehicles by numerical and experimental methods and establishing the parameters for the enhancement of their fatigue strengths, Teza de doctorat,okuz Eylul Universitesi (Turkey)</t>
  </si>
  <si>
    <r>
      <rPr>
        <rFont val="Arial Narrow"/>
        <color theme="1"/>
        <sz val="10.0"/>
      </rPr>
      <t>SAYAHKARAJY, M., &amp; WITTE, H. (2023). Soft Medical Robots and Probes: Concise Survey of Current Advances. </t>
    </r>
    <r>
      <rPr>
        <rFont val="Arial Narrow"/>
        <i/>
        <color rgb="FF222222"/>
        <sz val="10.0"/>
      </rPr>
      <t>Design, Construction, Maintenance</t>
    </r>
    <r>
      <rPr>
        <rFont val="Arial Narrow"/>
        <color rgb="FF222222"/>
        <sz val="10.0"/>
      </rPr>
      <t>, </t>
    </r>
    <r>
      <rPr>
        <rFont val="Arial Narrow"/>
        <i/>
        <color rgb="FF222222"/>
        <sz val="10.0"/>
      </rPr>
      <t>3</t>
    </r>
    <r>
      <rPr>
        <rFont val="Arial Narrow"/>
        <color rgb="FF222222"/>
        <sz val="10.0"/>
      </rPr>
      <t>, 263-278.</t>
    </r>
  </si>
  <si>
    <t>MO Popp, SG Racz, M Oleksik, C Gîrjob, C Biriş</t>
  </si>
  <si>
    <t>Analysis of forming forces at SPIF using Taguchi method</t>
  </si>
  <si>
    <t xml:space="preserve">Popp M.,  Studii și cercetări privind îmbunătățirea preciziei dimensionale și de formă a pieselor prelucrate prin deformare incrementală, Teza de doctorat </t>
  </si>
  <si>
    <t>Breaz R.E., Racz S.G., Girjob C.E., Tera M.; Biris C.</t>
  </si>
  <si>
    <t>VÁSQUEZ PINCAY ARIANA MERCEDES, 
Implementación de un sistema de control numérico computarizado para mejorar el proceso de enseñanza – aprendizaje en las prácticas del laboratorio de electrónica, Teza de doctorat</t>
  </si>
  <si>
    <t xml:space="preserve">Rosa Igor Cesar de Carlos,  Avanços na manufatura híbrida de compósitos de matriz polimérica reforçados com fibra de carbono fragmentada, UNIVERSIDADE FEDERAL DE UBERLÂNDIA, Teza de doctorat </t>
  </si>
  <si>
    <t>https://repositorio.ufu.br/bitstream/123456789/38797/3/Avan%c3%a7osNaManufatura.pdf</t>
  </si>
  <si>
    <t xml:space="preserve">GS Nayak, Titanium/PMMA Sandwich Materials for Biomedical Applications: Experiments and Simulation, Teza de doctorat </t>
  </si>
  <si>
    <t xml:space="preserve"> Nugroho Emmanuel Agung, Joga Dharma Setiawan, M. Munadi, Handling Four DOF Robot to Move Objects Based on Color and Weight using Fuzzy Logic Control, Journal of Robotics and Control (JRC), vol.4, no.6, DOI: https://doi.org/10.18196/jrc.v4i6.20087</t>
  </si>
  <si>
    <t>https://journal.umy.ac.id/index.php/jrc/article/view/20087</t>
  </si>
  <si>
    <t>Szpunar, Marcin , Szawara, Paulina , Myśliwiec, Piotr , Ostrowski, Robert, Influence of input parameters on the coefficient of friction during incremental sheet forming of grade 5 titanium alloy, Advances in Mechanical and Materials Engineering, vol.40, nr.1, pp 113-123,  DOI 10.7862/rm.2023.12</t>
  </si>
  <si>
    <t xml:space="preserve">Dobrota, D; Oleksik, M ; Chicea, AL </t>
  </si>
  <si>
    <t>Ecodesign of the Aluminum Bronze Cutting Process</t>
  </si>
  <si>
    <t>TOMESCU, Mădălin; OLEKSIK, Mihaela, PERFORMANCE ANALYSIS OF THE USE OF CUTTING TOOLS WITH OPTIMAL FUNCTIONAL GEOMETRY FROM THE POINT OF VIEW OF THE QUALITY OF THE SURFACES PROCESSED BY CUTTING., Annals of 'Constantin Brancusi' University of Targu-Jiu. Engineering Series / Analele Universităţii Constantin Brâncuşi din Târgu-Jiu. Seria Inginerie, 2023, Issue 4, p53</t>
  </si>
  <si>
    <t>https://openurl.ebsco.com/EPDB%3Agcd%3A16%3A15988736/detailv2?sid=ebsco%3Aplink%3Ascholar&amp;id=ebsco%3Agcd%3A174262122&amp;crl=c</t>
  </si>
  <si>
    <t>GP Rusu, MO Popp, AL Chicea, IO Popp</t>
  </si>
  <si>
    <t xml:space="preserve">Popp M, Studii și cercetări privind îmbunătățirea preciziei dimensionale și de formă a pieselor prelucrate prin deformare incrementală, Teza de coctorat </t>
  </si>
  <si>
    <t xml:space="preserve">Teza de doctorat </t>
  </si>
  <si>
    <t>G Brabie (Univ V Alexandri Bacau), R Lupu (Univ V. Alecsandri Bacau), AD Rizea (Univ Pitesti) C Cărăusu (Univ Gh. Asachi Iasi), AL Chicea, C Maier (Univ Dunarea de Jos Galati)</t>
  </si>
  <si>
    <t>Review of recent stretch forming development</t>
  </si>
  <si>
    <t>Kuruppu, K.A.D.D., Zhou, W., Shi, Z., Lin, J. (2024). Review and Analysis of Manufacturing Curved Extrusion Components. In: Mocellin, K., Bouchard, PO., Bigot, R., Balan, T. (eds) Proceedings of the 14th International Conference on the Technology of Plasticity - Current Trends in the Technology of Plasticity. ICTP 2023. Lecture Notes in Mechanical Engineering. Springer, Cham. https://doi.org/10.1007/978-3-031-42093-1_38</t>
  </si>
  <si>
    <t>https://link.springer.com/chapter/10.1007/978-3-031-42093-1_38</t>
  </si>
  <si>
    <t xml:space="preserve">Springer </t>
  </si>
  <si>
    <t>IA Marosan, G Constantin, A Chicea, A Bârsan</t>
  </si>
  <si>
    <t xml:space="preserve">Y Pan, Autonomous Path Planning for Industrial Omnidirectional AGV Based on Mechatronic Engineering Intelligent Optical Sensors, International Journal of Advanced Computer Science and Applications; West Yorkshire Vol. 14, Iss. 5,  (2023). DOI:10.14569/IJACSA.2023.0140582 </t>
  </si>
  <si>
    <t>https://www.proquest.com/docview/2830495312?pq-origsite=gscholar&amp;fromopenview=true&amp;sourcetype=Scholarly%20Journals</t>
  </si>
  <si>
    <t xml:space="preserve">Micu, R (UMF Cluj)] ; Chicea, AL; Bratu, DG ; Nita, P ; Nemeti, G (UMF Cluj); Chicea, R </t>
  </si>
  <si>
    <t>Ultrasound and magnetic resonance imaging in the prenatal diagnosis of open spina bifida</t>
  </si>
  <si>
    <t xml:space="preserve">EB Barros, MLN Lins, LS Yamada, Perfil Epidemiológico de Nascidos vivos no nordeste brasileiro de 2012 a 2021 com Espinha BífidaBrazilian Journal of Implantology and Health Sciences, v. 5 n. 5 , https://doi.org/10.36557/2674-8169.2023v5n5p2709-2718 </t>
  </si>
  <si>
    <t>https://bjihs.emnuvens.com.br/bjihs/article/view/821</t>
  </si>
  <si>
    <t>https://bjihs.emnuvens.com.br/bjihs/indexacao</t>
  </si>
  <si>
    <t>Sayahkarajy, Mostafa and Hartmut Witte. “Soft Medical Robots and Probes: Concise Survey of Current Advances.” DESIGN, CONSTRUCTION, MAINTENANCE (2023): n. pag.DOI: 10.37394/232022.2023.3.26</t>
  </si>
  <si>
    <t>Crossref , EBSCO, Index Copernicus, WorldCat, etc</t>
  </si>
  <si>
    <t>TOTUK, O.H.,Mıstıkoğlu S., Güvenç M.A., Design, Optimization, Simulation, and Implementation of a 3D Printed Soft Robotic Peristaltic Pump,https://doi.org/10.21203/rs.3.rs-3182693/v1,  https://doi.org/10.21203/rs.3.rs-3182693/v1</t>
  </si>
  <si>
    <t>PubMed, Researcher, etc</t>
  </si>
  <si>
    <t>Rezaei, M., Saei, S., Jafari Khouzani, S., ...et all, A. (2023). Emerging Technologies in Medicine: Artificial Intelligence, Robotics, and Medical Automation. Kindle, 3(1), 1–184. Retrieved from https://preferpub.org/index.php/kindle/article/view/Book29</t>
  </si>
  <si>
    <t>https://preferpub.org/index.php/kindle/article/view/Book29</t>
  </si>
  <si>
    <t>Kindle, OpenAIRE, etc</t>
  </si>
  <si>
    <t>Maroşan, A., Constantin, G., Gîrjob, C. E., Chicea, A. L., &amp; Crenganis, M. (2023). Real time data acquisition of low-cost current sensors ACS712-05 and,INA219 using Raspberry PI, DAQCplate and node-red. Proceedings in Manufacturing Systems, 18(2), 51-59.</t>
  </si>
  <si>
    <t>https://www.proquest.com/docview/2902712173?pq-origsite=gscholar&amp;fromopenview=true&amp;sourcetype=Scholarly%20Journals</t>
  </si>
  <si>
    <t>Index Copernicus, ProQuest</t>
  </si>
  <si>
    <t>Bibek Jyoti Dutta and Pankaj Chandna, Process variables optimization for multiple responses in SPIF of titanium using Taguchi-GRA, ngineering Research Express, vol.6, nr.1, 015004, DOI 10.1088/2631-8695/ad0c8b</t>
  </si>
  <si>
    <t>Inspec,, EI Compendex</t>
  </si>
  <si>
    <t>Gavriluţă A. C., Niţu E.L., Gavriluţă A., Anghel D.C, Stănescu N.D., Radu M. C., Crețu Gh., Biris C. Păunoiu V</t>
  </si>
  <si>
    <t>The development of a laboratory system to experiment methods to improve the production flows</t>
  </si>
  <si>
    <t>Hendra Setyo Haryadi, Parwadi Moengin, Pudji Astuti, Designing System Production to Increase Production Capacity Using Simulation Methods, Jurnal Teknik Industri, Vol.13, no.3</t>
  </si>
  <si>
    <t>https://e-journal.trisakti.ac.id/index.php/tekin/article/view/19144</t>
  </si>
  <si>
    <t>Crossref, ISJD, Sinta</t>
  </si>
  <si>
    <t xml:space="preserve">Arifianto, Alfian. Rancangan Bangun Lengan Robot Pemilah Tomat Otomatis Berdasarkan Warna.(Design of the Automatic Tomato Sorting Robot Arm Based on Color). Diss. Universitas 17 Agustus 1945 Surabaya, 2023. Teza de coctorat </t>
  </si>
  <si>
    <t>https://journals.prz.edu.pl/amme/article/view/1186</t>
  </si>
  <si>
    <t>Crossref, WorldCat, etc.</t>
  </si>
  <si>
    <t xml:space="preserve">Mirică Cristian, THE IMPACT OF FINANCIAL MANAGEMENT STRATEGIES ON ANAF'S FIGHT AGAINST TAX EVASION, “Dunărea de Jos” University of Galaţi, Faculty of Economics and Business Administration
DOCTORAL SCHOOL, 2023
</t>
  </si>
  <si>
    <t>http://dspace.ugal.ro/bitstream/handle/123456789/9180/Rezumat_Teza_doctorat_Mirica_Cristian_2023EN.pdf?sequence=2&amp;isAllowed=y</t>
  </si>
  <si>
    <t>google academic - Teză de doctorat</t>
  </si>
  <si>
    <t xml:space="preserve">Jamilu Abdulganiyu, Mohammed Nura Musa, Vincent Amnon Matayo, Alhaji Adamu Saidu, Aminu Adamu Ahmed, Integrating Business Intelligence and Small and Consumption to a Production and Industrialised
Economy, SPECTRUM INTERNATIONAL JOURNAL OF MULTIDISCIPLINARY RESEARCH, VOL. 1, NO. 2, OCTOBER 2023
</t>
  </si>
  <si>
    <t>https://www.researchgate.net/profile/Aminu-Adamu-Ahmed-2/publication/375342067_Integrating_Business_Intelligence_and_Small_and_Medium_Enterprises_for_Shifting_Africa_from_Consumption_to_a_Production_and_Industrialised_Economy/links/654723c3ce88b87031c4f0fe/Integrating-Business-Intelligence-and-Small-and-Medium-Enterprises-for-Shifting-Africa-from-Consumption-to-a-Production-and-Industrialised-Economy.pdf</t>
  </si>
  <si>
    <t>Zenodo, OpenAIRE, Google Scholar, Academia, ORCID, Semantic Scholar, Internet Archieve, Fatcat, Research Square</t>
  </si>
  <si>
    <t xml:space="preserve">Oleksik, M.; Dobrotă, D.; Dimulescu, C.S.; Dumitrașcu, O.; Petrașcu, R. </t>
  </si>
  <si>
    <t xml:space="preserve"> Advanced use of waste rubber and fly ash to ensure an efficient circular economy. Ain Shams Eng. J. 2023; 102264</t>
  </si>
  <si>
    <t>Haigh, R. A Decade Review of Research Trends Using Waste Materials in the Building and Construction Industry: A Pathway towards a Circular Economy. Waste 2023, 1, 935-959. https://doi.org/10.3390/waste1040054</t>
  </si>
  <si>
    <t>https://www.mdpi.com/2813-0391/1/4/54</t>
  </si>
  <si>
    <t>CNKI, CNPIEC, Digital Science, DOAJ, EBSCO, RePEc</t>
  </si>
  <si>
    <t>Oleksik, M., Dobrotă, D., Dimulescu, C.S., Dumitrașcu, O., Petrașcu, R.</t>
  </si>
  <si>
    <t xml:space="preserve"> Advanced use of waste rubber and fly ash to ensure an efficient circular economy, Ain Shams, Engineering Journal, 2023. </t>
  </si>
  <si>
    <t>Dimulescu Sabin Cristinel, Ionela Magdalena Rotaru, STUDY OF COMPOSITE MATERIALS WITH RUBBER MATRICES AND
FA AND PVC ADDITIVES USING FINITE ELEMENT ANALYSIS, Annals of the „Constantin Brancusi” University of Targu Jiu, Engineering Series, No. 4/2023</t>
  </si>
  <si>
    <t>https://www.utgjiu.ro/rev_ing/pdf/2023-4/14_dimulescu-study%20of%20composite%20materials%20with%20rubber%20matrices%20and%20fa%20and%20pvc%20additives%20using%20finite%20element%20analysis.pdf</t>
  </si>
  <si>
    <t xml:space="preserve"> Index Copernicus,  EBSCO, JournalSeek, DOAJ, ULRICHS, SCIPIO</t>
  </si>
  <si>
    <t>Emanoil Muscalu (ULBS), Oana Dumitrascu (ULBS)</t>
  </si>
  <si>
    <t>Determination of Students’ Satisfaction Regarding Extracurricular Activities Conducted in The University. Comparative Study Romania-Germany</t>
  </si>
  <si>
    <t>Teguh Hardi Raharjo, Kemal Budi Mulyono, Ismiyati Ismiyati, Ahmad Jaenudin, HEISQUAL – ACSI – IPA – PGCV: Synthesis of higher education service satisfaction measurements, Asian Management and Business Review, August 2023Asian Management and Business Review
Asian Management and Business Review
 3(2):121-137</t>
  </si>
  <si>
    <t>https://doi.org/10.20885/AMBR.vol3.iss2.art2</t>
  </si>
  <si>
    <t>Avinash P. Manian, The Role of Mordants in Fixation of Natural Dye, Handbook of Natural Colorants, Wiley Online Library, 2023.</t>
  </si>
  <si>
    <t>https://onlinelibrary.wiley.com/doi/abs/10.1002/9781119811749.ch23</t>
  </si>
  <si>
    <t>Google Scholar, Willey</t>
  </si>
  <si>
    <t xml:space="preserve">Batinić, Petar, Čutović, Natalija, Jovanović, Aleksandra,[..], Marković, Tatjana,  Antioxidant, antibacterial and enzyme inhibitory activity of the leaf extracts of Paeonia daurica Andrews wild growing in Serbia,RADaR - Digital Repository of Archived Publications, 2023. </t>
  </si>
  <si>
    <t>https://radar.ibiss.bg.ac.rs/handle/123456789/6680</t>
  </si>
  <si>
    <t xml:space="preserve">Majid Tehrani,  Fatemeh Shahmoradi Ghaheh,  Zahra Jahanbazi, Dyeing silk fabric using anthocyanin pigments extracted in different solvents from Hibiscus sabdariffa L, JOURNAL OF APPAREL AND TEXTILE SCIENCE AND TECHNOLOGY, 2023. </t>
  </si>
  <si>
    <t>https://radar.ibiss.bg.ac.rs/bitstream/id/17022/Batinic_et_al.pdf</t>
  </si>
  <si>
    <t xml:space="preserve">               Google Scholar</t>
  </si>
  <si>
    <t>Donna Maretta Ariestanti, Abdul Mun’im, Joshita Djajadisastra,Riska Amalia Putri Hutami,Redhalfi Fadhila,Richard Johari James, Exploring Rosella (Hibiscus sabdariffa L.) Calyx Extracts as Natural Dye and Antioxidant in Lip Cream Product: Formulation and Evaluation, PHARMACEUTICAL SCIENCES AND RESEARCH, 2023.</t>
  </si>
  <si>
    <t>https://scholarhub.ui.ac.id/psr/vol10/iss3/3/</t>
  </si>
  <si>
    <t>Google Scholar, Doaj, CrossRef</t>
  </si>
  <si>
    <t>Boateng, I. D.,Valorization of Purple Corn Pericarp Using Two-Pot Emerging Thermal and Non-Thermal Extraction Technologies and Evaluation of Product Quality, Structure, and Bioactivity,  University of Missouri-Columbia, Thesis, 2023.</t>
  </si>
  <si>
    <t>https://www.proquest.com/openview/e30177efe37ee4addee8cd10b7ead9e6/1?cbl=18750&amp;diss=y&amp;pq-origsite=gscholar&amp;parentSessionId=90Qh1OnMDDb72tEtT%2Fz%2F%2Br4OC26Erl%2F4%2Ba4zeyH%2FMyU%3D</t>
  </si>
  <si>
    <t>Google Scholar, ProQuest</t>
  </si>
  <si>
    <t>Sneha V. Karadbhajne, Prashant S. Lungade, Pallavi Satao, Rajan Kumar, Effect of osmodehydration on the quality attributes of plum (Prunus domestica), TRENDS iN HORTICULTURE, 2023.</t>
  </si>
  <si>
    <t>https://systems.enpress-publisher.com/index.php/TH/article/view/2945</t>
  </si>
  <si>
    <t>Google Scholar, CrossRef</t>
  </si>
  <si>
    <t>JIA Xi-bei, LI Xiao-xiong, DU Yu, HU Xiao-tong, LIU Yun, MA Yan-jun, Identification and Bioinformatics Analysis of XTH Transcription Factor Family in Lycium ruthenicum, ACTA AGRESTIA SINICA, 2023.</t>
  </si>
  <si>
    <t>https://manu40.magtech.com.cn/Jweb_cdxb/CN/abstract/abstract4471.shtml</t>
  </si>
  <si>
    <t>Rahmawati,Y., Saraswati, S., ROSELLA (Hibiscus sabdariffa) SEBAGAI ALTERNATIF BAHAN PEWARNAHISTOLOGI,JURNAL SAINS DAN TEKNOLOGI LABORATORIUM MEDIK, 2023.</t>
  </si>
  <si>
    <t>https://www.jurnal.akjp2.ac.id/index.php/jstlm/article/view/113</t>
  </si>
  <si>
    <t>Bolling, B., Yuvvei, WU.,Voss, D.,Dorris, M.,  Methods of isolating phenols from phenol-containing media, US11548845B2, 2023.</t>
  </si>
  <si>
    <t>https://patents.google.com/patent/US11548845B2/en</t>
  </si>
  <si>
    <t>Vrinceanu Narcisa (ULBS), Petre Alina Brîndușa (Al.I.Cuza Univ.Iasi), Hristodor Claudia Mihaela,  Popovici Eveline, Pui Aurel (Al.I.Cuza Univ.Iasi),  Coman Diana (ULBS), Tanasa Diana (Al.I.Cuza Univ.Iasi)</t>
  </si>
  <si>
    <t xml:space="preserve">Yago Soares Chaves,
Pedro Henrique Poubel Mendonça da Silveira, Lucas de Mendonça Neuba², [..], Sergio Neves Monteiro, FIBRAS DE BABAÇU (ATTALEA SPECIOSA):
CARACTERIZAÇÃO TERMOQUÍMICA E ASPÉCTO MORFOLÓGICO,Congresso Anual da ABM – Internacional, parte integrante da ABM
Week 7ª edição, Brasil, 2023. </t>
  </si>
  <si>
    <t>https://www.researchgate.net/profile/Yago-Chaves/publication/373675964_FIBRAS_DE_BABACU_ATTALEA_SPECIOSA_CARACTERIZACAO_TERMOQUIMICA_E_ASPECTO_MORFOLOGICO/links/64fbaaf390dfd95af61ff8c7/FIBRAS-DE-BABACU-ATTALEA-SPECIOSA-CARACTERIZACAO-TERMOQUIMICA-E-ASPECTO-MORFOLOGICO.pdf</t>
  </si>
  <si>
    <t>Ade Octavia, Yayuk Striayudha Zulfanetti, Peran Kewirausahaan Perempuan, Kewirausahawan Ramah Lingkungan Dan Orientasi Pasar Sebagai Variabel Yang Mempengaruhi Kinerja Pemasaran UMKM, •	Jurnal Samudra Ekonomi dan Bisnis 14(1):76-87, https://doi.org/10.33059/jseb.v14i1.6302</t>
  </si>
  <si>
    <t>https://ejurnalunsam.id/index.php/jseb/article/view/6302</t>
  </si>
  <si>
    <t>Crossref, Google Scholar, etc.</t>
  </si>
  <si>
    <t>RM Habash, Mahmood K. Ibrahem, Zero Trust Security Model for Enterprise Networks, Iraqi Journal of Information and Communication …, 2023 - ijict.edu.iq, DOI: https://doi.org/10.31987/ijict.6.2.223</t>
  </si>
  <si>
    <t>https://ijict.edu.iq/index.php/ijict/article/view/223</t>
  </si>
  <si>
    <t>Doaj, Iraqi, Google Scholar etc.</t>
  </si>
  <si>
    <t xml:space="preserve">G Kassymkanova, Insurance Professionals' Use of Best Practices for Enterprise Risk Management, </t>
  </si>
  <si>
    <t>https://www.proquest.com/openview/7f238c2734d45ff22cfbd091c0c9ffdd/1?pq-origsite=gscholar&amp;cbl=18750&amp;diss=y</t>
  </si>
  <si>
    <t>teza doctorat</t>
  </si>
  <si>
    <t xml:space="preserve">KD Smith, Unveiling the Secrets of San Diego's FinTech: Insights into Anti-Money Laundering Strategies, </t>
  </si>
  <si>
    <t>https://www.proquest.com/openview/5d1af134981290fbf8d6a393adfc5ade/1?pq-origsite=gscholar&amp;cbl=18750&amp;diss=y</t>
  </si>
  <si>
    <t>I LATIEF,  Rancangan Strategi Mitigasi Risiko Hotel X Dengan Menggunakan Rmp (Risk Managemen Proses)</t>
  </si>
  <si>
    <t>https://dspace.uii.ac.id/bitstream/handle/123456789/42930/18916116.pdf?sequence=1</t>
  </si>
  <si>
    <t>Y Zhang, M Sarantou, C Cruz, An Education Model for Creating Engagement in SDG Action, LEARN X DESIGN CONFERENCE SERIES, nov, 2023</t>
  </si>
  <si>
    <t>https://dl.designresearchsociety.org/cgi/viewcontent.cgi?article=1453&amp;context=learnxdesign</t>
  </si>
  <si>
    <t>Crossref</t>
  </si>
  <si>
    <t>Imane Elmouden, Bouchra Lotfi, SUPPLY CHAIN RISK MANAGEMENT PROCESS: LITERATURE REVIEW,  	 	
Journal of Operations Management, Optimization and Decision Support – JOMODS, https://revues.imist.ma/index.php/JOMODS/article/view/35390</t>
  </si>
  <si>
    <t>https://revues.imist.ma/index.php/JOMODS/article/view/35390</t>
  </si>
  <si>
    <t>Abdifatah Osman, H. (2023). The Role of Humanitarian-Development-Peace Nexus in Addressing Protracted Environmental Conflicts in Somalia: A Critical Review. Journal of International Relations and Policy, 1(1), 1–13. https://doi.org/10.47941/jirp.1361</t>
  </si>
  <si>
    <t>https://carijournals.org/journals/index.php/JIRP/article/view/1361</t>
  </si>
  <si>
    <t>EBSCOhost, Slicit, Crossref, etc.</t>
  </si>
  <si>
    <t>Gunawan, A.A.Drivers, Barriers, and Facilitators of Sustainability in the Indonesian Batik Industry, Nijmegen : Radboud University Press, ISBN 9789493296091</t>
  </si>
  <si>
    <t>https://repository.ubn.ru.nl/handle/2066/292637</t>
  </si>
  <si>
    <t>Hamza I Abdelrahim, The impact of Arabic business culture on trust in open innovation: the case of Jordan, Anglia Ruskin University</t>
  </si>
  <si>
    <t>https://aru.figshare.com/articles/thesis/The_impact_of_Arabic_business_culture_on_trust_in_open_innovation_the_case_of_Jordan/23932122</t>
  </si>
  <si>
    <t>teza de doctorat</t>
  </si>
  <si>
    <t>Elisa Errico. Unlock the Change. A Literature Review on Barriers Limiting SME Sustainable Transition, Sapienza University of Rome</t>
  </si>
  <si>
    <t>https://web.uniroma1.it/disse/sites/default/files/DISSE_Errico_wp8_2023.pdf</t>
  </si>
  <si>
    <t>Mendoza García, P. del C., García Pichardo, S. I., &amp; Uribe Plaza, M. G. (2023). El nivel educativo y su impacto en la responsabilidad social del director de las mypes de Valle de Santiago, Guanajuato.: Director’s educational level and how it impacts corporate social responsibility in MSEs in the Valle de Santiago, Guanajuato. Revista RELAYN- Micro Y Pequeña Empresa En Latinoamérica, 7(1), 7–18. https://doi.org/10.46990/relayn.2023.7.1.981</t>
  </si>
  <si>
    <t>https://doi.org/10.46990/relayn.2023.7.1.981</t>
  </si>
  <si>
    <t>Doaj, Latinfex, Amelica, Ebsco, etc.</t>
  </si>
  <si>
    <t>Solari, Estefanía,  Sebastián,  Mónica Patricia, Martínez Pintos, Micaela, Barreras en la implementación de prácticas sustentables en las Pymes del Gran La Plata, XIX Simposio Regional de Investigación Contable (La Plata, 30 de noviembre de 2023)</t>
  </si>
  <si>
    <t>https://sedici.unlp.edu.ar/handle/10915/162176</t>
  </si>
  <si>
    <t xml:space="preserve"> BASE, GoogleScholar</t>
  </si>
  <si>
    <t>Tomina SaveanuSOCIAL RESPONSIBILITY OF SMALL AND MEDIUM ENTERPRISES IN ROMANIA</t>
  </si>
  <si>
    <t>https://www.researchgate.net/profile/Tomina-Saveanu/publication/370156712_Social_responsibility_of_small_and_medium_enterprises_in_Romania/links/644278556216de13629392e8/Social-responsibility-of-small-and-medium-enterprises-in-Romania.pdf</t>
  </si>
  <si>
    <t>volum ed. In Romania</t>
  </si>
  <si>
    <t>University of Sopron Sándor Lámfalussy Faculty of Economics István Széchenyi Doctoral School of Business and Management Industry 4.0 adoption challenges in Jordanian pharmaceutical manufacturing Theses for doctoral thesis (PhD) Written by: Abdelkarim Walid Alhloul</t>
  </si>
  <si>
    <t>http://doktori.uni-sopron.hu/id/eprint/875/1/Abdelakrim_Thesis-Booklet_PHD568.pdf</t>
  </si>
  <si>
    <t>Tuomala, Vesa (2023), Human Factor, Cyber Hygiene, Cyber-Physical Systems, and Industrial Control Systems in the Context of Cybersecurity</t>
  </si>
  <si>
    <t>https://www.theseus.fi/handle/10024/798348</t>
  </si>
  <si>
    <t>Sandra Long, Optimizing Knowledge Management During Crises, DOI: 10.4018/978-1-6684-5499-2.ch005</t>
  </si>
  <si>
    <t>https://www.igi-global.com/chapter/optimizing-knowledge-management-during-crises/314110</t>
  </si>
  <si>
    <t>Wos, Scopus, Compendex, Eric, Inspec</t>
  </si>
  <si>
    <t>Elkana Timotius, THE PSYCHOLOGICAL AND SOCIAL IMPACTS OF WORKER-MACHINE INTERACTIONS IN THE MANUFACTURING INDUSTRY: A SYSTEMATIC LITERATURE REVIEW, September 2023J TI UNDIP JURNAL TEKNIK INDUSTRI 18(3):140-151
DOI: 10.14710/jati.18.3.140-151</t>
  </si>
  <si>
    <t>https://ejournal.undip.ac.id/index.php/jgti/article/view/51585</t>
  </si>
  <si>
    <t>IPI;
Google Scholar;
Crossref;
DOAJ.</t>
  </si>
  <si>
    <t>M Farley, The impact of field immersion experiences on virtual project teams</t>
  </si>
  <si>
    <t>https://minds.wisconsin.edu/bitstream/handle/1793/84302/Farley,%20Markel.pdf?sequence=1</t>
  </si>
  <si>
    <t xml:space="preserve">Popa Daniela </t>
  </si>
  <si>
    <t>Creşterea performanţei în IMM-uri prin îmbunătăţirea planificării strategice în contextul economiei bazate pe cunoştinţe (Increasing performance in SMEs through improving strategic planning in the context of knowledge based economy). “Lucian Blaga” University Pub. House, Sibiu, Romania, 2015</t>
  </si>
  <si>
    <t>Gina-Maria Moraru, Remus-Constantin Butănescu-Volanin, ISSUES FACING THE ENVIRONMENTAL ENGINEERING FIELD OF STUDY, Annals of the „Constantin Brancusi” University of Targu Jiu, Engineering Series, No. 4/2023</t>
  </si>
  <si>
    <t>https://www.utgjiu.ro/rev_ing/?page=curent</t>
  </si>
  <si>
    <t xml:space="preserve">EBSCO; DOAJ; JournalSeek; Open Academic Journals Index;, Academic Resource Index: Academic Resource Index ResearchBib; CiteFactor; Global Impact Factor: GIF; Scientific Indexing Services. </t>
  </si>
  <si>
    <t>Methods of project management used in small and medium enterprises</t>
  </si>
  <si>
    <t>Ricardo Oliveira, PROJECT-BASED MANAGEMENT MODEL FOR SMALL AND MEDIUM ENTERPRISES, teză de doctorat</t>
  </si>
  <si>
    <t>https://repositorio-uninove-br.translate.goog/xmlui/handle/123456789/1579?_x_tr_sch=http&amp;_x_tr_sl=pt&amp;_x_tr_tl=en&amp;_x_tr_hl=en&amp;_x_tr_pto=sc</t>
  </si>
  <si>
    <t>Google Schoolar, teză de doctorat</t>
  </si>
  <si>
    <t>Mercer, Emmalene Rose, A Comparative Study of Data Visualization Literacy on Marketing Decision-Makers, Grand Canyon University ProQuest Dissertations Publishing,  2023, teză de doctorat</t>
  </si>
  <si>
    <t>https://www.proquest.com/openview/c2d6f18800ccc87d8700531c8d92f597/1?cbl=18750&amp;diss=y&amp;pq-origsite=gscholar&amp;parentSessionId=EcWXa%2B9XxjHAHG98zfAoFAA86Yc0k9W%2FFhjKdN37qoo%3D</t>
  </si>
  <si>
    <t>F Mahiri, A Najoua, SB Souda, N Amini, From Industry 4.0 to Industry 5.0: The Transition to Human Centricity and Collaborative Hybrid Intelligence, Journal of Henan Normal University - Natural Science Edition, 28 April 2023, Vol. 50, No. 4, 84-94 ref. 40</t>
  </si>
  <si>
    <t>https://www.researchgate.net/profile/Fadwa-Mahiri/publication/374701652_From_Industry_40_to_Industry_50_The_Transition_to_Human_Centricity_and_Collaborative_Hybrid_Intelligence/links/652a7fbd2e1ba453041ee9b2/From-Industry-40-to-Industry-50-The-Transition-to-Human-Centricity-and-Collaborative-Hybrid-Intelligence.pdf ; https://www.cabidigitallibrary.org/doi/full/10.5555/20230443449</t>
  </si>
  <si>
    <t xml:space="preserve">CABI Data Base, </t>
  </si>
  <si>
    <t>Minji Kim1,2, Sang Youl Rhee, Trends in prevalence of smoking in South Korea, 2014-2021: A post-hoc secondary analysis, Life Cycle 3:e14
eISSN: 2799-8894</t>
  </si>
  <si>
    <t>https://www.elifecycle.org/archive/view_article?pid=lc-3-0-14</t>
  </si>
  <si>
    <t>Google Scholar, Crossref</t>
  </si>
  <si>
    <t>Nadeem Cassim, Christoffel J. Botha, Doret Botha, Christo Bisschoff, The organisational commitment of academic personnel during WFH within private higher education, South Africa,  SA Journal of Industrial Psychology</t>
  </si>
  <si>
    <t>https://sajip.co.za/index.php/sajip/article/view/2123/3921</t>
  </si>
  <si>
    <t>Google Scholar, ProQuest,..</t>
  </si>
  <si>
    <t>Douglas Chiguvi, Examining the effects of remote work arrangements implemented during the COVID-19 pandemic on the overall wellness of employees at Botswana Unified Revenue Services (BURS), IJRBS</t>
  </si>
  <si>
    <t>https://www.ssbfnet.com/ojs/index.php/ijrbs/article/view/2504</t>
  </si>
  <si>
    <t>A Muhardi, MS Perdhana, THE EFFECT OF PHYSICAL WORK ENVIRONMENT TO EMPLOYEES'PERFORMANCE DURING WORK FROM HOME PROGRAM- Diponegoro Journal of …</t>
  </si>
  <si>
    <t>https://scholar.google.com/scholar?as_ylo=2023&amp;hl=ro&amp;as_sdt=2005&amp;sciodt=0,5&amp;cites=5457511832891058297&amp;scipsc=</t>
  </si>
  <si>
    <t>NN Fauziyah, D Priharsari, BD Setiawan… Optimizing Work-From-Anywhere Employee Productivity: A Comprehensive Investigation of the Most Influential Factors Using Factor Analysis and Analytical Hierarchy Proceedings of the 8th …</t>
  </si>
  <si>
    <t>N Damayanti, F Rabialdy… - … The relationship between workload, organizational support, work environment and employee performance during work from home, dan Aplikasi Bisnis</t>
  </si>
  <si>
    <t>https://scholar.google.com/scholar?start=10&amp;hl=ro&amp;as_sdt=2005&amp;sciodt=0,5&amp;as_ylo=2023&amp;cites=5457511832891058297&amp;scipsc=</t>
  </si>
  <si>
    <t>LK Irazaba Canepa, DC Navarro, El trabajo remoto y el desempeño laboral en los colaboradores de una empresa de servicios</t>
  </si>
  <si>
    <t>R Small, Telecommuting and performance: Impact on performance from working remotely</t>
  </si>
  <si>
    <t>LEM Victoria, ORR Fernando, Impacto del trabajo remoto en el rendimiento laboral de los colaboradores administrativos de los principales retailers durante el COVID-19 en Lima Metropolitana</t>
  </si>
  <si>
    <t>X Yan, J Zhang, SP Gao, Y Guo - IEEE Transactions on Circuits, Beyond the Bandwidth Limit: A Tutorial on Low-Noise Amplifier Circuits for Advanced Systems Based on III-V Process</t>
  </si>
  <si>
    <t>https://scholar.google.com/scholar?as_ylo=2023&amp;hl=ro&amp;as_sdt=2005&amp;sciodt=0,5&amp;cites=8897709574052207616&amp;scipsc=</t>
  </si>
  <si>
    <t>Gscholar, IEEE</t>
  </si>
  <si>
    <t>Razvan Zaharia, Rodica Milena Zaharia &amp; Tudor Edu , Change and Continuity in the Higher Education System, Post-Communist Progress and Stagnation, Book</t>
  </si>
  <si>
    <t>https://link.springer.com/chapter/10.1007/978-3-031-55750-7_11</t>
  </si>
  <si>
    <t>Gscholar, Springer</t>
  </si>
  <si>
    <t>Promoting Higher Education Institutes: Issues and Practices
Butt, Osama Jawaid, thesis</t>
  </si>
  <si>
    <t>https://www.proquest.com/openview/107817697060d4b99ef085c48ec70650/1?pq-origsite=gscholar&amp;cbl=18750&amp;diss=y</t>
  </si>
  <si>
    <t>Gscholar, Proquest</t>
  </si>
  <si>
    <t>] Überlegungen zu einem Bewertungssystem für Forschungsdatenpublikationen unter Einbezug der FAIR-Prinzipien
M Meistring, thesis</t>
  </si>
  <si>
    <t>https://www.proquest.com/openview/9ae60bb1f6c7a229ad1463f167b2be0a/1?pq-origsite=gscholar&amp;cbl=2026366&amp;diss=y</t>
  </si>
  <si>
    <t>An integrated model for examining factors of governance mechanisms that influence performance of higher education institutions in Vietnam, PT NGUYEN , thesis</t>
  </si>
  <si>
    <t>https://scholar.google.com/scholar?as_ylo=2023&amp;hl=ro&amp;as_sdt=2005&amp;sciodt=0,5&amp;cites=17801747741615582179&amp;scipsc=</t>
  </si>
  <si>
    <t>Gscholar</t>
  </si>
  <si>
    <t>An Assessment of Effect of Agricultural Knowledge Management on Fall Army Worm (Faw) Control Technologies Among Smallholder Maize Farmers in Kilungu …
P Aoko</t>
  </si>
  <si>
    <t>https://scholar.google.com/scholar?as_ylo=2023&amp;hl=ro&amp;as_sdt=2005&amp;sciodt=0,5&amp;cites=3266029050958190225&amp;scipsc=</t>
  </si>
  <si>
    <t xml:space="preserve">Выявление характеристик индивидуального человеческого капитала сотрудников организации по данным самоотчетов о профессиональных навыках и …
ВФ Столярова, ТВ Тулупьева, МВ Абрамов… - Информатика и …, </t>
  </si>
  <si>
    <t>https://scholar.google.com/scholar?as_ylo=2023&amp;hl=ro&amp;as_sdt=2005&amp;sciodt=0,5&amp;cites=14082028003172978258&amp;scipsc=</t>
  </si>
  <si>
    <t>Gscholar, Ebsco</t>
  </si>
  <si>
    <t>Mini Prince1,* and P. M. Joe Prathap, A Novel Approach to Design Distribution Preserving Framework for Big Data, Intelligent Automation &amp; Soft Computing</t>
  </si>
  <si>
    <t>https://scholar.google.com/scholar?as_ylo=2022&amp;hl=ro&amp;as_sdt=2005&amp;sciodt=0,5&amp;cites=14082028003172978258&amp;scipsc=</t>
  </si>
  <si>
    <t>Marcelo Falkowski Burkard and Lisandra Manzoni Fontoura, People Management Problems and Practices in Software Development Projects: A Systematic Literature Review, Proceedings of the 25th International Conference on Enterprise Information Systems</t>
  </si>
  <si>
    <t>https://www.scitepress.org/Papers/2023/119853/119853.pdf</t>
  </si>
  <si>
    <t>Drawing a Scientific Map of the Knowledge-Based Businesses Development with a Bibliometric Approach
Saeed Khorsandi Pishkenari, Iranian journal of educational sociology</t>
  </si>
  <si>
    <t>https://assets.researchsquare.com/files/rs-2102453/v1/388157cd-bbb9-4b7e-818a-1a2078f6dec6.pdf?c=1676218474</t>
  </si>
  <si>
    <t>Seyyed Abdul Ali Hosseini Nia, Application of Organizational Information Structural Interpretive Model for Knowledge-Based Development of Human Resources Capabilities, International Journal of Knowledge Processing Studies</t>
  </si>
  <si>
    <t>https://kps.artahub.ir/article_173830.html</t>
  </si>
  <si>
    <t>Електронне урядування в системі оцінки людського капіталу</t>
  </si>
  <si>
    <t>http://journals.knute.edu.ua/scientia-fructuosa/article/view/1932</t>
  </si>
  <si>
    <t>Antonio L. García-Izquierdo1
, David Aguado2, 3
, María Jesús Belizón4
, Ana M. Castaño1, 5, &amp;
Mónica Zuazua1, Human Resources Analytics in Theory and Practice</t>
  </si>
  <si>
    <t>https://www.researchgate.net/profile/Antonio-Garcia-Izquierdo/publication/375519869_Human_Resources_Analytics_in_Theory_and_Practice_We_transferred_the_copyright_for_this_paper_to_Information_Age_Publishing_and_cannot_share_a_copy_In_book_Research_in_Human_Resource_Management_Future_/links/6574193f6610947889af6d51/Human-Resources-Analytics-in-Theory-and-Practice-We-transferred-the-copyright-for-this-paper-to-Information-Age-Publishing-and-cannot-share-a-copy-In-book-Research-in-Human-Resource-Management-Future.pdf</t>
  </si>
  <si>
    <t>Terttiaavini , Development of a Decision Support System on Employee Performance Assessment Using Weighted Performance Indicators Method
, International Journal of Information Engineering and Electronic Business (IJIEEB)</t>
  </si>
  <si>
    <t>https://www.mecs-press.org/ijieeb/ijieeb-v15-n3/v15n3-1.html</t>
  </si>
  <si>
    <t xml:space="preserve">GAL Marius (ULBS), CV KIFOR
</t>
  </si>
  <si>
    <t>Improving the Effectiveness in Research and Developments Department from Automotive Industry</t>
  </si>
  <si>
    <t>[PDF] ucv.edu.pe
Metodología SCRUM y su influencia en la gestión de proyectos multifamiliares de una empresa constructora, Arequipa 2023
H Bernedo Huarca</t>
  </si>
  <si>
    <t>https://scholar.google.com/scholar?oi=bibs&amp;hl=ro&amp;cites=12717242777214842265</t>
  </si>
  <si>
    <t>A Florea, C Kifor, S Nicolaescu, N Cocan, I Receu</t>
  </si>
  <si>
    <t>Intellectual capital evaluation and exploitation model based on Big Data technologies</t>
  </si>
  <si>
    <t>Healthcare Human Resource Professionals' Perceptions of Transformational Leadership Traits on Recruitment
J Picklo</t>
  </si>
  <si>
    <t>https://scholar.google.com/scholar?as_ylo=2023&amp;hl=ro&amp;as_sdt=2005&amp;sciodt=0,5&amp;cites=254680979553760976&amp;scipsc=</t>
  </si>
  <si>
    <t>Enhancing firms' green innovation and sustainable performance through the mediating role of green product innovation and moderating role of employees' …
H Li, Y Li, M Sarfarz, I Ozturk - Economic research-Ekonomska</t>
  </si>
  <si>
    <t>https://scholar.google.com/scholar?as_ylo=2023&amp;hl=ro&amp;as_sdt=2005&amp;sciodt=0,5&amp;cites=6154402120892995007&amp;scipsc=</t>
  </si>
  <si>
    <t>GREEN INNOVATIONS IN HEALTHCARE SECTOR IN NIGERIA.
I Skubis, JE Akahome… - Scientific Papers of …</t>
  </si>
  <si>
    <t>MODELING AND SIMULATION OF ELECTRIC CARS USING MATLAB-SIMULINK
D GRECEA, AH NICOLA, I GRECEA, BI MARC… - Annals of the University</t>
  </si>
  <si>
    <t>https://scholar.google.com/scholar?oi=bibs&amp;hl=ro&amp;cites=11135334262130413892</t>
  </si>
  <si>
    <t xml:space="preserve">Enabling battery circularity: Unlocking circular business model archetypes and collaboration forms in the electric vehicle battery ecosystem
K Chirumalla, I Kulkov, V Parida, E Dahlquist… - … Forecasting and Social </t>
  </si>
  <si>
    <t>Iuga, V., Kifor, C. V.</t>
  </si>
  <si>
    <t>Succesful Lean Manufacturing Implementation: Internal Key Influencing Factors</t>
  </si>
  <si>
    <t>Analiza utjecaja unutarnjih i vanjskih čimbenika na uspješnost implementacije vitke proizvodnje
E Šviglin - 2023</t>
  </si>
  <si>
    <t>https://scholar.google.com/scholar?oi=bibs&amp;hl=ro&amp;cites=9428693392769483905</t>
  </si>
  <si>
    <t>CV Kifor, AM Benedek, I Sîrbu, RF Săvescu</t>
  </si>
  <si>
    <t>Factors Influencing Scientific Activity of University Faculty Members in Peaceful Pre-COVID-19, COVID-19, and War Periods.
A POPOVA, Y LYNDINA, P POPOV - Annales Universitatis Mariae Curie</t>
  </si>
  <si>
    <t>https://digital-library.theiet.org/content/conferences/10.1049/icp.2022.2985</t>
  </si>
  <si>
    <t xml:space="preserve">Implementing lean six sigma in health care: a review of case studies
AK Samanta, A Gurumurthy </t>
  </si>
  <si>
    <t>https://scholar.google.com/scholar?as_ylo=2023&amp;hl=ro&amp;as_sdt=2005&amp;sciodt=0,5&amp;cites=13886292406984801200&amp;scipsc=</t>
  </si>
  <si>
    <t>G Mănescu, C Kifor</t>
  </si>
  <si>
    <t>The Clusters-Collaborative Models of Sustainable Regional Development</t>
  </si>
  <si>
    <t>Dynamic Comparative Evaluation Study of Governance Efficiency in the Beijing-Tianjin-Hebei Region
D Wu, Z Pan, journals.isccac.org</t>
  </si>
  <si>
    <t>https://scholar.google.com/scholar?oi=bibs&amp;hl=ro&amp;cites=10237466848805013447</t>
  </si>
  <si>
    <t>Damian Jurewicz, Magdalena Dąbrowska, Anna Burduk, Daniel Medyński, José Machado, Piotr Motyka &amp; Krzysztof Kolbusz , mplementation of Total Productive Maintenance (TPM) to Improve Overall Equipment Effectiveness (OEE) - Case Study, Intelligent Systems in Production Engineering and Maintenance III
(ISPEM 2023), Springerlink</t>
  </si>
  <si>
    <t>https://link.springer.com/chapter/10.1007/978-3-031-44282-7_42</t>
  </si>
  <si>
    <t>Jakub Husička, LL.M., Lean management a návrh aplikace jeho principů v podnikové praxi</t>
  </si>
  <si>
    <t>https://is.muni.cz/th/g032j/Diplomova_prace_Husicka_Jakub_Verejna_cast.pdf?info=1;zpet=https:%2F%2Ftheses.cz%2Fvyhledavani%2F%3Fsearch%3DPrinciples%26start%3D8</t>
  </si>
  <si>
    <t>Studi Kasus. Sogan Batik RejodaniAnalisis Perbaikan Proses Produksi menggunakan Pendekatan Metode Lean Manufacturing</t>
  </si>
  <si>
    <t>https://scholar.google.com/scholar?as_ylo=2023&amp;hl=ro&amp;as_sdt=2005&amp;sciodt=0,5&amp;cites=10237952360796488060&amp;scipsc=</t>
  </si>
  <si>
    <t xml:space="preserve">Optimalizace procesu vstupní kontroly na oddělení kvality
J Smutný - </t>
  </si>
  <si>
    <t>Fortalecimiento de conceptos lean manufacturing a través del uso de escenarios simulados en Flexsim
AAF Quiroz</t>
  </si>
  <si>
    <t xml:space="preserve">Mejora de control de inventario y planificación de mantenimiento de equipos en cml1, Grupo Intur
AAF Quiroz </t>
  </si>
  <si>
    <t>PRIMENA POKA-YOKE UREĐAJA U INDUSTRIJI NAMEŠTAJA
DM Jekić</t>
  </si>
  <si>
    <t>PRIMENA VSM METODOLOGIJE U PROCESU REKLAMACIJE PROIZVODA
B Tejić</t>
  </si>
  <si>
    <t>Aplicación de metodología Lean-Agile como estrategia organizacional en una compañía de prestación de servicios de beneficio bovino y bufalino en Villavicencio …
A Diaz Gómez</t>
  </si>
  <si>
    <t>ÖZGÜR DEMİRTAŞ,
2 BUKET KAYA, LEAN MANAGEMENT APPROACH FROM CONTEMPORARY MANAGEMENT
APPROACHES, International Journal of Management Studies and Social Science Research</t>
  </si>
  <si>
    <t>https://www.ijmsssr.org/paper/IJMSSSR00862.pdf</t>
  </si>
  <si>
    <t>Gscholar, EBSCO</t>
  </si>
  <si>
    <t>Oprean, C (ULBS)., Kifor C. V.</t>
  </si>
  <si>
    <t>Managementul calitatii, Editura ULBS</t>
  </si>
  <si>
    <t>TERTEREANU, Petrică; ȚÎȚU, Aurel Mihail; OPREAN, Constantin, CONTRIBUTIONS TO THE IMPROVEMENT OF THE QUALITY OF THE NONCONVENTIONAL PROCESSES WITHIN THE NATIONAL INFORMATION SYSTEM OF SIGNALING IN THE CONTEXT OF ROMANIA'S ACCESSION TO THE SCHENGEN AREA., Nonconventional Technologies Review</t>
  </si>
  <si>
    <t>https://openurl.ebsco.com/EPDB%3Agcd%3A15%3A27884319/detailv2?sid=ebsco%3Aplink%3Ascholar&amp;id=ebsco%3Agcd%3A169899984&amp;crl=c</t>
  </si>
  <si>
    <t>RĂILEANU, Daniela, Managementul și aplicarea sistemului calității în construcții în implementarea proiectelor de infrastructură</t>
  </si>
  <si>
    <t>http://repository.utm.md/handle/5014/22124</t>
  </si>
  <si>
    <t>uliana MOISESCU, Eliza Ioana APOSTOL, Petrică TERTEREANU, Aurel Mihail ȚÎȚU, ELABORATING PROCESSES MAP FOR A CENTRAL PUBLIC AUTHORITY, Acta Technica Napocensis</t>
  </si>
  <si>
    <t>https://scholar.google.com/scholar?as_ylo=2023&amp;hl=ro&amp;as_sdt=2005&amp;sciodt=0,5&amp;cites=4293731248257031489&amp;scipsc=</t>
  </si>
  <si>
    <t>C Oprean, CV Kifor, O Suciu, C, Alexe C</t>
  </si>
  <si>
    <t>Managementul integrat al calităţii
Editura Academiei Române</t>
  </si>
  <si>
    <t>Alexandra Iancu, IMPLEMENTATION OF THE INTEGRATED MANAGEMENT SYSTEM (QUALITY-ENVIRONMENT) IN THE CITY HALL OF BUCHAREST, APPLIED RESEARCH IN ADMINISTRATIVE SCIENCES</t>
  </si>
  <si>
    <t>https://www.ceeol.com/search/article-detail?id=1117375</t>
  </si>
  <si>
    <t>Gscholar, Ceeol</t>
  </si>
  <si>
    <t>Managementul integrat al calităţii, Editura Academiei Române</t>
  </si>
  <si>
    <t>Managementul și aplicarea sistemului calității în construcții în implementarea proiectelor de infrastructură
RĂILEANU, Daniela</t>
  </si>
  <si>
    <t>MV Iuga, CV Kifor, LI Rosca</t>
  </si>
  <si>
    <t>Jiang Pan, A Lean Knowledge Management Processes Framework for Improving the Performance of Manufacturing Supply Chain Decisions in an Uncertain World, Decision Support Systems XIII. Decision Support Systems in An Uncertain World: The Contribution of Digital Twins
(ICDSST 2023)</t>
  </si>
  <si>
    <t>https://link.springer.com/chapter/10.1007/978-3-031-32534-2_9</t>
  </si>
  <si>
    <t>Gschola, Springerlink</t>
  </si>
  <si>
    <t>Bengtsson, Maja
Wiklund, Matilda,Development of KPIs for Innovation Platforms A case study of CampX by Volvo Group</t>
  </si>
  <si>
    <t>https://odr.chalmers.se/items/b4ae9be5-2b87-48f5-bc62-54e6aa9a351d</t>
  </si>
  <si>
    <t xml:space="preserve">Muh. Hizbul Muflihin, ualitas Layanan di Perguruan Tinggi: Pengaruh Fasilitas dan Layanan Administrasi Akademik terhadap Layanan Perkuliahan, Jurnal Pendidikan Tambusai, 7(2), 3766–3771. </t>
  </si>
  <si>
    <t>https://scholar.google.com/scholar?as_ylo=2023&amp;hl=ro&amp;as_sdt=2005&amp;sciodt=0,5&amp;cites=13110499196231065473&amp;scipsc=</t>
  </si>
  <si>
    <t>C Oprean, CC Kifor, BE Barbat, A Brasoveanu, RD Fabian</t>
  </si>
  <si>
    <t>Bounded Rationality in Computer Science Curricula.</t>
  </si>
  <si>
    <t>Nirupama Akella, Designing Caring and Inclusive Online Classroom Environments for Non-Traditional Learners: A Case Study Exploring the Andragogical Teaching and Learning Model, Research Anthology on Remote Teaching and Learning and the Future of Online Education</t>
  </si>
  <si>
    <t>https://scholar.google.com/scholar?as_ylo=2023&amp;hl=ro&amp;as_sdt=2005&amp;sciodt=0,5&amp;cites=4483246249925122047&amp;scipsc=</t>
  </si>
  <si>
    <t>Gscholar, IGI</t>
  </si>
  <si>
    <t xml:space="preserve">Model-Making and Its Practices Improve Design Process for Beginners Students of Architecture &amp;Product Desig
R Surwade, KS Khas, A Bangre - Journal for ReAttach Therapy </t>
  </si>
  <si>
    <t>https://scholar.google.com/scholar?oi=bibs&amp;hl=ro&amp;cites=4993577742103004317</t>
  </si>
  <si>
    <t xml:space="preserve">A comprehensive review of Building Energy Management Systems (BEMS) for Improved Efficiency
WN Digitemie, IO Ekemezie - World Journal of Advanced Research </t>
  </si>
  <si>
    <t>Integration Of Smart Techniques For Achieving Energy Efficiency At Campuses
S Chaturvedi, AN Chadda - Journal for ReAttach Therapy</t>
  </si>
  <si>
    <t xml:space="preserve">ФОРМИРОВАНИЕ ПРОЕКТОВ НИР С УЧЕТОМ ИХ КОММЕРЧЕСКОЙ ЦЕННОСТИ И ВЕРОЯТНОСТИ СПРОСА
ИЮ Новоселова </t>
  </si>
  <si>
    <t>ИЮ Новоселова,  ФОРМИРОВАНИЕ ПРОЕКТОВ НИР С УЧЕТОМ ИХ КОММЕРЧЕСКОЙ ЦЕННОСТИ И ВЕРОЯТНОСТИ СПРОСА, Вестник Алтайской академии экономики и права</t>
  </si>
  <si>
    <t>https://scholar.google.ro/scholar?oi=bibs&amp;hl=ro&amp;cites=4993577742103004317</t>
  </si>
  <si>
    <t>L.G. Popescu (ULBS), M. V. Zerbes(ULBS), A.Bucur(ULBS)</t>
  </si>
  <si>
    <t>Mathematical modeling of the degree of interest of students for educational activities in the field of quality and sustainable development</t>
  </si>
  <si>
    <t xml:space="preserve">IN Timoshek, P Timoshek, Lecture Notes in Networks and Systems, </t>
  </si>
  <si>
    <t xml:space="preserve">https://scholar.google.com/scholar?oi=bibs&amp;hl=ro&amp;cites=12956577773948849551
</t>
  </si>
  <si>
    <t>Google Scholar
elibrary.ru</t>
  </si>
  <si>
    <t>M. V. Zerbes (ULBS), L. G. Popescu (ULBS), M Olteanu (Kuka Automanizare Romania S.R.L), A Olteanu (Thyssenkrupp Bilstein S.A)</t>
  </si>
  <si>
    <t>Continuous improvement of the quality management system within an automotion company in Romania</t>
  </si>
  <si>
    <t>Cruzado, Javier Gamboa, et al. "Mejora de procesos y su impacto en la entrega de productos en empresas manufactureras: una exhaustiva revisión sistemática." Apuntes Universitarios 13.2 (2023): 1-26.</t>
  </si>
  <si>
    <t>https://scholar.google.com/scholar?oi=bibs&amp;hl=ro&amp;cites=9413991626605692214</t>
  </si>
  <si>
    <t>Measurement system analysis by attribute, an effective tool to ensure the quality of the visual inspection process within an organization</t>
  </si>
  <si>
    <r>
      <rPr>
        <rFont val="Arial Narrow"/>
        <color theme="1"/>
        <sz val="10.0"/>
      </rPr>
      <t>Ngamsamrong, A., Osothsilp, N., “Defective Rate Reduction from Foreign Matter Contamination in Female Connector Plug Manufacturing Process”, </t>
    </r>
    <r>
      <rPr>
        <rFont val="Arial Narrow"/>
        <i/>
        <color theme="1"/>
        <sz val="10.0"/>
      </rPr>
      <t>sej</t>
    </r>
    <r>
      <rPr>
        <rFont val="Arial Narrow"/>
        <color theme="1"/>
        <sz val="10.0"/>
      </rPr>
      <t>, vol. 18, no. 2, pp. 43–57, May 2023.</t>
    </r>
  </si>
  <si>
    <t>https://ph02.tci-thaijo.org/index.php/sej/article/view/247731</t>
  </si>
  <si>
    <t>TCI</t>
  </si>
  <si>
    <t>Tomescu, M., Rotaru, I.,M., ANALYSIS OF THE VARIATION OF VIBRATIONS THAT APPEAR DURING TURNING WORKS WITH TRANSVERSE FEED DUE TO THE MODIFICATION OF THE FUNCTIONAL GEOMETRY OF THE CUTTING TOOL. Fiability &amp; Durability / Fiabilitate si Durabilitate, Volume 5, Issue 1, p. 45-52, 2023.</t>
  </si>
  <si>
    <t>https://eds.p.ebscohost.com/abstract?site=eds&amp;scope=site&amp;jrnl=1844640X&amp;AN=164695528&amp;h=%2bQz4eDekqp73DE0LbgSseXv212NQsCWWDR4i35bWcrWXWcSXXGbinn6XCaqQa6tnsUKJt19u6HsUo7e7WREabw%3d%3d&amp;crl=c&amp;resultLocal=ErrCrlNoResults&amp;resultNs=Ehost&amp;crlhashurl=login.aspx%3fdirect%3dtrue%26profile%3dehost%26scope%3dsite%26authtype%3dcrawler%26jrnl%3d1844640X%26AN%3d164695528</t>
  </si>
  <si>
    <r>
      <rPr>
        <rFont val="Arial Narrow"/>
        <color theme="1"/>
        <sz val="10.0"/>
      </rPr>
      <t xml:space="preserve">Tomescu, M., Rotaru, I.,M., </t>
    </r>
    <r>
      <rPr>
        <rFont val="Arial Narrow"/>
        <color rgb="FF000000"/>
        <sz val="10.0"/>
      </rPr>
      <t xml:space="preserve">ANALYSIS OF THE VARIATION OF THE ROUGHNESS OBTAINED DURING TURNING WITH TRANSVERSE FEED DUE TO THE MODIFICATION OF THE FUNCTIONAL GEOMETRY OF THE CUTTING TOOL. </t>
    </r>
    <r>
      <rPr>
        <rFont val="Arial Narrow"/>
        <color theme="1"/>
        <sz val="10.0"/>
      </rPr>
      <t>Fiability &amp; Durability / Fiabilitate si Durabilitate, Volume 5, Issue 1, p. 37-44, 2023.</t>
    </r>
  </si>
  <si>
    <t>https://eds.p.ebscohost.com/abstract?site=eds&amp;scope=site&amp;jrnl=1844640X&amp;AN=164695527&amp;h=mKgVbboAwTLYvz3v2FLRJ8k5MNqdXM8jsj49hjuxf0b9l5DG7Nm6H7p4s7xAKm%2fwZ1kE2hJP5JfqSuTICG4nzw%3d%3d&amp;crl=c&amp;resultLocal=ErrCrlNoResults&amp;resultNs=Ehost&amp;crlhashurl=login.aspx%3fdirect%3dtrue%26profile%3dehost%26scope%3dsite%26authtype%3dcrawler%26jrnl%3d1844640X%26AN%3d164695527</t>
  </si>
  <si>
    <t>Tomescu, M., Oleksik, M., PERFORMANCE ANALYSIS OF THE USE OF CUTTING TOOLS WITH OPTIMAL FUNCTIONAL GEOMETRY FROM THE POINT OF VIEW OF THE QUALITY OF THE SURFACES PROCESSED BY CUTTING. Annals of 'Constantin Brancusi' University of Targu-Jiu. Engineering Series / Analele Universităţii Constantin Brâncuşi din Târgu-Jiu. Seria Inginerie, Issue 4, p. 53-63, 2023.</t>
  </si>
  <si>
    <t>https://www.utgjiu.ro/rev_ing/pdf/2023-4/07_tomescu%20madalin-performance.pdf</t>
  </si>
  <si>
    <t>Tomescu, M., Oleksik, M., ANALYSIS OF THE VARIATION OF VIBRATION AMPLITUDE WHEN WORKING WITH INTELLIGENT SHEARING TOOLS. Annals of 'Constantin Brancusi' University of Targu-Jiu. Engineering Series / Analele Universităţii Constantin Brâncuşi din Târgu-Jiu. Seria Inginerie, Issue 4, p. 43-52, 2023.</t>
  </si>
  <si>
    <t>https://www.utgjiu.ro/rev_ing/pdf/2023-4/06_tomescu%20madalin%20-%20analisys.pdf</t>
  </si>
  <si>
    <r>
      <rPr>
        <rFont val="Arial Narrow"/>
        <color rgb="FF000000"/>
        <sz val="10.0"/>
      </rPr>
      <t>SLAVOV, S., &amp; MARKOV, O., A TOOL FOR BALL BURNISHING WITH ABILITY FOR WIRE AND WIRELESS MONITORING OF THE DEFORMING FORCE VALUES. </t>
    </r>
    <r>
      <rPr>
        <rFont val="Arial Narrow"/>
        <i/>
        <color theme="1"/>
        <sz val="10.0"/>
      </rPr>
      <t>ACTA TECHNICA NAPOCENSIS - Series: APPLIED MATHEMATICS, MECHANICS, And ENGINEERING, 65</t>
    </r>
    <r>
      <rPr>
        <rFont val="Arial Narrow"/>
        <color theme="1"/>
        <sz val="10.0"/>
      </rPr>
      <t>(4S), 2023.</t>
    </r>
  </si>
  <si>
    <t>https://atna-mam.utcluj.ro/index.php/Acta/article/view/2066/1646</t>
  </si>
  <si>
    <t>Ding, M., Liu, X., YUE, C., FAN, M., Gu, H., Design, Manufacturing, Management and Control Technology of Cutting Tools for Intelligent Manufacturing Process. JOURNAL OF MECHANICAL ENGINEERING, ISSN 0577-6686, Vol.59 No.19, DOI：10.3901/JME.2023.19.429, p. 429-459, 2023</t>
  </si>
  <si>
    <t xml:space="preserve">https://qikan.cmes.org/jxgcxb/CN/PDF/10.3901/JME.2023.19.429 </t>
  </si>
  <si>
    <t>CrossRef</t>
  </si>
  <si>
    <t>Arora, M., AI-Driven Industry 4.0: Advancing Quality Control through Cutting-Edge Image Processing for Automated Defect Detection. International Journal of Computer Science and Mobile Computing- IJCSMC, Vol.12 Issue.8, August- 2023, ISSN 2320–088X, pg. 16-32, DOI: https://doi.org/10.47760/ijcsmc.2023.v12i08.003, 2023.</t>
  </si>
  <si>
    <t>https://d1wqtxts1xzle7.cloudfront.net/105638848/V12I8202304-libre.pdf?1694347544=&amp;response-content-disposition=inline%3B+filename%3DAI_Driven_Industry_4_0_Advancing_Quality.pdf&amp;Expires=1709673890&amp;Signature=W7c6C~ms7QX1k5blwr73xNjwhSXjp2yx87ln8VvM-8YhZ3WVgI5CKE3IGenDFWO2GJeYs1tBv~PSD6JlF0IZrYQ4Fpglj5TNcoauUvMmdm55ZkCL4wB0BbosVzE3wAelnlQIJOCBydwIPBG7MRFvd570Stp3JiBq1Wt7mkg-XdLQhZGhVoSscDAmutLO2kWi8ViMuc-mMAoDmMOcSql50dD1KmbV7faMWYX-ZAyEfKU6AAvG5-~zXlgSEch1o~V34aneCog2-hilydV9uKdsVZpEC~2ADUo~jskF8qRe2xQ1PeQLoxGUAppvVuj08csNJDsyN7n9KtZx~NDk9IFwkQ__&amp;Key-Pair-Id=APKAJLOHF5GGSLRBV4ZA</t>
  </si>
  <si>
    <t>Patra, G., Roy, R.K., Business Sustainability and Growth in Journey of Industry 4.0-A Case Study. In: Nayyar, A., Naved, M., Rameshwar, R. (eds) New Horizons for Industry 4.0 in Modern Business. Contributions to Environmental Sciences &amp; Innovative Business Technology. Springer, Cham. https://doi.org/10.1007/978-3-031-20443-2_2, 2023.</t>
  </si>
  <si>
    <t>https://link.springer.com/book/10.1007/978-3-031-20443-2#book-header</t>
  </si>
  <si>
    <r>
      <rPr>
        <rFont val="Arial Narrow"/>
        <color rgb="FF000000"/>
        <sz val="10.0"/>
      </rPr>
      <t>Kariuki, S.; Wanjau, E.; Muchiri, I.; Njeri, W.; Muguro, J.; Sasaki, M. Enhancing Palletizing and Shape Drawing Using Image Processing on Parallel and Serial Link Manipulators. </t>
    </r>
    <r>
      <rPr>
        <rFont val="Arial Narrow"/>
        <i/>
        <color theme="1"/>
        <sz val="10.0"/>
      </rPr>
      <t>Preprints</t>
    </r>
    <r>
      <rPr>
        <rFont val="Arial Narrow"/>
        <color theme="1"/>
        <sz val="10.0"/>
      </rPr>
      <t> 2023, 2023111396. D15</t>
    </r>
  </si>
  <si>
    <t>http://E23.dkut.ac.ke:8080/xmlui/bitstream/handle/123456789/8305/preprints202311.1396.v1.pdf?sequence=1&amp;isAllowed=y</t>
  </si>
  <si>
    <t>[HTML] Determinants of improving the relationship between corporate culture and work performance: Illusion or reality of serial mediation of leadership and work …
J Michulek, L Gajanova, A Krizanova… - Frontiers in …, 2023 - frontiersin.org</t>
  </si>
  <si>
    <t>https://www.frontiersin.org/articles/10.3389/fpsyg.2023.1135199/full</t>
  </si>
  <si>
    <t>PubMed Central (PMC), Scopus, Google Scholar, DOAJ, CrossRef, PsycINFO, Semantic Scholar, Ulrich's Periodicals Directory, CLOCKSS, Social Science Citation Index (SSCI), EBSCO, OpenAIRE, Zetoc</t>
  </si>
  <si>
    <t>[HTML] How Do COVID-19 Risk, Life-Safety Risk, Job Insecurity, and Work–Family Conflict Affect Miner Performance? Health-Anxiety and Job-Anxiety Perspectives
W Zhang, D Gu, Y Xie, A Khakimova… - International Journal of …, 2023</t>
  </si>
  <si>
    <t>https://scholar.google.com/scholar?cites=5457511832891058297&amp;as_sdt=2005&amp;sciodt=0,5&amp;hl=ro</t>
  </si>
  <si>
    <t>Indexing &amp; Abstracting Services
AGRIS
BibCnrs
CABI
CAB Direct
CAPlus / SciFinder
CNKI
CNPIEC
Digital Science
EBSCO</t>
  </si>
  <si>
    <t>[HTML] Examining the effects of remote work arrangements implemented during the COVID-19 pandemic on the overall wellness of employees at Botswana Unified …
D Chiguvi, K Bakani, T Sepepe - … INTERNATIONAL JOURNAL OF RESEARCH IN BUSINESS AND SOCIAL SCIENCE (2147- 4478), 2023, 2023</t>
  </si>
  <si>
    <t>Index Copernicus (Journals Master List), ProQuest, ProQuest(ABI/INFORM), ProQuest Business Premium Collection,ProQuest’s IBSS Database, ProQuest’s Social Sciences Database, EBSCO, W.H.O. Database, Core, Ulrich’s, Mendeley, RePEc, EconPapers, IDEAS, BASE, EDIRC, Dimensions, Scope Database, Scilit, Sherpa Romeo, Google Scholar,  Semantic Scholar, JTOCs, DRJI, EconBiz, WorldCat, EuroPub, Asos Index, OAI, OAJI,  Rice Bibliography, AqEcon, and WAICENTO.</t>
  </si>
  <si>
    <t xml:space="preserve">The relationship between workload, organizational support, work environment and employee performance during work from home
N Damayanti, F Rabialdy… -Jurnal Manajemen Strategi dan Aplikasi Bisnis, 2023 </t>
  </si>
  <si>
    <t>https://ejournal.imperiuminstitute.org/index.php/JMSAB/article/view/896</t>
  </si>
  <si>
    <t>https://ejournal.imperiuminstitute.org/index.php/JMSAB/indexing</t>
  </si>
  <si>
    <t>El trabajo remoto y el desempeño laboral en los colaboradores de una empresa de servicios
LK Irazaba Canepa, DC Navarro Valenzuela - 2023 - repositorio.ucv.edu.pe</t>
  </si>
  <si>
    <t>https://repositorio.ucv.edu.pe/handle/20.500.12692/124460</t>
  </si>
  <si>
    <t>Institutional Repository</t>
  </si>
  <si>
    <t>[PDF] Telecommuting and performance: Impact on performance from working remotely
R Small - 2023 - comp.mga.edu</t>
  </si>
  <si>
    <t>https://comp.mga.edu/static/media/doctoralpapers/2023_Small_0516152350.pdf</t>
  </si>
  <si>
    <t>Doctoral Thesis</t>
  </si>
  <si>
    <t>[HTML] What are universities pursuing? A review of the Quacquarelli Symonds world university rankings of Taiwanese universities (2021–2023)
RJ Wang, YH Shih - Frontiers in Education, 2023 - frontiersin.org</t>
  </si>
  <si>
    <t>https://www.frontiersin.org/articles/10.3389/feduc.2023.1185817/full</t>
  </si>
  <si>
    <t>Impact of the Global University Ranking Systems on Higher Education in Ghana With Special Focus on the Role of Academic Libraries
S Owusu-Ansah, AB Donkor… - Impact of Global University …, 2023 - igi-global.com</t>
  </si>
  <si>
    <t>https://www.igi-global.com/chapter/impact-of-the-global-university-ranking-systems-on-higher-education-in-ghana-with-special-focus-on-the-role-of-academic-libraries/324320</t>
  </si>
  <si>
    <t>Book</t>
  </si>
  <si>
    <t>Promoting Higher Education Institutes: Issues and Practices
OJ Butt - 2023 - search.proquest.com</t>
  </si>
  <si>
    <t>[CARTE] Überlegungen zu einem Bewertungssystem für Forschungsdatenpublikationen unter Einbezug der FAIR-Prinzipien</t>
  </si>
  <si>
    <t>Book, ISSN 14 38-76 62</t>
  </si>
  <si>
    <t>Investigating research in human resource analytics through the lens of systematic literature review
Article type: Research Article
Authors: Chhetri, Shanti Devia; b | Kumar, Deveshc; * | Ranabhat, Deepesha; b, : Human Systems Management,</t>
  </si>
  <si>
    <t>https://content.iospress.com/articles/human-systems-management/hsm230004</t>
  </si>
  <si>
    <t>ISSN 0167-2533 (P)
ISSN 1875-8703 €</t>
  </si>
  <si>
    <t>A Survey on Virtual Working Effects on Human Health and Their Productivity.
Source: Asian Journal of Engineering, Sciences &amp; Technology (AJEST) . Jun2022, Vol. 12 Issue 1, p6-11. 6p.
Author(s): Akhlaq, Muhammad Omar; Chipa, Hafiz Muhammad Ali; Ali, Agha Yasir</t>
  </si>
  <si>
    <t>https://web.s.ebscohost.com/abstract?direct=true&amp;profile=ehost&amp;scope=site&amp;authtype=crawler&amp;jrnl=20771142&amp;AN=163060127&amp;h=1TcSxABIjsufvZVYCKNA%2bHemBGHsONrrJVXbJrOGzXtF8g6%2f%2bm1ZzFxwXFOm8AYfe6IeW9MrmIzeIohfihO1IQ%3d%3d&amp;crl=c&amp;resultNs=AdminWebAuth&amp;resultLocal=ErrCrlNotAuth&amp;crlhashurl=login.aspx%3fdirect%3dtrue%26profile%3dehost%26scope%3dsite%26authtype%3dcrawler%26jrnl%3d20771142%26AN%3d163060127</t>
  </si>
  <si>
    <t xml:space="preserve">EBSCO's databases </t>
  </si>
  <si>
    <t xml:space="preserve">SĂVESCU, R (ULBS).; Kifor, Ș (ULBS).; Dănuț, R (ULBS).; Rusu, R (AFT). </t>
  </si>
  <si>
    <t>[HTML] Electricity Market Dynamics and Regional Interdependence in the Face of Pandemic Restrictions and the Russian–Ukrainian Conflict
A Szeberényi, F Bakó - Energies, 2023</t>
  </si>
  <si>
    <t>https://scholar.google.com/scholar?as_ylo=2023&amp;hl=ro&amp;as_sdt=2005&amp;sciodt=0,5&amp;cites=5004015528187865591&amp;scipsc=</t>
  </si>
  <si>
    <t>RePEc, Inspec, CAPlus / SciFinder, and other databases.</t>
  </si>
  <si>
    <t>You can’t use an old map to explore new worlds”: A systematic literature review on challenges leaders faced due to telework during COVID-19</t>
  </si>
  <si>
    <t>https://skemman.is/handle/1946/43961</t>
  </si>
  <si>
    <t>Roxana Săvescu (ULBS),
Ana Maria Stoe (Faurecia) and
Mihaela Rotaru (ULBS)</t>
  </si>
  <si>
    <t>Stress among working college students case study: Faculty of Engineering Sibiu, Romania</t>
  </si>
  <si>
    <t>Surface Pressure: Lived Experiences of Eldest Siblings who are Employed College Students
R Sumicad, BZ Jumalon… - Journal of Gender …, 2023 - al-kindipublisher.com</t>
  </si>
  <si>
    <t>https://al-kindipublisher.com/index.php/jgcs/article/view/6108</t>
  </si>
  <si>
    <t>https://al-kindipublisher.com/index.php/jgcs/indexing</t>
  </si>
  <si>
    <t xml:space="preserve">Claudiu Vasile Kifor, Ana Maria Benedek, Ioan Sîrbu &amp; Roxana Florența Săvescu </t>
  </si>
  <si>
    <t>Czynniki wpływające na aktywność naukową nauczycieli uczelni w czasach pokojowych przed COVID-19, podczas COVID-19 i w czasie wojny
Anastasiia Popova, Yevheniia Lyndina, Pylyp Popov</t>
  </si>
  <si>
    <t>https://journals.umcs.pl/j/article/view/15777</t>
  </si>
  <si>
    <t>https://journals.umcs.pl/j/about/editorialPolicies#custom-3</t>
  </si>
  <si>
    <t>Factors Influencing Scientific Activity of University Faculty Members in Peaceful Pre-COVID-19, COVID-19, and War Periods
Author(s): Anastasiia Popova, Yevheniia Lyndina, PYLYP POPOV</t>
  </si>
  <si>
    <t>https://www.ceeol.com/search/article-detail?id=1220580</t>
  </si>
  <si>
    <r>
      <rPr>
        <rFont val="Arial Narrow"/>
        <color theme="1"/>
        <sz val="10.0"/>
      </rPr>
      <t xml:space="preserve"> Studies of the Solar Radiations' Influence About Geomembranes Used in Ecological Landfill. </t>
    </r>
    <r>
      <rPr>
        <rFont val="Arial Narrow"/>
        <i/>
        <color theme="1"/>
        <sz val="10.0"/>
      </rPr>
      <t>Acta Universitatis Cibiniensis. Technical Series</t>
    </r>
    <r>
      <rPr>
        <rFont val="Arial Narrow"/>
        <color theme="1"/>
        <sz val="10.0"/>
      </rPr>
      <t xml:space="preserve">, </t>
    </r>
    <r>
      <rPr>
        <rFont val="Arial Narrow"/>
        <i/>
        <color theme="1"/>
        <sz val="10.0"/>
      </rPr>
      <t>69</t>
    </r>
    <r>
      <rPr>
        <rFont val="Arial Narrow"/>
        <color theme="1"/>
        <sz val="10.0"/>
      </rPr>
      <t>(1), 148-154.</t>
    </r>
  </si>
  <si>
    <t>Cioca, M. (ULBS), Cioca, L.-I. (ULBS)</t>
  </si>
  <si>
    <t>Decision support systems used in disaster management</t>
  </si>
  <si>
    <t>Filip. F. et al, Infrastructure and Complex Systems Automation, First Online: 17 June 2023, pp 617–640</t>
  </si>
  <si>
    <t>https://link.springer.com/chapter/10.1007/978-3-030-96729-1_27</t>
  </si>
  <si>
    <t>SPRINGER, Google Scholar</t>
  </si>
  <si>
    <t>Samaneh Madanian, Reem Abubakr Abbas, Tony Norris, Dave Parry, Mobile Technologies in Disaster Healthcare: Technology and Operational Aspects in  Research Anthology on Managing Crisis and Risk Communications, Copyright: © 2023 |Pages: 20, DOI: 10.4018/978-1-6684-7145-6.ch012</t>
  </si>
  <si>
    <t>https://www.igi-global.com/chapter/mobile-technologies-in-disaster-healthcare/309897</t>
  </si>
  <si>
    <t>Google Scolar</t>
  </si>
  <si>
    <t>Cioca. M (ULBS), Cioca L.I. (ULBS, Buraga, S.C (UAIC)</t>
  </si>
  <si>
    <t>SMS Disaster Alert System Programming</t>
  </si>
  <si>
    <t>Mohan Kumar Bera, Flood emergency management in a municipality in the Czech Republic: A study of local strategies and leadership, Natural Hazards Research
Volume 3, Issue 3, September 2023, Pages 385-394</t>
  </si>
  <si>
    <t>https://www.sciencedirect.com/science/article/pii/S2666592123000653#bib16</t>
  </si>
  <si>
    <t>Elsevier, Google Scolar</t>
  </si>
  <si>
    <t>Ilie Gligorea (AFT), Marius Cioca (ULBS), Romana Oancea (AFT), Andra-Teodora Gorski (ULBS), Hortensia Gorski (AFT), Paul Tudorache (AFT)</t>
  </si>
  <si>
    <t>Rulinawaty Rulinawaty et al., Massive Open Online Courses (MOOCs) as Catalysts of Change in Education During Unprecedented Times: A Narrative Review, Jurnal Penelitian Pendidikan IPA (JPPIPA), Vol. 9 No. SpecialIssue (2023): UNRAM journals and research based on science education, science appl</t>
  </si>
  <si>
    <t>https://garuda.kemdikbud.go.id/documents/detail/3932955</t>
  </si>
  <si>
    <t>Fenny Indriastuti, Abdul Sahib, Rini Nuraini, DEVELOPMENT OF AN ADAPTIVE HIGHER EDUCATION MANAGEMENT MODEL WITH ARTIFICIAL INTELLIGENCE, Jurnal Manajement Pendidikan, e-ISSN 2549-9106</t>
  </si>
  <si>
    <t>https://ejournal.uinmybatusangkar.ac.id/ojs/index.php/alfikrah/article/view/12121</t>
  </si>
  <si>
    <t>M Cioca (ULBS), L-I Cioca (ULBS), S-C Buraga (UAIC)</t>
  </si>
  <si>
    <t>Spatial [Elements] decision support system used in disaster management</t>
  </si>
  <si>
    <t>Stephanie Allen, A hybrid inverse optimization-stochastic programming framework for network protection, Journal of the Operational Research Society , 2023</t>
  </si>
  <si>
    <t>https://www.tandfonline.com/doi/full/10.1080/01605682.2023.2247008</t>
  </si>
  <si>
    <t>Marius Cioca (ULBS), Ioan Cristian Schuszter (CERN)</t>
  </si>
  <si>
    <t>A system for sustainable usage of computing resources leveraging deep learning predictions</t>
  </si>
  <si>
    <t>Shibo Yang, An operation site security detection method based on point cloud data and improved YOLO algorithm under the architecture of the power internet of things, The Journal of Engineering, https://doi.org/10.1049/tje2.12344</t>
  </si>
  <si>
    <t>https://ietresearch.onlinelibrary.wiley.com/doi/full/10.1049/tje2.12344</t>
  </si>
  <si>
    <t>An implementation of a fault-tolerant database system using the actor model</t>
  </si>
  <si>
    <t>Satish Narayana Srirama, CANTO: An actor model-based distributed fog framework supporting neural networks training in IoT applications, Computer Communications
Volume 199, 1 February 2023, Pages 1-9</t>
  </si>
  <si>
    <t>https://www.sciencedirect.com/science/article/pii/S0140366422004571</t>
  </si>
  <si>
    <t>ELSEVIER, Google Scholar</t>
  </si>
  <si>
    <t>L D Beju1 and Z Milojević (University of Novi Sad, Faculty of Technical Sciences)</t>
  </si>
  <si>
    <t>How can we do our best, in manufacturing processes? IOP Conf. Series: Materials Science and Engineering 393 (2018) 012116 doi:10.1088/1757-899X/393/1/012116</t>
  </si>
  <si>
    <t>Ху, Цин. "Оптимизация ключевых процессов на предприятии пищевой промышленности на основе концепции бережливого производства: магистерская диссертация по направлению подготовки: 38.04. 02-Менеджмент." (2023).</t>
  </si>
  <si>
    <t>Beju: How can we do our best, in manufacturing processes? - Google Scholar</t>
  </si>
  <si>
    <r>
      <rPr>
        <rFont val="Arial Narrow"/>
        <color theme="1"/>
        <sz val="10.0"/>
      </rPr>
      <t>Livia Dana Beju</t>
    </r>
    <r>
      <rPr>
        <rFont val="Arial Narrow"/>
        <color rgb="FF000000"/>
        <sz val="10.0"/>
        <vertAlign val="superscript"/>
      </rPr>
      <t>1*</t>
    </r>
    <r>
      <rPr>
        <rFont val="Arial Narrow"/>
        <color rgb="FF000000"/>
        <sz val="10.0"/>
      </rPr>
      <t> and Stanislaw Legutko</t>
    </r>
    <r>
      <rPr>
        <rFont val="Arial Narrow"/>
        <color rgb="FF000000"/>
        <sz val="10.0"/>
        <vertAlign val="superscript"/>
      </rPr>
      <t>2</t>
    </r>
    <r>
      <rPr>
        <rFont val="Arial Narrow"/>
        <color theme="1"/>
        <sz val="10.0"/>
      </rPr>
      <t xml:space="preserve"> (Poznan University of Technology, Institute of Mechanical Technology, Poznan, Poland)</t>
    </r>
  </si>
  <si>
    <t>Kanban Systems in the Context of the Enterprise Systems,MATEC Web Conf.
Volume 343, 2021
10th International Conference on Manufacturing Science and Education – MSE 2021, 	https://doi.org/10.1051/matecconf/202134303001</t>
  </si>
  <si>
    <t>Implementação de um sistema kanban num projeto de montagem, BAS Fernandes - 2023 - repositorium.sdum.uminho.pt</t>
  </si>
  <si>
    <r>
      <rPr>
        <rFont val="Arial Narrow"/>
        <color rgb="FF000000"/>
        <sz val="10.0"/>
      </rPr>
      <t>Fernandes, B. A. S. (2023). </t>
    </r>
    <r>
      <rPr>
        <rFont val="Arial Narrow"/>
        <i/>
        <color rgb="FF222222"/>
        <sz val="10.0"/>
      </rPr>
      <t>Implementação de um sistema kanban num projeto de montagem</t>
    </r>
    <r>
      <rPr>
        <rFont val="Arial Narrow"/>
        <color rgb="FF222222"/>
        <sz val="10.0"/>
      </rPr>
      <t> (Doctoral dissertation).</t>
    </r>
  </si>
  <si>
    <t>https://scholar.google.com/scholar?oi=bibs&amp;hl=en&amp;cites=16997845847943342618&amp;as_sdt=5&amp;as_ylo=2023&amp;as_yhi=2023</t>
  </si>
  <si>
    <t>Borza Sorin-Ioan, Beju Livia Dana, Brindasu Paul Dan</t>
  </si>
  <si>
    <t>Modern methods of education, research and design used in mechanical engineering</t>
  </si>
  <si>
    <r>
      <rPr>
        <rFont val="Arial Narrow"/>
        <color theme="1"/>
        <sz val="10.0"/>
      </rPr>
      <t>Zhen, Honglei, et al. "Effect of 3D Printing Process Parameters and Heat Treatment Conditions on the Mechanical Properties and Microstructure of PEEK Parts." </t>
    </r>
    <r>
      <rPr>
        <rFont val="Arial Narrow"/>
        <i/>
        <color rgb="FF222222"/>
        <sz val="10.0"/>
      </rPr>
      <t>Polymers</t>
    </r>
    <r>
      <rPr>
        <rFont val="Arial Narrow"/>
        <color rgb="FF222222"/>
        <sz val="10.0"/>
      </rPr>
      <t> 15.9 (2023): 2209.</t>
    </r>
  </si>
  <si>
    <t>Polymers | Free Full-Text | Effect of 3D Printing Process Parameters and Heat Treatment Conditions on the Mechanical Properties and Microstructure of PEEK Parts (mdpi.com)</t>
  </si>
  <si>
    <t>Sorin-Ioan: Modern methods of education, research... - Google Scholar</t>
  </si>
  <si>
    <r>
      <rPr>
        <rFont val="Arial Narrow"/>
        <color theme="1"/>
        <sz val="10.0"/>
      </rPr>
      <t>Gong, Ke, et al. "Hybrid manufacturing of mixed‐material bilayer parts via injection molding and material extrusion three‐dimensional printing." </t>
    </r>
    <r>
      <rPr>
        <rFont val="Arial Narrow"/>
        <i/>
        <color rgb="FF222222"/>
        <sz val="10.0"/>
      </rPr>
      <t>Journal of Applied Polymer Science</t>
    </r>
    <r>
      <rPr>
        <rFont val="Arial Narrow"/>
        <color rgb="FF222222"/>
        <sz val="10.0"/>
      </rPr>
      <t> 140.25 (2023): e53972.</t>
    </r>
  </si>
  <si>
    <t>Journal of Applied Polymer Science | Wiley Online Library</t>
  </si>
  <si>
    <r>
      <rPr>
        <rFont val="Arial Narrow"/>
        <color theme="1"/>
        <sz val="10.0"/>
      </rPr>
      <t>Singhal, Ishant, et al. "Toward an Improved Understanding for Design of Material Extrusion Additive Manufacturing Process‐Based 3D Printers—a Computational Study." </t>
    </r>
    <r>
      <rPr>
        <rFont val="Arial Narrow"/>
        <i/>
        <color rgb="FF222222"/>
        <sz val="10.0"/>
      </rPr>
      <t>Advanced Theory and Simulations</t>
    </r>
    <r>
      <rPr>
        <rFont val="Arial Narrow"/>
        <color rgb="FF222222"/>
        <sz val="10.0"/>
      </rPr>
      <t> 6.1 (2023): 2200704.</t>
    </r>
  </si>
  <si>
    <t>https://onlinelibrary.wiley.com/doi/abs/10.1002/adts.202200704</t>
  </si>
  <si>
    <r>
      <rPr>
        <rFont val="Arial Narrow"/>
        <color theme="1"/>
        <sz val="10.0"/>
      </rPr>
      <t>Amlie, Erik, et al. "Sensing In-Situ temperatures by coordinates in Fused Filament Fabrication for identifying interlayer anisotropic mechanical properties and enabling post-FEM analysis." </t>
    </r>
    <r>
      <rPr>
        <rFont val="Arial Narrow"/>
        <i/>
        <color rgb="FF222222"/>
        <sz val="10.0"/>
      </rPr>
      <t>Proceedings of the Design Society</t>
    </r>
    <r>
      <rPr>
        <rFont val="Arial Narrow"/>
        <color rgb="FF222222"/>
        <sz val="10.0"/>
      </rPr>
      <t> 3 (2023): 3135-3144.</t>
    </r>
  </si>
  <si>
    <t>SENSING IN-SITU TEMPERATURES BY COORDINATES IN FUSED FILAMENT FABRICATION FOR IDENTIFYING INTERLAYER ANISOTROPIC MECHANICAL PROPERTIES AND ENABLING POST-FEM ANALYSIS | Proceedings of the Design Society | Cambridge Core</t>
  </si>
  <si>
    <t>Desnica, Eleonora, et al. "The Importance of New Technologies in The Education and Professional Development of Future Engineers in The Technical Profession."</t>
  </si>
  <si>
    <t>(13) (PDF) The Importance of New Technologies in The Education and Professional Development of Future Engineers in The Technical Profession (researchgate.net)</t>
  </si>
  <si>
    <t>Mihaila-Lica, G., Fleischer, W.H., Palea, L.</t>
  </si>
  <si>
    <t>Considerations on Recruiting and Retaining University Teachers.</t>
  </si>
  <si>
    <t>Mahoko, N., Navigating the Challenges of Lecturers’ Retention in South
Africa: Perspective of a Rurally Located University, Interdisciplinary Journal of Rural and Community Studies</t>
  </si>
  <si>
    <t>https://pubs.ufs.ac.za/index.php/ijrcs/article/view/936</t>
  </si>
  <si>
    <t>V Oleksik, A Pascu, C Deac, R Fleaca, M Roman</t>
  </si>
  <si>
    <t>Numerical simulation of the incremental forming process for knee implants</t>
  </si>
  <si>
    <t>Popp MO., Studii și cercetări privind îmbunătățirea preciziei dimensionale și de formă a pieselor prelucrate prin deformare incrementală, Teza dse doctorat</t>
  </si>
  <si>
    <t>Nguyen TV, Vo T, Phan NT, Dinh LCK. Reviews on the Effect of Single Point Incremental Forming (SPIF) Process Parameters on Surface Roughness of Aluminum Alloy AA1050-H14 Sheet Metal. AMM 2023;914:151–62. https://doi.org/10.4028/p-i4970l.</t>
  </si>
  <si>
    <t>EBSCO, Inspec, WorldCat, etc</t>
  </si>
  <si>
    <t>Phan NT, Vo T, Dinh LCK, Trinh TT, Dang VH. Determination of the Optimized Parameter of the Processing of SUS 304 Sheet Material to the Formability by SPIF Technology. AMM 2023;914:163–72. https://doi.org/10.4028/p-8068jr.</t>
  </si>
  <si>
    <t>Manish Oraon, Ranjeet Prasad, Vinay Sharma, Investigating the surface roughness of calamine brass in incremental sheet metal forming, Materials Today: Proceedings, https://doi.org/10.1016/j.matpr.2023.10.032</t>
  </si>
  <si>
    <t>Scence Direct</t>
  </si>
  <si>
    <t>N ThanhDat, KV Claudiu, R Zobia, Lucian Lobont (ULBS)</t>
  </si>
  <si>
    <t>Knowledge portal for Six Sigma DMAIC process</t>
  </si>
  <si>
    <t>Niamat Ullah Ibne Hossain, Alexandr M. Sokolov, Scott Karbon,
Brian Merrill, Using Advanced Metering Infrastructure Data to Detect and
Improve Customer Voltage Quality Issues , Proceedings of the International Conference on Industrial Engineering and Operations Management
Manila, Philippines, March 7-9, 2023</t>
  </si>
  <si>
    <t>https://ieomsociety.org/proceedings/2023manila/13.pdf</t>
  </si>
  <si>
    <t>IEOM Index Publication Database Library</t>
  </si>
  <si>
    <t>Affiyanti, M. N., Aribowo, B., Parwati, N., &amp; Purwandari, A. T. (2023, August). Improve the quality of Korean garlic cheese bread using the Six Sigma method. In AIP Conference Proceedings (Vol. 2485, No. 1). AIP Publishing.</t>
  </si>
  <si>
    <t>https://pubs.aip.org/aip/acp/article/2485/1/120013/2906012</t>
  </si>
  <si>
    <t>ADS</t>
  </si>
  <si>
    <t>Battas, I., Behja, H., &amp; Deshayes, L. (2023). 'DMAICS 2 CRISP DM'approach for improving and optimising the performance of an industrial mining production process. International Journal of Six Sigma and Competitive Advantage, 14(4), 408-436.</t>
  </si>
  <si>
    <t xml:space="preserve">https://www.inderscienceonline.com/doi/abs/10.1504/IJSSCA.2023.134444 </t>
  </si>
  <si>
    <t>Inderscience</t>
  </si>
  <si>
    <t>M Zerbes, C Kifor, LG Popescu, L Lobont</t>
  </si>
  <si>
    <t>Improving quality of education. Case Study at Engineering Faculty of the Lucian Blaga University Sibiu</t>
  </si>
  <si>
    <t>Zerbes, M. V., Baron, D., Roman, R., Popescu, L. G., &amp; Olteanu, A. (2023). GOOD PRACTICES IN IMPROVING THE PROMOTING PROCESS OF FRENCH LANGUAGE PROGRAMS. In INTED2023 Proceedings (pp. 7532-7540). IATED.</t>
  </si>
  <si>
    <t xml:space="preserve">https://library.iated.org/view/ZERBES2023GOO </t>
  </si>
  <si>
    <t>Iateddigitallibrary</t>
  </si>
  <si>
    <t>“Potential resistance of employees to change in the transition to Industry 5.0”. MATEC Web Conference, 2021, 343: 07005. https://doi.org/10.1051/MATECCONF/202134307005</t>
  </si>
  <si>
    <t>Fadwa Mahiri, Souad Ben Souda, Aouatif Najoua, Najia Amini - From Industry 4.0 to Industry 5.0: The Transition to Human Centricity and Collaborative Hybrid Intelligence, Journal of Hunan University Natural Sciences 50(4)
October 202350(4)
DOI:10.55463/issn.1674-2974.50.4.8</t>
  </si>
  <si>
    <t>http://jonuns.com/index.php/journal/article/view/1347</t>
  </si>
  <si>
    <t>Google Scholar, Semantic Scholar</t>
  </si>
  <si>
    <t>“Potential resistance of employees to change in the transition to Industry 5.0”. MATEC Web Conference, 2021, 343: 07005.</t>
  </si>
  <si>
    <t xml:space="preserve">Mercer, Emmalene Rose - A Comparative Study of Data Visualization Literacy on Marketing Decision-Makers, Grand Canyon University, Phoenix, Arizona, December 21, 2023
</t>
  </si>
  <si>
    <t>https://www.proquest.com/openview/c2d6f18800ccc87d8700531c8d92f597/1?pq-origsite=gscholar&amp;cbl=18750&amp;diss=y</t>
  </si>
  <si>
    <t>ProQuest, Google Scholar</t>
  </si>
  <si>
    <t>Popescu Liliana-Georgeta (ULBS), Moraru Gina-Maria (ULBS)</t>
  </si>
  <si>
    <t>"FOREIGN STUDENTS A CHALLENGE. CASE STUDY AT "LUCIAN BLAGA" UNIVERSITY OF SIBIU, ROMANIA", INTED2016 Proceedings, pp. 7636-7644
ISBN: 978-84-608-5617-7
ISSN: 2340-1079
doi: 10.21125/inted.2016.0802</t>
  </si>
  <si>
    <t>Popescu L.G., Zerbes M.V., MODELLING THE PROCESS OF IMPROVING THE ACTIVITY OF THE OFFICE OF DOCTORAL STUDIES IN UNIVERSITY, EDULEARN23 Proceedings, pp. 5155-5162, ISBN: 978-84-09-52151-7, ISSN: 2340-1117</t>
  </si>
  <si>
    <t>Google Scholar, IATED Digital Library</t>
  </si>
  <si>
    <t>"Methods of project management used in small and medium enterprises", 2019. IOP Conference Series: Materials Science and Engineering, 568(1), 012029. 
https://doi.org/10.1088/1757-899X/568/1/012029</t>
  </si>
  <si>
    <t>Ricardo Lair Franco Oliveira, "MODELO DE GESTÃO BASEADO EM PROJETOS PARA PEQUENAS E MÉDIAS EMPRESAS/ MANAGEMENT BASED IN PROJECT MODEL FOR SMALL AND MEDIUM ENTERPRISES", Tese (Doutorado) - Universidade Nove de Julho - UNINOVE, São Paulo, 2023</t>
  </si>
  <si>
    <t>https://www.uninove.br/</t>
  </si>
  <si>
    <t>Numerical-Experimental Study Regarding the Single Point Incremental Forming Process</t>
  </si>
  <si>
    <t>Halah Habeeb, Muhsin Jweeg, Ali Abbar, Investigation of the Effect of SPIF Parameters on the Thickness of Al 2024 Alloy, Engineering and Technology Journal</t>
  </si>
  <si>
    <t>https://www.researchgate.net/publication/376562529_Investigation_of_the_Effect_of_SPIF_Parameters_on_the_Thickness_of_Al_2024_Alloy</t>
  </si>
  <si>
    <t>Index Copernicus, CrossReff</t>
  </si>
  <si>
    <t>Marcin S., Szawara, P., Mysliwiec, P., Influence of Input Parameters on the Coefficient of Friction during Incremental Sheet Forming of Grade 5 Titanium Alloy Sheets, Advances in Mechanical and Materials Engineering</t>
  </si>
  <si>
    <t>https://www.researchgate.net/publication/373649503_Influence_of_Input_Parameters_on_the_Coefficient_of_Friction_during_Incremental_Sheet_Forming_of_Grade_5_Titanium_Alloy_Sheets</t>
  </si>
  <si>
    <t>POPP, M. O. (2023). Studii și cercetări privind îmbunătățirea preciziei dimensionale și de formă a pieselor prelucrate prin deformare incrementală. Teza de doctorat, Sibiu, 2023</t>
  </si>
  <si>
    <t>RUSU, G. P. (2023). Comportarea la deformare incrementală a tablelor sudate, Teză de doctorat, Sibiu, 2023</t>
  </si>
  <si>
    <t xml:space="preserve">RUIZ, C. G. A. (2023). Study of the Processing-Structure-Property Relationship in Recycled Thermoplastic Composites The University of Alabama at Birmingham. </t>
  </si>
  <si>
    <t xml:space="preserve">SZPUNAR, M., SZAWARA, P., MYŚLIWIEC, P., &amp; OSTROWSKI, R. (2023). Influence of input parameters on the coefficient of friction during incremental sheet forming of grade 5 titanium alloy. Advances in Mechanical and Materials Engineering, 40(1), 113-123. </t>
  </si>
  <si>
    <t>Dobrota, D.; Racz , S.-G.; Oleksik , M.; Rotaru , I.; Tomescu , M.; Simion</t>
  </si>
  <si>
    <t xml:space="preserve"> Smart Cutting Tools Used in the Processing of Aluminum Alloys. Sensors 2022, 22 , 28 . https://doi.org/10.3390/s22010028
</t>
  </si>
  <si>
    <t>Mădălin TOMESCU, Mihaela OLEKSIK, ANALYSIS OF THE VARIATION OF VIBRATION AMPLITUDE WHEN WORKING WITH INTELLIGENT SHEARING TOOLS, Annals of the „Constantin Brancusi” University of Targu Jiu, Engineering Series, No. 4/2023</t>
  </si>
  <si>
    <t>Mădălin TOMESCU, Mihaela OLEKSIK, PERFORMANCE ANALYSIS OF THE USE OF CUTTING TOOLS WITH OPTIMAL FUNCTIONAL GEOMETRY FROM THE POINT OF VIEW OF THE QUALITY OF THE SURFACES PROCESSED BY CUTTING, Annals of the „Constantin Brancusi” University of Targu Jiu, Engineering Series, No. 4/2023</t>
  </si>
  <si>
    <t>Kumari, N.; Alam, T.; Ali, M.A.; Yadav, A.S.; Gupta, N.K.; Siddiqui, M.I.H.; Dobrotă, D.; Rotaru, I.M.; Sharma, A.</t>
  </si>
  <si>
    <t>Gyaneshwar, Shikha Bhatt, An Investigation into The Enhancement of Heat
Transfer in Roughened Ducts of Solar Air Heaters, Indian Journal of Production and Thermal Engineering (IJPTE)
ISSN: 2582-8029 (Online), Volume-4 Issue-1, December 2023</t>
  </si>
  <si>
    <t>https://www.ijpte.latticescipub.com/wp-content/uploads/papers/v4i1/A2023124123.pdf</t>
  </si>
  <si>
    <t>Scilit, Crossref, google academic, Cite factor</t>
  </si>
  <si>
    <t xml:space="preserve">The imperative of addressing the contemporary crisis of economics with spiritual intelligence. Procedia
Economics and Finance, 6(13), 19-24.
https://doi.org/10.1016/s2212-
5671(13)00108-1
</t>
  </si>
  <si>
    <t>Fitriani Saragih, Novien Rialdy and Edisah Putra Nainggolan (2023). A practical
perspective on ethical behavior of the educator accountant: A case study at a
private university in Indonesia. Knowledge and Performance Management, 7(1),
115-126. doi:10.21511/kpm.07(1).2023.09</t>
  </si>
  <si>
    <t>https://www.businessperspectives.org/images/pdf/applications/publishing/templates/article/assets/19180/KPM_2023_1_Saragih.pdf</t>
  </si>
  <si>
    <t>Google Scholar (https://scholar.google.ro/scholar?oi=bibs&amp;hl=ro&amp;cites=17458928721219274183)
SINTA (http://sinta3.kemdikbud.go.id/authors/profile/6006535)</t>
  </si>
  <si>
    <t>Spiritual Intelligence as a Driver of Financial Intelligence in a Company. Revista
Economica, 73(1) http://economice.ulbsibiu.ro/revista.economica/archive/73102butanescu.pdf</t>
  </si>
  <si>
    <t xml:space="preserve">Amir Ali Al-Morsi Shousha, Rania Hamed Mahmoud Al-Awadly. Rolul inteligenței financiare în relația dintre factorii comportamentali și decizia de investiție (un studiu aplicat). În Revista Științifică de Studii și Cercetări Financiare și Comerciale, Volumul 4, Numărul 2, Partea a treia
iulie 2023, p. 975-1008 - ÎN LIMBA ARABĂ. </t>
  </si>
  <si>
    <t>https://cfdj.journals.ekb.eg/article_289194.html
https://cfdj.journals.ekb.eg/article_289194_8e246cddcbcaade26478a23bc687ac7b.pdf</t>
  </si>
  <si>
    <t>Google Scholar (https://scholar.google.ro/scholar?oi=bibs&amp;hl=ro&amp;cites=17523300557526546994)
Scinito (https://app.scinito.ai/article/W4323976636)</t>
  </si>
  <si>
    <t>Statistica descriptivă, Ediția a 2-a.
Editura Universitatii Lucian Blaga, Sibiu, 2014</t>
  </si>
  <si>
    <t>Mihaela Oleksik, Liviu Rosca. Analiza datelor cu Microsoft Excel. Editura Pro Universitaria (acreditată CNCS: https://www.prouniversitaria.ro/acreditare/), 2023, ISBN: 978-606-26-1690-8.</t>
  </si>
  <si>
    <t>https://www.prouniversitaria.ro/carte/analiza-datelor-cu-microsoft-excel/</t>
  </si>
  <si>
    <t>(http://www.cncs-nrc.ro/wp-content/uploads/2020/12/categorii.Edituri.Site_.CNCS_.2020.pdf)</t>
  </si>
  <si>
    <t>Probabilități și statistică matematică cu aplicații în economie,
Editura Universitatii Lucian Blaga, Sibiu</t>
  </si>
  <si>
    <t>Abiodun Musa Aibinu - Spiritual Intelligence: Beyond Mechatronics Engineering and Artificial Intelligence, University Seminar and Colloquium Committee, Federal University of Technology, Minna, Nigeria, 2017, ISSN 2550-7087
Citare nedeclarată anterior</t>
  </si>
  <si>
    <t>https://inaugural.futminna.edu.ng/wp-content/uploads/2024/01/0.-Inaugural-Lecture-Series-60.pdf</t>
  </si>
  <si>
    <t>Google Scholar (https://scholar.google.ro/scholar?oi=bibs&amp;hl=ro&amp;cites=17458928721219274183)</t>
  </si>
  <si>
    <t>Țîțu, M. (ULBS), Oprean C. (ULBS), Grecu, D.(Autoklass Sibiu)</t>
  </si>
  <si>
    <t>Applying the KAIZEN method and the 5S technique in the activity of post-sale services in the KNOWLEDGE-based organization</t>
  </si>
  <si>
    <t>Setyaningsih, Yuliani, Ida Wahyuni, and Ekawati Ekawati. "Individual characteristics and the 5SPrinciple implementation among smoked fish worker related to musculoskeletal disorders (MSDs) complaints." AIP Conference Proceedings. Vol. 2683. No. 1. AIP Publishing, 2023.</t>
  </si>
  <si>
    <t>https://pubs.aip.org/aip/acp/article-abstract/2683/1/040018/2891292/Individual-characteristics-and-the-5SPrinciple?redirectedFrom=fulltext</t>
  </si>
  <si>
    <t>Yıldırım, Şule. Kaizen Maliyetleme Yöntemi ile Maliyetlerin Düşürülmesi ve Bir Tekstil İşletmesinde Örnek Uygulama. MS thesis. Sosyal Bilimler Enstitüsü, 2023.</t>
  </si>
  <si>
    <t>http://earsiv.odu.edu.tr/jspui/handle/11489/3839</t>
  </si>
  <si>
    <t>Evin, Emil, et al. "Lean 4.0." Smart Business and Digital Transformation. Routledge, 2023. 62-81.</t>
  </si>
  <si>
    <t>https://www.taylorfrancis.com/chapters/edit/10.4324/9781003390312-7/lean-4-0-emil-evin-dušan-sabadka-lilla-hortoványi-sándor-gyula-nagy-tamás-stukovszky</t>
  </si>
  <si>
    <t>Mushtaq, Muhammad Asad, et al. "NEED OF 7S IN SERVICE OPERATION ENVIRONMENT AS COMPARED TO 5S AND 6S." Sarhad Journal of Management Sciences 9.1 (2023).</t>
  </si>
  <si>
    <t>https://search.ebscohost.com/login.aspx?direct=true&amp;profile=ehost&amp;scope=site&amp;authtype=crawler&amp;jrnl=24142336&amp;AN=169802648&amp;h=U2HbUua0tUP6cYXnZUsZa2ZmtLz8IXlO8xAes3KjopWhdGnPLAx8sYELk%2B7us0GpGXqQldM3NcPbEpMyRcQATw%3D%3D&amp;crl=c</t>
  </si>
  <si>
    <t>Sichinsambwe, Chanda, et al. "Kaizen practices and performance improvement in Zambian manufacturing companies." Cogent Engineering 10.1 (2023): 2183590.</t>
  </si>
  <si>
    <t>https://www.tandfonline.com/doi/abs/10.1080/23311916.2023.2183590</t>
  </si>
  <si>
    <t>Bhattacharya, Payel, et al. "Perception-satisfaction based quality assessment of tourism and hospitality services in the Himalayan region: An application of AHP-SERVQUAL approach on Sandakphu Trail, West Bengal, India." International Journal of Geoheritage and Parks 11.2 (2023): 259-275.</t>
  </si>
  <si>
    <t>https://www.sciencedirect.com/science/article/pii/S257744412300031X</t>
  </si>
  <si>
    <t>Au, Lien Thi Nguyet, Hung Trong Hoang, and Lan Thi Huong Ho. "Tax service quality for enterprises: development of a valid measurement scale." Asia-Pacific Journal of Business Administration 15.3 (2023): 345-360.</t>
  </si>
  <si>
    <t>https://www.emerald.com/insight/content/doi/10.1108/APJBA-01-2021-0033/full/html</t>
  </si>
  <si>
    <t>Silalahi, Agnes Tresia, and Surya Tri Esthi Wira Hutama. "Peran Kepuasan Pengunjung Sebagai Mediator Atribut Pariwisata dan Kualitas Layanan Terhadap Niat Berkunjung Kembali:(Studi Kasus: Pantai Pulo Silalahi-Sumatera Utara)." TOBA: Journal of Tourism, Hospitality and Destination 2.4 (2023): 50-58.</t>
  </si>
  <si>
    <t>https://journal.literasisains.id/index.php/toba/article/view/2636</t>
  </si>
  <si>
    <t>Luo, Jingjing, and Xiang Li. "Perceived service quality and visitors' sustainable visit intentions in theme parks: empirical analysis on the THEMEQUAL scale." Frontiers in Sustainable Tourism 3 (2024): 1387048.</t>
  </si>
  <si>
    <t>https://www.frontiersin.org/articles/10.3389/frsut.2024.1387048/full</t>
  </si>
  <si>
    <t>Alsheyab, Mousa, Nela Filimon, and Francesc Fusté-Forné. "Corporate social responsibility bridges in the context of tourism service providers." Hospitality &amp; Society (2024).</t>
  </si>
  <si>
    <t>https://intellectdiscover.com/content/journals/10.1386/hosp_00073_1</t>
  </si>
  <si>
    <t>Alzaydi, Zyad M. "Using Service Quality and Destination Attractiveness to Encourage Pro-Tourism Behaviour." The Academic Journal of Contemporary Commercial Research 3.4 (2023): 31-51.</t>
  </si>
  <si>
    <t>https://ajccr.journals.ekb.eg/article_333057.html</t>
  </si>
  <si>
    <t>Azis, Ferra, Halus Satriawan, and Cut Azizah. "Ecotourism Development Strategy of Lhok Batee Jeumpa Reservoir, Bireuen Regency." Journal of Sylva Indonesiana 7.01 (2024): 30-39.</t>
  </si>
  <si>
    <t>https://talenta.usu.ac.id/Jsi/article/view/13356</t>
  </si>
  <si>
    <t>I NYOMAN, S. E. T. I. A. W. A. N. "ANTESEDEN DAN KONSEKUENSI SIKAP WISATAWAN PANTAI BERBASIS HIJAU DI INDONESIA." (2023).</t>
  </si>
  <si>
    <t>http://digilib.unila.ac.id/id/eprint/78032</t>
  </si>
  <si>
    <t>Mora Guzmán, Carolina Margarita. Modelo de gestión de calidad para la atención al cliente en empresas de servicios. MS thesis. Pontificia Universidad Católica del Ecuador, 2023.</t>
  </si>
  <si>
    <t>https://repositorio.puce.edu.ec/bitstreams/cbe9edb5-7e75-4ea6-8525-8fae962119f0/download</t>
  </si>
  <si>
    <t>Bhattacharya, Subhasis, and Suman Paul. "International Journal of Geoheritage and Parks." (2023).</t>
  </si>
  <si>
    <t>https://www.researchgate.net/profile/Suman-Paul-4/publication/369990712_Perception-satisfaction_based_quality_assessment_of_tourism_and_hospitality_services_in_the_Himalayan_region_An_application_of_AHP-SERVQUAL_approach_on_Sandakphu_Trail_West_Bengal_India/links/64439077017bc07902cf73c9/Perception-satisfaction-based-quality-assessment-of-tourism-and-hospitality-services-in-the-Himalayan-region-An-application-of-AHP-SERVQUAL-approach-on-Sandakphu-Trail-West-Bengal-India.pdf</t>
  </si>
  <si>
    <t>Bahupati, Younky Kusuma Widagdo. ANALISIS KUALITAS LAYANAN PARIWISATA ARUNG JERAM PADA CV SERAYU ADVENTURE INDONESIA. Diss. Universitas Islam Indonesia, 2023.</t>
  </si>
  <si>
    <t>https://dspace.uii.ac.id/handle/123456789/44133</t>
  </si>
  <si>
    <t>Kanthariya, Rutvi, and Himanshu J. Padhya. "Review of Zarwani Village an Eco-tourism Planning Proposal."</t>
  </si>
  <si>
    <t>https://ijemh.com/issue_dcp/Review%20of%20Zarwani%20Village%20an%20Eco%20tourism%20Planning%20Proposal.pdf</t>
  </si>
  <si>
    <t>Pamshong, Sharon Rose, et al. "Mesoporous silica nanoparticles: An emerging approach in overcoming the challenges with oral delivery of PPs." Colloids and Surfaces B: Biointerfaces (2023): 113613.</t>
  </si>
  <si>
    <t>https://www.sciencedirect.com/science/article/pii/S0927776523004988</t>
  </si>
  <si>
    <t>Aghayan, Morvarid, et al. "The development of a novel copper-loaded mesoporous silica nanoparticle as a peroxidase mimetic for colorimetric biosensing and its application in H2O2 and GSH assay." Analytical Sciences 39.8 (2023): 1257-1267.</t>
  </si>
  <si>
    <t>https://link.springer.com/article/10.1007/s44211-023-00339-z</t>
  </si>
  <si>
    <t>Țîțu, M. (ULBS), Bucur Amelia (ULBS)</t>
  </si>
  <si>
    <t>Models for quality analysis of services in the local public administration</t>
  </si>
  <si>
    <t>PÉREZ-CAMPDESUÑER, Reyner, and Rodobaldo MARTÍNEZ-VIVAR. "Variables Determinantes de las Prácticas de Gestión de Calidad en Micro y Pequeñas Empresas del Ecuador." Revista Economía 14.01-40 (2023): 55.</t>
  </si>
  <si>
    <t>http://scielo.senescyt.gob.ec/scielo.php?pid=S2602-80502023000100040&amp;script=sci_abstract&amp;tlng=e</t>
  </si>
  <si>
    <t>Pérez-Campdesuñer, Reyner, et al. "Determinant Variables of Quality Management Practices in Micro and Small Enterprises in Ecuador." Economía y Negocios 14 (2023): 40-55.</t>
  </si>
  <si>
    <t>http://scielo.senescyt.gob.ec/scielo.php?script=sci_arttext&amp;pid=S2602-80502023000100040</t>
  </si>
  <si>
    <t>Țîțu, M. (ULBS), Sandu V. A.(Univ. Gh Asachi Iasi), Pop, Bianca Alina (Tehnocad SA), Țîțu, Ș.(IOCN), Frățilă, D.N. (UMF Iasi), Ceocea, C. (Univ. Bacau), Boroiu, A.(Univ. Pitesti)</t>
  </si>
  <si>
    <t>Design of Experiment in the Milling Process of Aluminum Alloys in the Aerospace Industry</t>
  </si>
  <si>
    <t>Mhlanga, David, and Mufaro Dzingirai. "Toward an Inclusive Industry 4.0: Social Policy, Economic Growth, and Development in Africa." The Fourth Industrial Revolution in Africa: Exploring the Development Implications of Smart Technologies in Africa. Cham: Springer Nature Switzerland, 2023. 361-378.</t>
  </si>
  <si>
    <t>https://link.springer.com/chapter/10.1007/978-3-031-28686-5_19</t>
  </si>
  <si>
    <t>Zhang, Tainyao, et al. "Experimental Optimization of High-precision Turning Parameters of AL6061 Materials for Automotive Industry Based on Grey Relational Analysis." International Journal of Automotive and Mechanical Engineering 20.4 (2023): 10878-10893.</t>
  </si>
  <si>
    <t>https://journal.ump.edu.my/ijame/article/view/9452</t>
  </si>
  <si>
    <t>Sandu, Andrei Victor. "New Materials and Advanced Procedures of Obtaining and Processing—Applied Sciences Insights." Applied Sciences 13.5 (2023): 3153.</t>
  </si>
  <si>
    <t>https://www.mdpi.com/2076-3417/13/5/3153</t>
  </si>
  <si>
    <t>Peso García, Natalia. Diseño experimental automatizado de procesos de fabricación para el entrenamiento de IA= Automated Experimental Design of Metal-Cutting Manufacturing Processes for AI Training. Diss. Industriales, 2023.</t>
  </si>
  <si>
    <t>https://oa.upm.es/id/eprint/75305</t>
  </si>
  <si>
    <t>Innovation–A challenge for the 21st century managers</t>
  </si>
  <si>
    <t>Kellerman, Philip, and Gustav Lingevik. "Innovation Investments During The COVID-19 Pandemic." (2023).</t>
  </si>
  <si>
    <t>https://lup.lub.lu.se/student-papers/record/9130032/file/9130035.pdf</t>
  </si>
  <si>
    <t>Mohácsi, Róbert, et al. "Managerial Perceptions of the Implementation of Industry 4.0 in Hungary." CONTROLLER INFO 10.SP2 (2023): 27-32.</t>
  </si>
  <si>
    <t>https://real.mtak.hu/185500/</t>
  </si>
  <si>
    <t>Ramírez Aguilar, Angélica Patricia. "Big Data como piedra angular en la toma de decisiones gerenciales en la cadena de suministro."</t>
  </si>
  <si>
    <t>https://repository.unimilitar.edu.co/handle/10654/44911</t>
  </si>
  <si>
    <t>Jang, Eun Jo, Rajkumar Patel, and Madhumita Patel. "Electrospinning nanofibers as a dressing to treat diabetic wounds." Pharmaceutics 15.4 (2023): 1144.</t>
  </si>
  <si>
    <t>https://www.mdpi.com/1999-4923/15/4/1144</t>
  </si>
  <si>
    <t>Seyhan, Serap Ayaz, et al. "Investigation of the antitumor effect on breast cancer cells of the electrospun amygdalin-loaded poly (l-lactic acid)/poly (ethylene glycol) nanofibers." International Journal of Biological Macromolecules 239 (2023): 124201.</t>
  </si>
  <si>
    <t>https://www.sciencedirect.com/science/article/pii/S0141813023010954</t>
  </si>
  <si>
    <t>Abdelhakeem, Eman, et al. "State-of-the-Art Review of Advanced Electrospun Nanofiber Composites for Enhanced Wound Healing." AAPS PharmSciTech 24.8 (2023): 246.</t>
  </si>
  <si>
    <t>https://link.springer.com/article/10.1208/s12249-023-02702-9</t>
  </si>
  <si>
    <t>Firouzi Amandi, Akram, et al. "Fabrication and characterization of metformin-loaded PLGA/Collagen nanofibers for modulation of macrophage polarization for tissue engineering and regenerative medicine." BMC biotechnology 23.1 (2023): 55.</t>
  </si>
  <si>
    <t>https://link.springer.com/article/10.1186/s12896-023-00825-2</t>
  </si>
  <si>
    <t>Mir, Aleena, Amit Kumar, and Ufana Riaz. "Synthesis and characterization of conducting polymer/alginate composite hydrogels: effect of conducting polymer loading on the release behaviour of metformin drug." Journal of Molecular Liquids 372 (2023): 121193.</t>
  </si>
  <si>
    <t>https://www.sciencedirect.com/science/article/pii/S0167732222027325</t>
  </si>
  <si>
    <t>Yu, Deng-Guang, et al. "Green electrospinning for safe food engineering." Authorea Preprints (2023)</t>
  </si>
  <si>
    <t>https://www.techrxiv.org/doi/full/10.22541/au.169027404.42481458</t>
  </si>
  <si>
    <t>Continuous quality improvement in modern organizations Trough Kaizen management</t>
  </si>
  <si>
    <t>GİRMA, Mulugeta. "Kaizen and Productivity: The Mediating Effect of the Customer-supplier Relationship Using Smart-PLS." Istanbul Management Journal 94 (2023): 1-15.</t>
  </si>
  <si>
    <t>https://dergipark.org.tr/en/pub/imj/issue/79037/1143157</t>
  </si>
  <si>
    <t>Saso Krstovski and Michael Rowley - Conceptual framework for systematic problem solving: a roadmap for root cause discovery
Published Online:June 6, 2023pp 367-379https://doi.org/10.1504/IJMCP.2023.133799</t>
  </si>
  <si>
    <t xml:space="preserve">https://www.inderscienceonline.com/doi/abs/10.1504/IJMCP.2023.133799 </t>
  </si>
  <si>
    <t>A. S. M. Touhidul Islam - FRAMEWORK FOR SUCCESSFUL PROBLEM-SOLVING IN LEAN: A FOCUS GROUP RESEARCH IN MALAYSIAN AUTOMOTIVE. MEST Journal, 2023 - meste.org</t>
  </si>
  <si>
    <t xml:space="preserve">https://www.meste.org/mest/Archive/MEST_XI_11_1.pdf#page=71 </t>
  </si>
  <si>
    <t>SHOP FLOOR KEY PERFORMANCE INDICATORS IN AUTOMOTIVE ORGANIZATIONS.</t>
  </si>
  <si>
    <t>Chen Fung Liew, Joshua Prakash and Kok Seng Ong - Development and validation of an equipment cost efficiency framework for integrating financial and operational performance assessment in manufacturing: a case study, International Journal of Productivity and Quality Management, March 2, 2023pp 388-412https://doi.org/10.1504/IJPQM.2023.129616</t>
  </si>
  <si>
    <t xml:space="preserve">https://www.inderscienceonline.com/doi/abs/10.1504/IJPQM.2023.129616 </t>
  </si>
  <si>
    <t>Nicolae Rosca, Mihaela Oleksik, Liviu Rosca, Eugen Avrigean, Tomasz Trzepieciński, Sherwan Mohammed Najm, Valentin Oleksik</t>
  </si>
  <si>
    <t>CGA Ruiz - Study of the Processing-Structure-Property Relationship in Recycled Thermoplastic Composites, 2023 - search.proquest.com</t>
  </si>
  <si>
    <t>Popp, Mihai Octavian - Studii și cercetări privind îmbunătățirea preciziei dimensionale și de formă a pieselor prelucrate prin deformare incrementală, Teza de doctorat, 2023</t>
  </si>
  <si>
    <t>CG Angulo Ruiz - Study Of The Processing-Structure-Property Relationship In Recycled Thermoplastic Composites, 2023 - digitalcommons.library.uab.edu</t>
  </si>
  <si>
    <t xml:space="preserve">https://digitalcommons.library.uab.edu/etd-collection/3473/ </t>
  </si>
  <si>
    <t>Grecu, V. (ULBS) &amp; Deneș, C. (ULBS)</t>
  </si>
  <si>
    <t>Kara, A., Spillan, J. E., Mintu-Wimsatt, A., &amp; Zhang, L. (2023). The role of higher education in developing entrepreneurship: A two-country study. Latin American Business Review, 24(1), 59-80.</t>
  </si>
  <si>
    <t>https://www.tandfonline.com/doi/abs/10.1080/10978526.2022.2026782</t>
  </si>
  <si>
    <t>Jackson, J., Pearson, M., Huang-Saad, A., &amp; Mondisa, J. L. (2023). Innovating innovation: advancing racial equity in STEM entrepreneurship programming. Journal of Women and Minorities in Science and Engineering, 29(6).</t>
  </si>
  <si>
    <t>https://www.dl.begellhouse.com/journals/00551c876cc2f027,7ce58dd857975299,1e5fd3022d09dc75.html?utm_source=TrendMD&amp;utm_medium=cpc&amp;utm_campaign=Journal_of_Women_and_Minorities_in_Science_and_Engineering_TrendMD_1</t>
  </si>
  <si>
    <t>Lin, S., De-Pablos-Heredero, C., Botella, J. L. M., &amp; Lian, C. L. (2023). Influence of entrepreneurship education on the entrepreneurial intention of Chinese students enrolled at universities in the Community of Madrid. IEEE Access.</t>
  </si>
  <si>
    <t>https://ieeexplore.ieee.org/abstract/document/10147835/</t>
  </si>
  <si>
    <t>Azmi, K. S. A., &amp; Zakaria, A. (2023). Instructional Elements Assessments of Entrepreneurship Education in a Technical University in Malaysia. Information Management and Business Review, 15(3 (I)), 82-95.</t>
  </si>
  <si>
    <t>https://ojs.amhinternational.com/index.php/imbr/article/view/3518</t>
  </si>
  <si>
    <t>NASIRCI, H., &amp; KERKEZ, B. (2023). PISA'da Başarılı Ülkeler ile Türkiye'nin K12 Beceriler Çerçevesine Göre Karşılaştırmalı Analizi. Milli Eğitim Dergisi, 52(1), 367-386.</t>
  </si>
  <si>
    <t>https://dergipark.org.tr/en/pub/milliegitim/article/1309025</t>
  </si>
  <si>
    <t>Phiri, M. A., &amp; Chasaya, W. (2023). ENTREPRENEURSHIP EDUCATION AS A DRIVER OF ENTREPRENEURIAL INTENTIONS AMONG UNIVERSITY STUDENTS.</t>
  </si>
  <si>
    <t>https://www.academia.edu/download/108030935/cgobrv7i4p14.pdf</t>
  </si>
  <si>
    <t>Torenbosch, J., &amp; Vandenabeele, J. (2023). Ondernemerschap en Jeugdwerk: Een onderzoeksrapport in het kader van het onderzoek “Jeugd en Ondernemerschap”.</t>
  </si>
  <si>
    <t>https://lirias.kuleuven.be/retrieve/726262</t>
  </si>
  <si>
    <t>Thabet, W. M., Abusultan, Y. S., Diab, R. A., Alajrami, A. A., &amp; Abu-Naser, S. S. (2023). The Reality of Spreading the Culture of Entrepreneurship and Proposals for Activating It (An Applied Study on the University of Al-Azhar in Gaza).</t>
  </si>
  <si>
    <t>https://philpapers.org/rec/THATRO-10</t>
  </si>
  <si>
    <t>Zhou, J., &amp; Cen, W. (2023). Research on Prediction of User's Entrepreneurial Learning Behavior based on Neural Network. Academic Journal of Management and Social Sciences, 3(2), 93-96.</t>
  </si>
  <si>
    <t>https://drpress.org/ojs/index.php/ajmss/article/view/10256</t>
  </si>
  <si>
    <t>Torenbosch, J., &amp; Vandenabeele, J. ONDERNEMERSCHAP EN JEUGDWERK.</t>
  </si>
  <si>
    <t>https://www.havenvoorjongeondernemers.be/s/Rapport-SoLiDi-KULeuven-Jeugdwerk-en-Ondernemerschap.pdf</t>
  </si>
  <si>
    <t>Chasaya, W. (2023). Entrepreneurship education and students’ entrepreneurial intentions at selected tertiary institutions in Durban (Doctoral dissertation).</t>
  </si>
  <si>
    <t>БАЗИЛЬ, Л., ОРЛОВ, В., НЕСТОРЕНКО, Т., ОСТЕНДА, А., &amp; ПЕЛІОВА, Я. (2023). ПІДГОТОВКА МАЙБУТНІХ ФАХІВЦІВ ДО МОЛОДІЖНОГО ПІДПРИЄМНИЦТВА В ЗАКЛАДАХ ВИЩОЇ ОСВІТИ. Наукові записки Бердянського державного педагогічного університету. Педагогічні науки, (3), 432-447.</t>
  </si>
  <si>
    <t>https://journals.bdpu.in.ua/index.php/ped/article/view/40</t>
  </si>
  <si>
    <t>Shuaibu, H., &amp; Amin, S. H. M. (2023). ENTREPRENEURSHIP EDUCATION: A SYSTEMATIC REVIEW. BIJE-BICHI JOURNAL OF EDUCATION, 17(1), 1-11.</t>
  </si>
  <si>
    <t>https://bijejournal.com/BIJE/article/view/986</t>
  </si>
  <si>
    <t>Shah, M. (2023). Shaping entrepreneur mind-set among students.</t>
  </si>
  <si>
    <t>https://www.indianjournals.com/ijor.aspx?target=ijor:bulmim&amp;volume=8&amp;issue=1&amp;article=002</t>
  </si>
  <si>
    <t>Mane-Mahat, S. S., Sawant, S. B., &amp; Shah, A. S. Non Graduate’s Turnover hike in (Solapur) India: the case of Profit maximization using Linear Programming Problem. Tuijin Jishu/Journal of Propulsion Technology, 44(6), 2023.</t>
  </si>
  <si>
    <t>https://www.researchgate.net/profile/Shabnam-Mahat/publication/378013216_Non_Graduate's_Turnover_hike_in_SolapurIndia_the_case_of_Profit_maximization_using_Linear_Programming_Problem/links/65c367b034bbff5ba7f444c1/Non-Graduates-Turnover-hike-in-SolapurIndia-the-case-of-Profit-maximization-using-Linear-Programming-Problem.pdf</t>
  </si>
  <si>
    <t>Madugu, U., Kawu, B. A., &amp; Jimoh, M. O. Influence of Entrepreneurship Education on Students’ Innovation and Creativity in Nigerian Public Universities.</t>
  </si>
  <si>
    <t>https://www.researchgate.net/profile/Usman-Madugu-2/publication/373424578_Influence_of_Entrepreneurship_Education_on_Students'_Innovation_and_Creativity_in_Nigerian_Public_Universities/links/64eada4140289f7a0fbc24bd/Influence-of-Entrepreneurship-Education-on-Students-Innovation-and-Creativity-in-Nigerian-Public-Universities.pdf</t>
  </si>
  <si>
    <t>Anwar, S., Azhar, F., &amp; Gul, B. The Influence of Entrepreneurial Education on Post Graduate Students of Healthcare Management.</t>
  </si>
  <si>
    <t>https://www.academia.edu/download/106473016/1825.pdf</t>
  </si>
  <si>
    <t>Tariga, J. N., Español, J. B., &amp; Afan, R. D. Ingredients Behind Fruitful Success: Entrepreneurship Strategies Towards Entrepreneurial Training Design.</t>
  </si>
  <si>
    <t>https://www.academia.edu/download/102523437/3777.pdf</t>
  </si>
  <si>
    <t>Grecu, V. (ULBS) &amp; Ipiña, N. (Mondragon University)</t>
  </si>
  <si>
    <t>The Sustainable University–A Model for the Sustainable Organization</t>
  </si>
  <si>
    <t>Bejinaru, R., Neamţu, D. M., Condratov, I., Stanciu, P., &amp; Hapenciuc, C. V. (2023). Exploring the effectiveness of university agenda for developing students’ entrepreneurial behavior. Economic research-Ekonomska istraživanja, 36(1), 1317-1337.</t>
  </si>
  <si>
    <t>https://hrcak.srce.hr/file/438537</t>
  </si>
  <si>
    <t>Pouratashi, M., &amp; Zamani, A. (2023). Typology of world's top universities through sustainable development. Research and Planning in Higher Education, 26(1), 123-148.</t>
  </si>
  <si>
    <t>https://journal.irphe.ac.ir/article_702996.html?lang=en</t>
  </si>
  <si>
    <t>Bui, Q. H., Trinh, T. A., Le Thi, H. A., Phan, N. Q., &amp; Nguyen Dinh, H. U. (2023). Towards a sustainable university transition model for emerging markets. Cogent Business &amp; Management, 10(3), 2272372.</t>
  </si>
  <si>
    <t>https://www.tandfonline.com/doi/abs/10.1080/23311975.2023.2272372</t>
  </si>
  <si>
    <t>Fischer, K., &amp; Isenmann, R. (2023). Education for Sustainability at Distance and Online Learning Universities: Methodologies and Good Practices for Educating Sustainability Experts and Leaders of the Future. In Educating the Sustainability Leaders of the Future (pp. 147-169). Cham: Springer Nature Switzerland.</t>
  </si>
  <si>
    <t>https://link.springer.com/chapter/10.1007/978-3-031-22856-8_9</t>
  </si>
  <si>
    <t>Javdani, H., &amp; Hamzerobati, M. (2023). Sustainable university, an endeavor for survival and sustainability. Quarterly Journal of Research and Planning in Higher Education, 25(2), 63-86.</t>
  </si>
  <si>
    <t>https://journal.irphe.ac.ir/article_702976.html?lang=en</t>
  </si>
  <si>
    <t>Swann-Quinn, J., Pallant, E., Boulton, K., Michael, J., McRae, S., &amp; Bowden, R. D. (2023). Growing A Resilient Campus Forest: Opportunities, Barriers, Solutions. In Educating the Sustainability Leaders of the Future (pp. 493-512). Cham: Springer Nature Switzerland.</t>
  </si>
  <si>
    <t>https://link.springer.com/chapter/10.1007/978-3-031-22856-8_27</t>
  </si>
  <si>
    <t>Nagy, S. (2023). Az egyetemi fenntarthatóság hallgatói észlelésének mérése. Marketing &amp; Menedzsment, 57(Különszám EMOK 2), 35-44.</t>
  </si>
  <si>
    <t>https://journals.lib.pte.hu/index.php/mm/article/view/5833</t>
  </si>
  <si>
    <t>Kholiavko, N., &amp; Didenko, I. (2023). CONCEPTUAL MODEL OF THE UNIVERSITY SUSTAINABLE DEVELOPMENT. Studies in Comparative Education, (1), 40-54.</t>
  </si>
  <si>
    <t>http://pps.udpu.edu.ua/article/view/288421</t>
  </si>
  <si>
    <t>Dewi, N. K. E., Triyuni, N. N., &amp; Oka, I. (2023). Penerapan Environmental Management System untuk Mencapai Keberlanjutan Hotel pada Front Office Department di Sthala, A Tribute Portfolio (Doctoral dissertation, Politeknik Negeri Bali).</t>
  </si>
  <si>
    <t>http://repository.pnb.ac.id/id/eprint/7006</t>
  </si>
  <si>
    <t>Phan, A. T. (2023). Xây dựng và thử nghiệm mô hình “Tự quản sống xanh” trong kí túc xá của Trường Đại học Vinh. Tạp chí Giáo dục, 23(19), 59-64.</t>
  </si>
  <si>
    <t>https://tcgd.tapchigiaoduc.edu.vn/index.php/tapchi/article/view/1064</t>
  </si>
  <si>
    <t>Mónika, K. O. (2023). A fenntartható egyetem megjelenése és értelmezései a szakirodalomban. A GAZDASÁGTUDOMÁNYOK HOZZÁJÁRULÁSA A GLOBÁLIS KIHÍVÁSOK KEZELÉSÉHEZ, 41.</t>
  </si>
  <si>
    <t>https://real.mtak.hu/189954/1/MABkotet2023boritoval.pdf#page=44</t>
  </si>
  <si>
    <t>Pakbaz, Z., Adli, F., &amp; Ghoraishi Khorasgani, M. S. (2023). Analysis of the strategic plan documents of Iranian universities based on the components of sustainable development. The Journal of New Thoughts on Education.</t>
  </si>
  <si>
    <t>Jolanta Dvarioniene (Lituania), Valentin Grecu (ULBS), Sabrina Lai (Italia), Francesco Scorza (Italia)</t>
  </si>
  <si>
    <t>Four perspectives of applied sustainability: research implications and possible integrations</t>
  </si>
  <si>
    <t>Scorzelli, R., Murgante, B., Manganelli, B., &amp; Scorza, F. (2023, June). The evolution of natural capital accounting: From origins to system of environmental-economic accounting. In International Conference on Computational Science and Its Applications (pp. 632-641). Cham: Springer Nature Switzerland.</t>
  </si>
  <si>
    <t>https://link.springer.com/chapter/10.1007/978-3-031-37111-0_43</t>
  </si>
  <si>
    <t>Smaldone, R., Attolico, A., &amp; Scorza, F. (2023, June). Enhancing Territorial and Community Resilience Through a Structured Institutional Governance: The Resilience HUB of the Province of Potenza. In International Conference on Computational Science and Its Applications (pp. 25-39). Cham: Springer Nature Switzerland.</t>
  </si>
  <si>
    <t>https://link.springer.com/chapter/10.1007/978-3-031-37123-3_3</t>
  </si>
  <si>
    <t>Murgante, B., Vergari, L., Sabia, C. A., Vecchio, G. L., Micucci, M., &amp; Scorza, F. (2023, June). Implementing a Development Strategy for Revitalizing Industrial Areas in Crisis. The Experience of the Tito Industrial Area in the Basilicata Region (Southern Italy). In International Conference on Computational Science and Its Applications (pp. 560-574). Cham: Springer Nature Switzerland.</t>
  </si>
  <si>
    <t>https://link.springer.com/chapter/10.1007/978-3-031-37114-1_39</t>
  </si>
  <si>
    <t>Scorzelli, R., Murgante, B., Manganelli, B., &amp; Scorza, F. (2023, September). SEEA and Ecosystem Services Accounting: A Promising Framework for Territorial Governance Innovation. In International Conference on Innovation in Urban and Regional Planning (pp. 84-92). Cham: Springer Nature Switzerland.</t>
  </si>
  <si>
    <t>https://link.springer.com/chapter/10.1007/978-3-031-54096-7_8</t>
  </si>
  <si>
    <t>Francesco Scorza (UNIBAS), Valentin Grecu (ULBS)</t>
  </si>
  <si>
    <t>Assessing sustainability: research directions and relevant issues</t>
  </si>
  <si>
    <t>Lagonigro, D., Cazzati, V., Viggiano, N., Andrulli, G., Gatto, R. V., Mininni, M., &amp; Scorza, F. (2023, June). Downscaling NUA: Matera new urban structure. In International Conference on Computational Science and Its Applications (pp. 14-24). Cham: Springer Nature Switzerland.</t>
  </si>
  <si>
    <t>https://link.springer.com/chapter/10.1007/978-3-031-37123-3_2</t>
  </si>
  <si>
    <t>https://journals.sagepub.com/doi/abs/10.1177/23998083231218779</t>
  </si>
  <si>
    <t>Valentin Grecu (ULBS), Radu-Ilie-Gabriel Ciobotea (ULBS), Adrian Florea (ULBS)</t>
  </si>
  <si>
    <t>https://ieeexplore.ieee.org/abstract/document/10346869/</t>
  </si>
  <si>
    <t>Syaifullah, S. E. PENDEKATAN MANAJEMEN BERKELANJUTAN: PERSPEKTIF SOSIAL. GREEN MANAGEMENT STRATEGY, 39.</t>
  </si>
  <si>
    <t>https://www.researchgate.net/profile/Ahmad-Syamil/publication/376787888_Green_Management_Strategy/links/6587fcfe6f6e450f199adcc5/Green-Management-Strategy.pdf#page=52</t>
  </si>
  <si>
    <t>Muckenhuber, M. (2023). Methoden der Performancemessung im Rahmen der nichtfinanziellen Berichterstattung: ein Literaturüberblick/eingereicht von Michaela Muckenhuber, BSc.</t>
  </si>
  <si>
    <t>https://epub.jku.at/obvulioa/id/8567871</t>
  </si>
  <si>
    <t>Grecu V (ULBS)</t>
  </si>
  <si>
    <t>The global sustainability index: an instrument for assessing the progress towards the sustainable organization</t>
  </si>
  <si>
    <t>Safa, A. C. A. R. (2023). Bankacılık Sektörü Entegre Raporlarında İnsan Kaynakları Yönetiminin Sürdürülebilirliği. Gümüşhane Üniversitesi Sosyal Bilimler Dergisi, 14(1), 110-134.</t>
  </si>
  <si>
    <t>https://dergipark.org.tr/en/pub/gumus/issue/75752/1128534</t>
  </si>
  <si>
    <t>Grecu, V. (ULBS), Morar, T.</t>
  </si>
  <si>
    <t>A decision support system for improving pedestrian accessibility in neighborhoods</t>
  </si>
  <si>
    <t>Merlin, L. A., &amp; Jehle, U. (2023). Global interest in walking accessibility: a scoping review. Transport reviews, 43(5), 1021-1054.</t>
  </si>
  <si>
    <t>https://www.tandfonline.com/doi/abs/10.1080/01441647.2023.2189323</t>
  </si>
  <si>
    <t>Jabbari, M., Fonseca, F., Smith, G., Conticelli, E., Tondelli, S., Ribeiro, P., ... &amp; Ramos, R. (2023). The pedestrian network concept: A systematic literature review. Journal of Urban Mobility, 3, 100051.</t>
  </si>
  <si>
    <t>https://www.sciencedirect.com/science/article/pii/S2667091723000079</t>
  </si>
  <si>
    <t>Radu Emanuil Petruse (ULBS), Valentin Grecu (ULBS), Bogdan Marius Chiliban (ULBS)</t>
  </si>
  <si>
    <t>Panța, N., &amp; Popescu, N. E. (2023). Charting the Course of AI in Business Sustainability: A Bibliometric Analysis. Studies in Business and Economics, 18(3), 214-229.</t>
  </si>
  <si>
    <t>Contribuții privind sustenabilitatea în Universități</t>
  </si>
  <si>
    <t>Kifor, C. V., Olteanu, A., &amp; Zerbes, M. (2023). Key Performance Indicators for Smart Energy Systems in Sustainable Universities. Energies, 16(3), 1246.</t>
  </si>
  <si>
    <t>Nate, S. (ULBS) and Grecu, V. (ULBS)</t>
  </si>
  <si>
    <t>Eco-intelligent tools–a necessity for sustainable businesses</t>
  </si>
  <si>
    <t>Говорухин, В. А., &amp; Кучина, Е. В. (2023). Устойчивое развитие предприятий металлургической промышленности в контексте ESG-трансформации. Вестник Южно-Уральского государственного университета. Серия: Экономика и менеджмент, 17(2), 92-100.</t>
  </si>
  <si>
    <t>https://cyberleninka.ru/article/n/ustoychivoe-razvitie-predpriyatiy-metallurgicheskoy-promyshlennosti-v-kontekste-esg-transformatsii</t>
  </si>
  <si>
    <t xml:space="preserve">Bodoasca, T.I., (cadru didactic pensionat), Tarnu, L.I. </t>
  </si>
  <si>
    <t>Dreptul proprietatii intelectuale</t>
  </si>
  <si>
    <r>
      <rPr>
        <rFont val="Arial Narrow"/>
        <color theme="1"/>
        <sz val="10.0"/>
      </rPr>
      <t>A TĂLĂMBUȚĂ, L MATEI,,</t>
    </r>
    <r>
      <rPr>
        <rFont val="Arial Narrow"/>
        <i/>
        <color theme="1"/>
        <sz val="10.0"/>
      </rPr>
      <t xml:space="preserve">Condiţiile de protecţie a unei opere de creaţie intelectuală, V-TH INTERNATIONAL SYMPOSIUM  CREATIVITY TECHNOLOGY MARKETING 2023, </t>
    </r>
  </si>
  <si>
    <t>chrome-extension://efaidnbmnnnibpcajpcglclefindmkaj/http://repository.utm.md/bitstream/handle/5014/24958/Simpoz-Creativitate-Tehnologie-Marketing-2023-p301-306.pdf?sequence=1&amp;isAllowed=y</t>
  </si>
  <si>
    <t>google scholar</t>
  </si>
  <si>
    <r>
      <rPr>
        <rFont val="Arial Narrow"/>
        <color theme="1"/>
        <sz val="10.0"/>
      </rPr>
      <t xml:space="preserve">LOPOTENCO, V., </t>
    </r>
    <r>
      <rPr>
        <rFont val="Arial Narrow"/>
        <i/>
        <color theme="1"/>
        <sz val="10.0"/>
      </rPr>
      <t xml:space="preserve">Interacțiunea politicii monetare cu politica fiscală în țările mici cu economii deschise, </t>
    </r>
    <r>
      <rPr>
        <rFont val="Arial Narrow"/>
        <color theme="1"/>
        <sz val="10.0"/>
      </rPr>
      <t>Creşterea economică în condiţiile globalizării</t>
    </r>
  </si>
  <si>
    <t>https://ibn.idsi.md/vizualizare_articol/196708</t>
  </si>
  <si>
    <t>google scholar, crossref, cerif</t>
  </si>
  <si>
    <r>
      <rPr>
        <rFont val="Arial Narrow"/>
        <color theme="1"/>
        <sz val="10.0"/>
      </rPr>
      <t xml:space="preserve">Ilie, M.S., </t>
    </r>
    <r>
      <rPr>
        <rFont val="Arial Narrow"/>
        <i/>
        <color theme="1"/>
        <sz val="10.0"/>
      </rPr>
      <t xml:space="preserve">COMPUTER PROGRAMS AND THEIR LEGAL PROTECTION FROM THE PERSPECTIVE OF INTELLECTUAL PROPERTY LAW, </t>
    </r>
    <r>
      <rPr>
        <rFont val="Arial Narrow"/>
        <color theme="1"/>
        <sz val="10.0"/>
      </rPr>
      <t xml:space="preserve"> Studii Juridice şi Administrative,</t>
    </r>
  </si>
  <si>
    <t>https://www.ceeol.com/search/article-detail?id=1196658</t>
  </si>
  <si>
    <t xml:space="preserve">ceeol, kit, worldcat, </t>
  </si>
  <si>
    <r>
      <rPr>
        <rFont val="Arial Narrow"/>
        <color theme="1"/>
        <sz val="10.0"/>
      </rPr>
      <t xml:space="preserve">Ciocan, I., </t>
    </r>
    <r>
      <rPr>
        <rFont val="Arial Narrow"/>
        <i/>
        <color theme="1"/>
        <sz val="10.0"/>
      </rPr>
      <t>Aspects of the Publishing Contract</t>
    </r>
    <r>
      <rPr>
        <rFont val="Arial Narrow"/>
        <color theme="1"/>
        <sz val="10.0"/>
      </rPr>
      <t xml:space="preserve">, Journal: SAECULUM, </t>
    </r>
  </si>
  <si>
    <t>https://www.ceeol.com/search/article-detail?id=1201881</t>
  </si>
  <si>
    <r>
      <rPr>
        <rFont val="Arial Narrow"/>
        <color theme="1"/>
        <sz val="10.0"/>
      </rPr>
      <t> INDEX COPERNICUS</t>
    </r>
    <r>
      <rPr>
        <rFont val="Arial Narrow"/>
        <color rgb="FF404040"/>
        <sz val="10.0"/>
      </rPr>
      <t>,ERIH; PLUS; EBSCO; CEEOL</t>
    </r>
  </si>
  <si>
    <r>
      <rPr>
        <rFont val="Arial Narrow"/>
        <color rgb="FF000000"/>
        <sz val="10.0"/>
      </rPr>
      <t xml:space="preserve">A GHEOCULESCU, A SOARE, </t>
    </r>
    <r>
      <rPr>
        <rFont val="Arial Narrow"/>
        <i/>
        <color rgb="FF000000"/>
        <sz val="10.0"/>
      </rPr>
      <t>TRADEMARK - PROTECTIVE ELEMENT  OF INTELLECTUAL PROPERTY RIGHTS</t>
    </r>
    <r>
      <rPr>
        <rFont val="Arial Narrow"/>
        <color rgb="FF000000"/>
        <sz val="10.0"/>
      </rPr>
      <t xml:space="preserve"> , Valahia University Law Study</t>
    </r>
  </si>
  <si>
    <t>chrome-extension://efaidnbmnnnibpcajpcglclefindmkaj/https://www.analefsj.ro/ro/reviste/numarul42/pdf/03-Amelia%20Gheoculescu,%20Andrei%20Soare.pdf</t>
  </si>
  <si>
    <r>
      <rPr>
        <rFont val="Arial Narrow"/>
        <color theme="1"/>
        <sz val="10.0"/>
      </rPr>
      <t>Index Copernicus, EBSCO Publishing, WorldCat</t>
    </r>
    <r>
      <rPr>
        <rFont val="Arial Narrow"/>
        <color rgb="FF000000"/>
        <sz val="10.0"/>
      </rPr>
      <t>,</t>
    </r>
  </si>
  <si>
    <r>
      <rPr>
        <rFont val="Arial Narrow"/>
        <color rgb="FF000000"/>
        <sz val="10.0"/>
      </rPr>
      <t xml:space="preserve">Ungureanu, C.M., </t>
    </r>
    <r>
      <rPr>
        <rFont val="Arial Narrow"/>
        <i/>
        <color rgb="FF000000"/>
        <sz val="10.0"/>
      </rPr>
      <t>Ghostwriting-ul în contextul transformării digitale globale.</t>
    </r>
    <r>
      <rPr>
        <rFont val="Arial Narrow"/>
        <color rgb="FF000000"/>
        <sz val="10.0"/>
      </rPr>
      <t>,  Revista Română de Drept al Afacerilor,</t>
    </r>
  </si>
  <si>
    <t>https://rrda.ro/ghostwriting-ul-in-contextul-transformarii-digitale-globale/</t>
  </si>
  <si>
    <r>
      <rPr>
        <rFont val="Arial Narrow"/>
        <color theme="1"/>
        <sz val="10.0"/>
      </rPr>
      <t xml:space="preserve">S.Ionescu </t>
    </r>
    <r>
      <rPr>
        <rFont val="Arial Narrow"/>
        <i/>
        <color theme="1"/>
        <sz val="10.0"/>
      </rPr>
      <t>Public  decisions in crisis situations</t>
    </r>
    <r>
      <rPr>
        <rFont val="Arial Narrow"/>
        <color theme="1"/>
        <sz val="10.0"/>
      </rPr>
      <t>, Studii Juridice şi Administrative,</t>
    </r>
  </si>
  <si>
    <t>https://www.ceeol.com/search/article-detail?id=1196639</t>
  </si>
  <si>
    <t xml:space="preserve">ceeol, kit, WorldCat, </t>
  </si>
  <si>
    <t xml:space="preserve"> Deac, C., Tarnu, L.,</t>
  </si>
  <si>
    <r>
      <rPr>
        <rFont val="Arial Narrow"/>
        <color theme="1"/>
        <sz val="10.0"/>
      </rPr>
      <t xml:space="preserve">J De Bock, S Verstockt, </t>
    </r>
    <r>
      <rPr>
        <rFont val="Arial Narrow"/>
        <i/>
        <color theme="1"/>
        <sz val="10.0"/>
      </rPr>
      <t>Road cycling safety scoring based on geospatial analysis, computer vision and machine learning,</t>
    </r>
    <r>
      <rPr>
        <rFont val="Arial Narrow"/>
        <color theme="1"/>
        <sz val="10.0"/>
      </rPr>
      <t>Multimedia Tools and Applications</t>
    </r>
  </si>
  <si>
    <t>https://link.springer.com/article/10.1007/s11042-022-13552-1</t>
  </si>
  <si>
    <r>
      <rPr>
        <rFont val="Arial Narrow"/>
        <color rgb="FF000000"/>
        <sz val="10.0"/>
      </rPr>
      <t>S Sakane, D Kudo, N Mukojima, M Yasugi, S Suyama, H., Yamamoto,</t>
    </r>
    <r>
      <rPr>
        <rFont val="Arial Narrow"/>
        <i/>
        <color rgb="FF000000"/>
        <sz val="10.0"/>
      </rPr>
      <t xml:space="preserve"> Formation of multiple aerial LED signs in multiple lanes formed with AIRR by use of two beam splitters</t>
    </r>
    <r>
      <rPr>
        <rFont val="Arial Narrow"/>
        <color rgb="FF000000"/>
        <sz val="10.0"/>
      </rPr>
      <t>, Optical Review</t>
    </r>
  </si>
  <si>
    <t>https://link.springer.com/article/10.1007/s10043-022-00771-y</t>
  </si>
  <si>
    <t>Tarnu, L.,</t>
  </si>
  <si>
    <t xml:space="preserve">THREATS AND RISKS GENERATED BY ILLEGAL MIGRATION FLOWS AND THEIR CONTROL </t>
  </si>
  <si>
    <r>
      <rPr>
        <rFont val="Arial Narrow"/>
        <color rgb="FF000000"/>
        <sz val="10.0"/>
      </rPr>
      <t xml:space="preserve">РВ Кулешов, ЕИ Фойгель, </t>
    </r>
    <r>
      <rPr>
        <rFont val="Arial Narrow"/>
        <i/>
        <color rgb="FF000000"/>
        <sz val="10.0"/>
      </rPr>
      <t>ПРОТИВОДЕЙСТВИЕ ПРЕСТУПНОСТИ, СВЯЗАННОЙ С ОРГАНИЗАЦИЕЙ НЕЗАКОННОЙ МИГРАЦИИ В ПЕРИОД ОСУЩЕСТВЛЕНИЯ СПЕЦИАЛЬНОЙ</t>
    </r>
    <r>
      <rPr>
        <rFont val="Arial Narrow"/>
        <color rgb="FF000000"/>
        <sz val="10.0"/>
      </rPr>
      <t xml:space="preserve"> </t>
    </r>
    <r>
      <rPr>
        <rFont val="Arial Narrow"/>
        <i/>
        <color rgb="FF000000"/>
        <sz val="10.0"/>
      </rPr>
      <t>ВОЕННОЙ ОПЕРАЦИИ: ОРГАНИЗАЦИОННО-ПРАВОВЫЕ И КРИМИНАЛИСТИЧЕСКИЕ АСПЕКТЫ</t>
    </r>
    <r>
      <rPr>
        <rFont val="Arial Narrow"/>
        <color rgb="FF000000"/>
        <sz val="10.0"/>
      </rPr>
      <t>, Всероссийский криминологический журнал</t>
    </r>
  </si>
  <si>
    <t>https://cyberleninka.ru/article/n/protivodeystvie-prestupnosti-svyazannoy-s-organizatsiey-nezakonnoy-migratsii-v-period-osuschestvleniya-spetsialnoy-voennoy</t>
  </si>
  <si>
    <r>
      <rPr>
        <rFont val="Arial Narrow"/>
        <color rgb="FF000000"/>
        <sz val="10.0"/>
      </rPr>
      <t xml:space="preserve">MN Chuene , </t>
    </r>
    <r>
      <rPr>
        <rFont val="Arial Narrow"/>
        <i/>
        <color rgb="FF000000"/>
        <sz val="10.0"/>
      </rPr>
      <t>The impact of securitisation on South Africa's migration protocols during the Zuma administration (2009-2017</t>
    </r>
    <r>
      <rPr>
        <rFont val="Arial Narrow"/>
        <color rgb="FF000000"/>
        <sz val="10.0"/>
      </rPr>
      <t xml:space="preserve">), MN Chuene </t>
    </r>
  </si>
  <si>
    <t>https://repository.nwu.ac.za/handle/10394/42253</t>
  </si>
  <si>
    <t xml:space="preserve">Mini dissertation accepted in partial fulfilment of the requirements for the degree Master of Arts in Security Studies at the North-West University </t>
  </si>
  <si>
    <r>
      <rPr>
        <rFont val="Arial Narrow"/>
        <color rgb="FF000000"/>
        <sz val="10.0"/>
      </rPr>
      <t xml:space="preserve">ЛВ Готчина, </t>
    </r>
    <r>
      <rPr>
        <rFont val="Arial Narrow"/>
        <i/>
        <color rgb="FF000000"/>
        <sz val="10.0"/>
      </rPr>
      <t>О НОВЫХ ТИПАХ ЛИЧНОСТИ ПРЕСТУПНИКА В ИЗМЕНЯЮЩЕМСЯ РОССИЙСКОМ ОБЩЕСТВЕ</t>
    </r>
    <r>
      <rPr>
        <rFont val="Arial Narrow"/>
        <color rgb="FF000000"/>
        <sz val="10.0"/>
      </rPr>
      <t>, Вестник Белгородского юридического института …,</t>
    </r>
  </si>
  <si>
    <t>https://cyberleninka.ru/article/n/o-novyh-tipah-lichnosti-prestupnika-v-izmenyayuschemsya-rossiyskom-obschestve/viewer</t>
  </si>
  <si>
    <r>
      <rPr>
        <rFont val="Arial Narrow"/>
        <color rgb="FF000000"/>
        <sz val="10.0"/>
      </rPr>
      <t xml:space="preserve">YM Bah, </t>
    </r>
    <r>
      <rPr>
        <rFont val="Arial Narrow"/>
        <i/>
        <color rgb="FF000000"/>
        <sz val="10.0"/>
      </rPr>
      <t>Impacts of Illegal Migration: Lessons for Migration Management Professionals ,</t>
    </r>
    <r>
      <rPr>
        <rFont val="Arial Narrow"/>
        <color rgb="FF000000"/>
        <sz val="10.0"/>
      </rPr>
      <t xml:space="preserve"> International Journal of Arts, Humanities and Social Studies,  </t>
    </r>
  </si>
  <si>
    <t>chrome-extension://efaidnbmnnnibpcajpcglclefindmkaj/https://ijahss.in/Archive/vol-4issue-6/IJAHSS0406209-146-152.pdf</t>
  </si>
  <si>
    <t>google scholar, crossref, Index Copernicus, RJIF</t>
  </si>
  <si>
    <t xml:space="preserve">LIBERTY OF CONSCIENCE, NATURAL RIGHT AND ESSENCE OF LIBERTY OF THINKING </t>
  </si>
  <si>
    <r>
      <rPr>
        <rFont val="Arial Narrow"/>
        <color theme="1"/>
        <sz val="10.0"/>
      </rPr>
      <t xml:space="preserve">M Tampubolon, </t>
    </r>
    <r>
      <rPr>
        <rFont val="Arial Narrow"/>
        <i/>
        <color theme="1"/>
        <sz val="10.0"/>
      </rPr>
      <t xml:space="preserve">Discrimination against Christian Minority in Muslim Societies: A Comparison of Indonesia and Bangladesh,PERSPECTIVES in LAWS. AkiNik Publications </t>
    </r>
  </si>
  <si>
    <t>http://repository.uki.ac.id/13245/</t>
  </si>
  <si>
    <t>Bowker:AProQuest Affiliate; Crossref</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</si>
  <si>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</si>
  <si>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RUSU, G. P. (2023). </t>
    </r>
    <r>
      <rPr>
        <rFont val="Arial Narrow"/>
        <i/>
        <color theme="1"/>
        <sz val="10.0"/>
      </rPr>
      <t>Comportarea la deformare incrementală a tablelor sudate, Teză de doctorat, Sibiu, 2023</t>
    </r>
  </si>
  <si>
    <t>DOBROTA, D. (ULBS), PETRESCU, V. (ULBS), DIMULESCU, C. S. (S.C. DEDEMAN S.R.L.), OLEKSIK, M. (ULBS)</t>
  </si>
  <si>
    <t>Preparation and Characterization of Composites Materials with Rubber Matrix and with Polyvinyl Chloride Addition (PVC), Polymers, 2020, 12(9), article number 1978, https://doi.org/10.3390/polym12091978, WOS:000580867600001</t>
  </si>
  <si>
    <r>
      <rPr>
        <rFont val="Arial Narrow"/>
        <color theme="1"/>
        <sz val="10.0"/>
      </rPr>
      <t xml:space="preserve">CRISTINEL, D. S., &amp; ROTARU, I. M. (2023). STUDY OF COMPOSITE MATERIALS WITH RUBBER MATRICES AND FA AND PVC ADDITIVES USING FINITE ELEMENT ANALYSIS. </t>
    </r>
    <r>
      <rPr>
        <rFont val="Arial Narrow"/>
        <i/>
        <color theme="1"/>
        <sz val="10.0"/>
      </rPr>
      <t>Annals of'Constantin Brancusi'University of Targu-Jiu. Engineering Series/Analele Universităţii Constantin Brâncuşi din Târgu-Jiu. Seria Inginerie</t>
    </r>
    <r>
      <rPr>
        <rFont val="Arial Narrow"/>
        <color theme="1"/>
        <sz val="10.0"/>
      </rPr>
      <t xml:space="preserve">(4). </t>
    </r>
  </si>
  <si>
    <t>Ebsco, DOAJ</t>
  </si>
  <si>
    <t>DOBROTA, D., RACZ, G., OLEKSIK, M., ROTARU, I., TOMESCU, M, SIMION, C.M. (toți ULBS)</t>
  </si>
  <si>
    <r>
      <rPr>
        <rFont val="Arial Narrow"/>
        <color theme="1"/>
        <sz val="10.0"/>
      </rPr>
      <t xml:space="preserve">TOMESCU, M., &amp; ROTARU, I. M. (2023). ANALYSIS OF THE VARIATION OF THE ROUGHNESS OBTAINED DURING TURNING WITH TRANSVERSE FEED DUE TO THE MODIFICATION OF THE FUNCTIONAL GEOMETRY OF THE CUTTING TOOL. </t>
    </r>
    <r>
      <rPr>
        <rFont val="Arial Narrow"/>
        <i/>
        <color theme="1"/>
        <sz val="10.0"/>
      </rPr>
      <t>Fiability &amp; Durability/Fiabilitate si Durabilitate, 2023, 1, p.37</t>
    </r>
  </si>
  <si>
    <t>https://openurl.ebsco.com/EPDB%3Agcd%3A6%3A21816214/detailv2?sid=ebsco%3Aplink%3Ascholar&amp;id=ebsco%3Agcd%3A164695527&amp;crl=c</t>
  </si>
  <si>
    <r>
      <rPr>
        <rFont val="Arial Narrow"/>
        <color theme="1"/>
        <sz val="10.0"/>
      </rPr>
      <t xml:space="preserve">TOMESCU, M., &amp; ROTARU, I. M. (2023). ANALYSIS OF THE VARIATION OF VIBRATIONS THAT APPEAR DURING TURNING WORKS WITH TRANSVERSE FEED DUE TO THE MODIFICATION OF THE FUNCTIONAL GEOMETRY OF THE CUTTING TOOL. </t>
    </r>
    <r>
      <rPr>
        <rFont val="Arial Narrow"/>
        <i/>
        <color theme="1"/>
        <sz val="10.0"/>
      </rPr>
      <t>Fiability &amp; Durability/Fiabilitate si Durabilitate, 2023, 1, p.45</t>
    </r>
    <r>
      <rPr>
        <rFont val="Arial Narrow"/>
        <color theme="1"/>
        <sz val="10.0"/>
      </rPr>
      <t xml:space="preserve"> </t>
    </r>
  </si>
  <si>
    <t>https://openurl.ebsco.com/EPDB%3Agcd%3A3%3A21816211/detailv2?sid=ebsco%3Aplink%3Ascholar&amp;id=ebsco%3Agcd%3A164695528&amp;crl=c</t>
  </si>
  <si>
    <r>
      <rPr>
        <rFont val="Arial Narrow"/>
        <color theme="1"/>
        <sz val="10.0"/>
      </rPr>
      <t xml:space="preserve">WANG, J., WU, J., MIAO, J.-T., &amp; WONG, T.-W. (2023). </t>
    </r>
    <r>
      <rPr>
        <rFont val="Arial Narrow"/>
        <i/>
        <color theme="1"/>
        <sz val="10.0"/>
      </rPr>
      <t>Additive Manufacturing for Polymers</t>
    </r>
    <r>
      <rPr>
        <rFont val="Arial Narrow"/>
        <color theme="1"/>
        <sz val="10.0"/>
      </rPr>
      <t xml:space="preserve">. Frontiers Media SA. </t>
    </r>
  </si>
  <si>
    <t>https://books.google.ro/books?hl=ro&amp;lr=&amp;id=GRTdEAAAQBAJ&amp;oi=fnd&amp;pg=PP1&amp;ots=sTbjNlSJiO&amp;sig=fhu13hvc_dHP3wKinKeg_cVIB60&amp;redir_esc=y#v=onepage&amp;q&amp;f=false</t>
  </si>
  <si>
    <t>Carte apărută în străinătate la Editura Frontiers Open Acces</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</si>
  <si>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</si>
  <si>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CRISTINEL, D. S., &amp; ROTARU, I. M. (2023). STUDY OF COMPOSITE MATERIALS WITH RUBBER MATRICES AND FA AND PVC ADDITIVES USING FINITE ELEMENT ANALYSIS. </t>
    </r>
    <r>
      <rPr>
        <rFont val="Arial Narrow"/>
        <i/>
        <color theme="1"/>
        <sz val="10.0"/>
      </rPr>
      <t>Annals of'Constantin Brancusi'University of Targu-Jiu. Engineering Series/Analele Universităţii Constantin Brâncuşi din Târgu-Jiu. Seria Inginerie</t>
    </r>
    <r>
      <rPr>
        <rFont val="Arial Narrow"/>
        <color theme="1"/>
        <sz val="10.0"/>
      </rPr>
      <t xml:space="preserve">(4). </t>
    </r>
  </si>
  <si>
    <t>HAIGH, R. (2023). A Decade Review of Research Trends Using Waste Materials in the Building and Construction Industry: A Pathway towards a Circular Economy. Waste 2023, 1(4), 935-959; https://doi.org/10.3390/waste1040054</t>
  </si>
  <si>
    <r>
      <rPr>
        <rFont val="Arial Narrow"/>
        <color theme="1"/>
        <sz val="10.0"/>
      </rPr>
      <t xml:space="preserve">RUIZ, C. G. A. (2023). </t>
    </r>
    <r>
      <rPr>
        <rFont val="Arial Narrow"/>
        <i/>
        <color theme="1"/>
        <sz val="10.0"/>
      </rPr>
      <t>Study of the Processing-Structure-Property Relationship in Recycled Thermoplastic Composites</t>
    </r>
    <r>
      <rPr>
        <rFont val="Arial Narrow"/>
        <color theme="1"/>
        <sz val="10.0"/>
      </rPr>
      <t xml:space="preserve"> The University of Alabama at Birmingham. </t>
    </r>
  </si>
  <si>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</si>
  <si>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r>
      <rPr>
        <rFont val="Arial Narrow"/>
        <color theme="1"/>
        <sz val="10.0"/>
      </rPr>
      <t xml:space="preserve">SZPUNAR, M., SZAWARA, P., MYŚLIWIEC, P., &amp; OSTROWSKI, R. (2023). Influence of input parameters on the coefficient of friction during incremental sheet forming of grade 5 titanium alloy. </t>
    </r>
    <r>
      <rPr>
        <rFont val="Arial Narrow"/>
        <i/>
        <color theme="1"/>
        <sz val="10.0"/>
      </rPr>
      <t>Advances in Mechanical and Materials Engineering</t>
    </r>
    <r>
      <rPr>
        <rFont val="Arial Narrow"/>
        <color theme="1"/>
        <sz val="10.0"/>
      </rPr>
      <t>,</t>
    </r>
    <r>
      <rPr>
        <rFont val="Arial Narrow"/>
        <i/>
        <color theme="1"/>
        <sz val="10.0"/>
      </rPr>
      <t xml:space="preserve"> 40</t>
    </r>
    <r>
      <rPr>
        <rFont val="Arial Narrow"/>
        <color theme="1"/>
        <sz val="10.0"/>
      </rPr>
      <t xml:space="preserve">(1), 113-123. </t>
    </r>
  </si>
  <si>
    <t>POPP, M.O., OLEKSIK, M., RACZ, S.G., RUSU, G.P. (toți ULBS)</t>
  </si>
  <si>
    <t>Numerical Study of a Process Strategy for Improving Geometrical Accuracy in Incremental Forming Process, ACTA UNIVERSITATIS CIBINIENSIS – TECHNICAL SERIES, 71, 2019, p. 62-66, DOI: 10.2478/aucts-2019-0012</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</si>
  <si>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</si>
  <si>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POPP, M.O., OLEKSIK, M., RACZ, S.G., GÎRJOB, C., BIRIS, C. (toți ULBS)</t>
  </si>
  <si>
    <t>Analysis of forming forces at SPIF using Taguchi method, MATEC Web of Conferences, 2022, vol. 368, article number 1007</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</si>
  <si>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</si>
  <si>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ROSCA, N., OLEKSIK, M., ROSCA, L. (toți ULBS)</t>
  </si>
  <si>
    <t>Numerical-Experimental Study Regarding the Single Point Incremental Forming Process, MATEC Web of Conferences, 2022, vol. 343, article number 3008</t>
  </si>
  <si>
    <r>
      <rPr>
        <rFont val="Arial Narrow"/>
        <color theme="1"/>
        <sz val="10.0"/>
      </rPr>
      <t xml:space="preserve">HABEEBA, H. A., JWEEGB, M. J., &amp; KHLEIFA, A. A. (2023). Investigation of the Effect of SPIF Parameters on the Thickness of Al 2024 Alloy. </t>
    </r>
    <r>
      <rPr>
        <rFont val="Arial Narrow"/>
        <i/>
        <color theme="1"/>
        <sz val="10.0"/>
      </rPr>
      <t>Engineering and Technology Journal</t>
    </r>
    <r>
      <rPr>
        <rFont val="Arial Narrow"/>
        <color theme="1"/>
        <sz val="10.0"/>
      </rPr>
      <t>,</t>
    </r>
    <r>
      <rPr>
        <rFont val="Arial Narrow"/>
        <i/>
        <color theme="1"/>
        <sz val="10.0"/>
      </rPr>
      <t xml:space="preserve"> 41</t>
    </r>
    <r>
      <rPr>
        <rFont val="Arial Narrow"/>
        <color theme="1"/>
        <sz val="10.0"/>
      </rPr>
      <t xml:space="preserve">(12), 1627-1637. </t>
    </r>
  </si>
  <si>
    <t>https://etj.uotechnology.edu.iq/article_181509_c4b5c4f85954da91ca39792f4cc69529.pdf</t>
  </si>
  <si>
    <t>RUSU, G.P., POPP, M.O., OLEKSIK, M., RODEAN, C. (toți ULBS)</t>
  </si>
  <si>
    <t>Numerical simulation of material failure in single point incremental forming process, IOP Conf. Ser.: Mater. Sci. Eng. 564 012018
DOI 10.1088/1757-899X/564/1/012018</t>
  </si>
  <si>
    <r>
      <rPr>
        <rFont val="Arial Narrow"/>
        <color theme="1"/>
        <sz val="10.0"/>
      </rPr>
      <t xml:space="preserve">POPP, M. O. (2023). </t>
    </r>
    <r>
      <rPr>
        <rFont val="Arial Narrow"/>
        <i/>
        <color theme="1"/>
        <sz val="10.0"/>
      </rPr>
      <t>Studii și cercetări privind îmbunătățirea preciziei dimensionale și de formă a pieselor prelucrate prin deformare incrementală. Teza de doctorat, Sibiu, 2023</t>
    </r>
  </si>
  <si>
    <t>RUSU, G.P., POPP, M.O., BÂRSAN, A., OLEKSIK, M. (toți ULBS)</t>
  </si>
  <si>
    <t>Crimping Profile Optimization on the Air Spring Using Finite Element Method, ACTA UNIVERSITATIS CIBINIENSIS – TECHNICAL SERIES, Vol. LXX 2018, DOI: 10.2478/aucts-2018-0007</t>
  </si>
  <si>
    <r>
      <rPr>
        <rFont val="Arial Narrow"/>
        <color theme="1"/>
        <sz val="10.0"/>
      </rPr>
      <t xml:space="preserve">ŞEKER, A., &amp; DEĞIRMENCIOĞLU, F. (2023). CAM ELYAF TAKVİYELİ KOMPOZİT YAPIDA TERMOPLASTİK POLİMER MALZEME İLE ÜRETİLEN SÜSPANSİYON PİSTONUNUN ANALİZİ VE ÜRETİMİ. </t>
    </r>
    <r>
      <rPr>
        <rFont val="Arial Narrow"/>
        <i/>
        <color theme="1"/>
        <sz val="10.0"/>
      </rPr>
      <t>INTERNATIONAL JOURNAL OF NEW HORIZONS IN THE SCIENCES</t>
    </r>
    <r>
      <rPr>
        <rFont val="Arial Narrow"/>
        <color theme="1"/>
        <sz val="10.0"/>
      </rPr>
      <t xml:space="preserve">, 47-55. </t>
    </r>
  </si>
  <si>
    <t>https://www.jihsci.com/index.php/jihsci/article/view/10</t>
  </si>
  <si>
    <t>Neindexat</t>
  </si>
  <si>
    <t>University and non-formal education</t>
  </si>
  <si>
    <t>MB León, AR Aroca, JB Romero, HN Silva, S"STRENGTHENING SKILLS THROUGH NON-FORMAL EDUCATION." ICERI2023 Proceedings. IATED, 2023.</t>
  </si>
  <si>
    <t>https://scholar.google.com/scholar?oi=bibs&amp;hl=ro&amp;cites=3277515396787470832</t>
  </si>
  <si>
    <t>Ana TUSA,
Sorin Claudiu VOINIA, 
Dan MIRICESCU (ULBS)</t>
  </si>
  <si>
    <t>Decentralization Of The Managerial System In Romanian Pre-University Education, 2013
Revista Economica, Volumul 65, Numărul
5, Pag. 182-189</t>
  </si>
  <si>
    <r>
      <rPr>
        <rFont val="Arial Narrow"/>
        <color theme="1"/>
        <sz val="10.0"/>
      </rPr>
      <t xml:space="preserve">Alina Nicoleta BONCILICĂ
</t>
    </r>
    <r>
      <rPr>
        <rFont val="Arial Narrow"/>
        <i/>
        <color theme="1"/>
        <sz val="10.0"/>
      </rPr>
      <t>The State of the Pre-University Education System
in Romania. Is Educational Management Professional
and Based on Responsibility?</t>
    </r>
    <r>
      <rPr>
        <rFont val="Arial Narrow"/>
        <color theme="1"/>
        <sz val="10.0"/>
      </rPr>
      <t xml:space="preserve">
DOI: 10.24818/RMCI.2023.1.46
Review of International Comparative Management Volume 24, Issue 1, March 2023</t>
    </r>
  </si>
  <si>
    <t>https://www.proquest.com/docview/2807105671/fulltextPDF/C32BCBCF144E4EA7PQ/1?accountid=8083&amp;sourcetype=Scholarly%20Journals</t>
  </si>
  <si>
    <t>Văcar, Anca (ULBS), Miricescu, Dan (ULBS)</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</si>
  <si>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</si>
  <si>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theme="1"/>
        <sz val="10.0"/>
      </rPr>
      <t xml:space="preserve">Orlando CHIRINOS-COLMENARES, </t>
    </r>
    <r>
      <rPr>
        <rFont val="Arial Narrow"/>
        <i/>
        <color theme="1"/>
        <sz val="10.0"/>
      </rPr>
      <t>Dynamique des démarches d’amélioration continue : Maintien du cycle de la performance</t>
    </r>
    <r>
      <rPr>
        <rFont val="Arial Narrow"/>
        <color theme="1"/>
        <sz val="10.0"/>
      </rPr>
      <t>, Robotique. Université Grenoble Alpes, 2018. Français. ffNNT :
2018GREAA014</t>
    </r>
  </si>
  <si>
    <t>https://theses.hal.science/tel-03547922/preview/CHIRINOS_2018_archivage.pdf</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</si>
  <si>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</si>
  <si>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theme="1"/>
        <sz val="10.0"/>
      </rPr>
      <t xml:space="preserve">Rias Kumalasari Devi, Alivia Yulfitri, Deden Sumirat Hidayat, Dana Indra Sensuse,  </t>
    </r>
    <r>
      <rPr>
        <rFont val="Arial Narrow"/>
        <i/>
        <color theme="1"/>
        <sz val="10.0"/>
      </rPr>
      <t>Determinants of knowledge sharing among
civil servants and the moderating effects of
leadership styles, Business Information Review
2023, Vol. 0(0) 1–14, sagepub.com/journals-permissions
DOI: 10.1177/02663821231216687
journals.sagepub.com/home/bir</t>
    </r>
  </si>
  <si>
    <t>https://journals.sagepub.com/doi/10.1177/02663821231216687</t>
  </si>
  <si>
    <t>Google Scholar
Sage</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</si>
  <si>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</si>
  <si>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i val="0"/>
        <color theme="1"/>
        <sz val="10.0"/>
      </rPr>
      <t>Yohana, Humaidi</t>
    </r>
    <r>
      <rPr>
        <rFont val="Arial Narrow"/>
        <i/>
        <color theme="1"/>
        <sz val="10.0"/>
      </rPr>
      <t xml:space="preserve"> - Effect of Transformational Leadership Style and Work Commitment on Employee Performance at the Regional Secretariat of Murung Raya Regency, Central Kalimantan Province, International Journal of Research in Vocational Studies (IJRVOCAS)
Vol. 1, No. 3, December 2021, pp. 42~50
Print ISSN 2777-0168| Online ISSN 2777-0141| DOI prefix: 10.53893</t>
    </r>
  </si>
  <si>
    <t>https://journal.gpp.or.id/index.php/ijrvocas/article/view/54</t>
  </si>
  <si>
    <t>BDI
Research Gate</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</si>
  <si>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</si>
  <si>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rgb="FF000000"/>
        <sz val="10.0"/>
      </rPr>
      <t xml:space="preserve">Hasnidar, H., Jusri, J., &amp; Bakri, A. A. (2023). </t>
    </r>
    <r>
      <rPr>
        <rFont val="Arial Narrow"/>
        <i/>
        <color rgb="FF000000"/>
        <sz val="10.0"/>
      </rPr>
      <t>Navigating Employee Performance: The Synergy of Ethical Leadership, Communication Proficiency and Trust. Escalate</t>
    </r>
    <r>
      <rPr>
        <rFont val="Arial Narrow"/>
        <color rgb="FF000000"/>
        <sz val="10.0"/>
      </rPr>
      <t>: Economics and Business Journal, 1(01), 38-51.</t>
    </r>
  </si>
  <si>
    <t>https://journal.takaza.id/index.php/escalate/article/view/9</t>
  </si>
  <si>
    <t>BDI
Google Scholar</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</si>
  <si>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</si>
  <si>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rgb="FF000000"/>
        <sz val="10.0"/>
      </rPr>
      <t>AFRIANI, Dewi; YULIHASRI, Yulihasri. Pengaruh Kepemimpinan,</t>
    </r>
    <r>
      <rPr>
        <rFont val="Arial Narrow"/>
        <i/>
        <color rgb="FF000000"/>
        <sz val="10.0"/>
      </rPr>
      <t xml:space="preserve"> Communication Skill dan Trust terhadap Kinerja Pegawai pada Sekretariat DPRD di Kabupaten Agam</t>
    </r>
    <r>
      <rPr>
        <rFont val="Arial Narrow"/>
        <color rgb="FF000000"/>
        <sz val="10.0"/>
      </rPr>
      <t>. Jurnal Mirai Management, 2023, 8.2.</t>
    </r>
  </si>
  <si>
    <t>https://www.journal.stieamkop.ac.id/index.php/mirai/article/view/5442</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</si>
  <si>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</si>
  <si>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rgb="FF000000"/>
        <sz val="10.0"/>
      </rPr>
      <t xml:space="preserve">KARČIAUSKAITĖ, Ingrida. </t>
    </r>
    <r>
      <rPr>
        <rFont val="Arial Narrow"/>
        <i/>
        <color rgb="FF000000"/>
        <sz val="10.0"/>
      </rPr>
      <t>Vidinės komunikacijos reikšmė ugdymo (INTERNAL COMMUNICATION SIGNIFICANCE FOR THE SUCCESS OF AN
EDUCATIONAL INSTITUTION)</t>
    </r>
    <r>
      <rPr>
        <rFont val="Arial Narrow"/>
        <color rgb="FF000000"/>
        <sz val="10.0"/>
      </rPr>
      <t xml:space="preserve"> įstaigos sėkmei. 2023. PhD Thesis
</t>
    </r>
  </si>
  <si>
    <t>https://portalcris.vdu.lt/server/api/core/bitstreams/1551602c-eb20-40da-9a84-c2f1d8d4bc5d/content</t>
  </si>
  <si>
    <r>
      <rPr>
        <rFont val="Arial Narrow"/>
        <i/>
        <color theme="1"/>
        <sz val="10.0"/>
      </rPr>
      <t>Leadership – A Key Factor to a Succesful Organization – Part II</t>
    </r>
    <r>
      <rPr>
        <rFont val="Arial Narrow"/>
        <color theme="1"/>
        <sz val="10.0"/>
      </rPr>
      <t xml:space="preserve">
Procedia Economics and Finance, 6(13), 430–435. doi:10.1016/s2212-5671(13)00159-7.</t>
    </r>
  </si>
  <si>
    <r>
      <rPr>
        <rFont val="Arial Narrow"/>
        <color rgb="FF000000"/>
        <sz val="10.0"/>
      </rPr>
      <t xml:space="preserve">MATIJA, Modrić. </t>
    </r>
    <r>
      <rPr>
        <rFont val="Arial Narrow"/>
        <i/>
        <color rgb="FF000000"/>
        <sz val="10.0"/>
      </rPr>
      <t>Uloga vodstva u strateškom razvoju poduzeća</t>
    </r>
    <r>
      <rPr>
        <rFont val="Arial Narrow"/>
        <color rgb="FF000000"/>
        <sz val="10.0"/>
      </rPr>
      <t>. 2023. PhD Thesis. University of Rijeka. Faculty of Tourism and Hospitality Management.</t>
    </r>
  </si>
  <si>
    <t>https://www.unirepository.svkri.uniri.hr/islandora/object/fthm:4799</t>
  </si>
  <si>
    <t>Experimental Determination Of The Optimum Cutting Tool For CNC Milling Of 3D Printed PLA Parts</t>
  </si>
  <si>
    <t>https://dergipark.org.tr/en/pub/ij3dptdi/issue/79520/1267634</t>
  </si>
  <si>
    <r>
      <rPr>
        <rFont val="Arial Narrow"/>
        <color theme="1"/>
        <sz val="10.0"/>
      </rPr>
      <t>CHASAYA,Wimbayi. </t>
    </r>
    <r>
      <rPr>
        <rFont val="Arial Narrow"/>
        <i/>
        <color rgb="FF222222"/>
        <sz val="10.0"/>
      </rPr>
      <t>Entrepreneurship education and students’ entrepreneurial intentions at selected tertiary institutions in Durban</t>
    </r>
    <r>
      <rPr>
        <rFont val="Arial Narrow"/>
        <color rgb="FF222222"/>
        <sz val="10.0"/>
      </rPr>
      <t>. 2023. PhD Thesis.</t>
    </r>
  </si>
  <si>
    <t>https://scholar.google.com/scholar?start=10&amp;hl=ro&amp;as_sdt=2005&amp;as_ylo=2023&amp;as_yhi=2023&amp;cites=646771581109674818&amp;scipsc=</t>
  </si>
  <si>
    <t>BALTADOR Lia Alexandra, GRECU Valentin,  DEVELOPING SUSTAINABLE ENTREPRENEURS THROUGH
SOCIAL ENTREPRENEURSHIP EDUCATION</t>
  </si>
  <si>
    <t>Valentin Grecu, Calin Deneș, Nagore Ipiña (Spania)</t>
  </si>
  <si>
    <t>Creative teaching methods for educating engineers</t>
  </si>
  <si>
    <t>Grecu, V.,  Investigating Critical Thinking Among Engineering Students in Romania</t>
  </si>
  <si>
    <t>https://intapi.sciendo.com/pdf/10.2478/aucts-2023-0003</t>
  </si>
  <si>
    <t>Developing interpersonal, communication and critical thinking skills in engineering students</t>
  </si>
  <si>
    <t>Developing Transversal Skills in Engineering Studies</t>
  </si>
  <si>
    <t>G. Dobrotă, (U. C. Brâncuși) D. Dobrotă (ULBS), V. Petrescu (ULBS)</t>
  </si>
  <si>
    <t>Circular economy—Fundament of challenges for business environment, Balkan Region Conference on Engineering, and Business. Education proceedings, (2017) 3, 432–439.</t>
  </si>
  <si>
    <t xml:space="preserve"> D. Bjelić, B. Malinović, D. Nešković Markić and Melina Džaijć Valjevac, Sustainable tyres waste management in a circular economy, The circular
economy: “the number one priority” for the European Green DealEditor: Victor Poliakov, 2023</t>
  </si>
  <si>
    <t>https://www.researchgate.net/profile/Stevan-Savic/publication/369452938_Greening_the_cities_-_Improving_micro-scale_thermal_conditions_and_enhancing_sustainable_urban_environments/links/641c0d5da1b72772e41dcae8/Greening-the-cities-Improving-micro-scale-thermal-conditions-and-enhancing-sustainable-urban-environments.pdf#page=86</t>
  </si>
  <si>
    <t>google academic, DOAJ,</t>
  </si>
  <si>
    <t xml:space="preserve">Bendic, V. (UPB); Dobrotă, D. (ULBS)
</t>
  </si>
  <si>
    <t>Theoretical and Experimental Contributions on the Use of
Smart Composite Materials in the Construction of Civil Buildings with Low Energy
Consumption. Energy 2018 , 11 , 2310. https://doi.org/10.3390/en11092310</t>
  </si>
  <si>
    <t>Tomescu M., Rotaru, I.M., Analysis of the variation of the roughnes obtained during turning with transverse feed due to the modification the functional geometry of the cutting tool, Fiabilitate şi Durabilitate, no. 1, 2023</t>
  </si>
  <si>
    <t>https://www.utgjiu.ro/rev_mec/mecanica/pdf/2023-01/08_Tomescu%20M,%20Rotaru%20I%20M%20-Analysis%20of%20the%20variation%20of%20the%20roughness%20obtained%20during%20turning%20with%20transverse%20feed%20due%20to%20the%20modification%20of%20the%20functional%20geometry%20of%20the%20cutting%20tool.pdf</t>
  </si>
  <si>
    <t>Dobrotă, D. (ULBS)</t>
  </si>
  <si>
    <t xml:space="preserve"> Modern technologies of materials manufacturing, Lambert Publishing
House, 2018, ISBN 978-613-9-57737-8, pp. 91 -103, 2018</t>
  </si>
  <si>
    <t>Tomescu M., Rotaru, I.M., Analysis of the variation of vibrations that appear during turning works with transverse feed due to the modification of the functional geometry of the cutting tool, Fiabilitate şi Durabilitate, no. 1, 2023</t>
  </si>
  <si>
    <t>https://www.utgjiu.ro/rev_mec/mecanica/pdf/2023-01/09_Tomescu%20M,%20Rotaru%20I%20M%20-Analysis%20of%20the%20variation%20of%20vibrations%20that%20appear%20during%20turning%20works%20with%20transverse%20feed%20due%20to%20the%20modification%20of%20the%20functional%20geometry%20of%20the%20cutting%20tool.pdf</t>
  </si>
  <si>
    <t>Reducing of Energy Consumption by Improving the Reclaiming Technology in Autoclave of a Rubber Wastes. Energies 2019, 12, 1460. https://doi.org/10.3390/en12081460</t>
  </si>
  <si>
    <t>Dobrotă, D.; Racz, S.-G.; Oleksik, M.; Rotaru, I.; Tomescu, M.; Simion, C.M. (ULBS)</t>
  </si>
  <si>
    <t>Smart Cutting Tools Used in the Processing of Aluminum Alloys. Sensors 2022, 22, 28. https://doi.org/10.3390/s22010028</t>
  </si>
  <si>
    <t>Oleksik, M.; Dobrota, D.; Tomescu, M.; Petrescu, V. (ULBS)</t>
  </si>
  <si>
    <t xml:space="preserve">Improving the Performance of
Steel Machining Processes through Cutting by Vibration Control. Materials 2021 , 14 ,
5712. https://doi.org/10.3390/ma14195712
</t>
  </si>
  <si>
    <t xml:space="preserve">Tomescu, M.; Dobrotă, D. </t>
  </si>
  <si>
    <t>The Analysis of the Evolution of the Functional Geometry of
the Tool at the Lathing with a Transverse Advance. Fiability &amp; Durability No 2/ 2017
Editura “Academica Brâncuşi” , Târgu Jiu, ISSN 1844 – 640X</t>
  </si>
  <si>
    <t>Dobrota, D. (ULBS); Dobrotă, G. (UCB)</t>
  </si>
  <si>
    <t xml:space="preserve"> Reducing of Energy Consumption by Improving the Reclaiming Technology in Autoclave of a Rubber Wastes. Energy 2019 , 12 , 1460. https://doi.org/10.3390/en12081460.</t>
  </si>
  <si>
    <t>Dobrota, D.; Racz, S.-G.; Oleksik, M.; Rotaru, I.; Tomescu, M.; Simion, CM (ULBS)</t>
  </si>
  <si>
    <t xml:space="preserve"> Smart Cutting Tools Used in the Processing of Aluminum Alloys. Sensors 2022 , 22 , 28. https://doi.org/10.3390/s22010028</t>
  </si>
  <si>
    <t>Improving the Performance of Steel Machining Processes through Cutting by Vibration Control. Materials 2021 , 14 , 5712. https://doi.org/10.3390/ma14195712</t>
  </si>
  <si>
    <t>Tomescu, M.; Dobrotă, D.</t>
  </si>
  <si>
    <t xml:space="preserve"> The analysis of the evolution of the functional geometry of the tool at the lathing with a transverse advance. Reliability &amp; Durability No 2/ 2017
“Academica Brâncusi” Publishing House, Târgu Jiu, ISSN 1844 – 640X</t>
  </si>
  <si>
    <t>Dimulescu, S.; Dobrotă, D. (ULBS)</t>
  </si>
  <si>
    <t xml:space="preserve"> Analysis of causes which determine the degradation of conveyors with metal insert. Fiability &amp; Durability 2018, 2, 138–143.</t>
  </si>
  <si>
    <t>Sabin Cristinel DIMULESCU, Mihaela WETTERNEK, Study about the usage of fly ash waste in the manufacture of composite materials with rubber matrix, Faiblitate și durabilitate, No. 1, 2023</t>
  </si>
  <si>
    <t>https://www.utgjiu.ro/rev_mec/mecanica/pdf/2023-01/16_Dimulescu%20C,%20Wetternek%20M-%20Study%20about%20the%20usage%20of%20fly%20ash%20waste%20in%20the%20manufacture%20of%20composite%20materials%20with%20rubber%20matrix.pdf</t>
  </si>
  <si>
    <t>Benedykt OPAŁKA, FINANCING INVESTMENTS IN THE REGIONAL STRUCTURE IN THE FACE OF CRISIS PHENOMENA IN POLAND, S I L E S I A N U N I V E R S I T Y O F T E C H N O L O G Y P U B L I S H I N G H O U S E
SCIENTIFIC PAPERS OF SILESIAN UNIVERSITY OF TECHNOLOGY ORGANIZATION AND MANAGEMENT SERIES NO. 174. 2023</t>
  </si>
  <si>
    <t>https://managementpapers.polsl.pl/wp-content/uploads/2023/08/174-Opa%C5%82ka.pdf</t>
  </si>
  <si>
    <t>google academic, EBSCO, DOAJ, ERIH Plus</t>
  </si>
  <si>
    <t>D. Dobrotă (ULBS), S. V. Lazăr (Conatinental)</t>
  </si>
  <si>
    <t>Ultrasonic Welding of PBT-GF30 (70% Polybutylene
Terephthalate + 30% Fiber Glass) and Expanded Polytetrafluoroethylene (e-PTFE)”,
Polymers (Basel), vol. 13, nr 2, s. 298, jan. 2021, doi: 10.3390/polym13020298.</t>
  </si>
  <si>
    <t xml:space="preserve">William Holmström, Förstudie av nya tekniken jämfört traditionell svetsning, Högskoleingenjör, Maskinteknik, 2023
</t>
  </si>
  <si>
    <t>https://www.diva-portal.org/smash/get/diva2:1789242/FULLTEXT01.pdf</t>
  </si>
  <si>
    <t>google academic, Teză străinătate</t>
  </si>
  <si>
    <t>Benedykt OPAŁKA, Determinants of Public Investment Effectiveness Evaluation in Unstable Macroeconomic Environment , RAIS Journal for Social Sciences: Vol. 7 No. 2 (2023): RAIS Journal for Social Sciences</t>
  </si>
  <si>
    <t>https://journal.rais.education/index.php/raiss/article/view/194</t>
  </si>
  <si>
    <t xml:space="preserve"> RePEc, CEEOL, Google Scholar, DRJI, Journal Factor, IIJIF, WorldCat.</t>
  </si>
  <si>
    <t>Dobrota, D.; Oleksik , M.; Chicea , AL ,</t>
  </si>
  <si>
    <t xml:space="preserve"> Ecodesign of the Aluminum Bronze Cutting Process. Materials 2022, 15 , 2735, https://doi.org/10.3390/ma15082735</t>
  </si>
  <si>
    <t>Dobrota Dan, Tomescu Madalin</t>
  </si>
  <si>
    <t xml:space="preserve"> The analysis of the evolution of the functional geometry of the tool at the lathing with a transverse advance, Fiabilitate si Durabilitate - Fiability &amp; Durability No 2/ 2017</t>
  </si>
  <si>
    <t>Oleksik M, Dobrotă D, Tomescu M,
Petrescu V.</t>
  </si>
  <si>
    <t xml:space="preserve"> Improving the Performance of Steel Machining Processes through Cutting Annals of the „Constantin Brancusi” University of Targu Jiu, Engineering Series, No. 4/2023
52, by Vibration Control. Materials. 2021; 14(19):5712.</t>
  </si>
  <si>
    <t xml:space="preserve">Dobrota, D., Tomescu, M. </t>
  </si>
  <si>
    <t>Analysis of the evolution of the roughness of surfaces processed by turning depending on the functional geometry of the cutting tool, Fiabilitate si Durabilitate - Fiability &amp; Durability No 1/ 2018</t>
  </si>
  <si>
    <t>Dobrotă, D.; Dobrotă, G.</t>
  </si>
  <si>
    <t xml:space="preserve"> Reducing of Energy Consumption by Improving the Reclaiming Technology in Autoclave of a Rubber Wastes. Energies, 2019, 12, 1</t>
  </si>
  <si>
    <t xml:space="preserve">Dobrotă, D., Petrescu, V., Dimulescu, C.S., Oleksik, M., </t>
  </si>
  <si>
    <t xml:space="preserve">Preparation and Characterization of Composites Materials with Rubber Matrix and with Polyvinyl Chloride Addition (PVC), Polymers, Vol. 12, pp. 1-27, 2020. </t>
  </si>
  <si>
    <t>S. Dimulescu, D. Dobrotă</t>
  </si>
  <si>
    <t>Analysis of causes which determine the degradation of conveyors with metal inserts, Fiability &amp; Durability, Issue 2, p138-143, 2018;</t>
  </si>
  <si>
    <t xml:space="preserve">Ab Wahid, Ameeruz Kamal, Salim, Mohd Azli, Masripan, Nor Azmmi, Saad, Adzni Md., Dobrota, Dan, Omar, Ghazali, Sudin, Mohd Nizam, Naroh, Azmi
</t>
  </si>
  <si>
    <t>Driving monitoring system application with stretchable conductive inks: A review, International Journal of Nanoelectronics and MaterialsVolume 13, Issue Special Issue ISSTE 2019, Pages 327 - 346May 2020</t>
  </si>
  <si>
    <t>de Souza Conter, A., Kapp, M. N., &amp; Padilha, J. C. (2023). Monitoreo de la Salud de los Ocupantes de Vehículos Inteligentes: Una Revisión. Revista De Ciencia Y Tecnología, 40(1), 78–89. https://doi.org/10.36995/j.recyt.2023.40.009</t>
  </si>
  <si>
    <t>DOAj, google academic, SCIELO</t>
  </si>
  <si>
    <t>Dobrotă, D., Dobrotă, G., Dobrescu, T.</t>
  </si>
  <si>
    <t>Improvement of waste tyre recycling technology based on a new tyre marking</t>
  </si>
  <si>
    <t>Ivonne María Pérez Moscoso, José Leonardo Vera Reino, Bladimir Proaño Rivera, Circular economy and financial efficiency: an approach to 
the financial results of circular models, Universidad-Verdad 83, Vol. 2 No. 83 (2023), DOI: 10.33324/uv.v2i83.701 Páginas: 104-129</t>
  </si>
  <si>
    <t>https://revistas.uazuay.edu.ec/html/revistas/UVERDAD/083/ARTICULO6/index.html</t>
  </si>
  <si>
    <t>google academic, Cite factor, Infobaseindex, Latindex Catálogo 2.0</t>
  </si>
  <si>
    <t>Karmveer, N. K. Gupta, M. I. H. Siddiqui, D. Dobrotă, T. Alam, M. A. Ali, and J. Orfi</t>
  </si>
  <si>
    <t>The effect of roughness in absorbing materials on solar air heater performance</t>
  </si>
  <si>
    <t>Karmveer, N. K. Gupta, M. I. H. Siddiqui, D. Dobrotă, T. Alam, M. A. Ali, and J. Orfi, “The effect of roughness in absorbing materials on solar air heater performance,” Materials, vol. 15, no. 9, p. 3088, 2022</t>
  </si>
  <si>
    <t>https://www.acadlore.com/article/JSE/2023_2_4/jse020402</t>
  </si>
  <si>
    <t xml:space="preserve">Ocolișanu, A.; Dobrotă, G.; Dobrotă, D. </t>
  </si>
  <si>
    <t>The Effects of Public Investment on Sustainable Economic Growth: Empirical Evidence from Emerging Countries in Central and Eastern Europe</t>
  </si>
  <si>
    <t>Öğr. Üyesi Hasan Osmanoğlu, Mehmet Nedim Uygur, SPOR BILIMLERINDEMULTIDISIPLINERGÜNCEL ARAŞT I R M A L A R, SBN: 978-625-6613-24-9, Baskı, Aralık 2023</t>
  </si>
  <si>
    <t>https://www.duvaryayinlari.com/icerik/e-kitaplar/spor-bilimlerinde-multidisipliner-yaklasimlar-ii-doc-dr-mergul-colak-doc-dr-duygu-sevinc-yilmaz</t>
  </si>
  <si>
    <t>DOAJ, EBSCO, Google academic</t>
  </si>
  <si>
    <t>Cioca Lucian-Ionel (ULBS), Bratu Mihaela Laura (ULBS)</t>
  </si>
  <si>
    <t>Sustainability of Youth Careers in Romania-Study on the Correlation of Students' Personal Interests with the Selected University Field of Study</t>
  </si>
  <si>
    <r>
      <rPr>
        <rFont val="Arial Narrow"/>
        <color rgb="FF222222"/>
        <sz val="10.0"/>
      </rPr>
      <t>Хлобыстова, А. О., Абрамов, М. В., &amp; Столярова, В. Ф. (2023). Исследование тенденций взаимосвязи между профориентационными предпочтениями пользователей и их цифровыми следами в социальной сети. </t>
    </r>
    <r>
      <rPr>
        <rFont val="Arial Narrow"/>
        <i/>
        <color rgb="FF222222"/>
        <sz val="10.0"/>
      </rPr>
      <t>Научно-технический вестник информационных технологий, механики и оптики</t>
    </r>
    <r>
      <rPr>
        <rFont val="Arial Narrow"/>
        <color rgb="FF222222"/>
        <sz val="10.0"/>
      </rPr>
      <t>, </t>
    </r>
    <r>
      <rPr>
        <rFont val="Arial Narrow"/>
        <i/>
        <color rgb="FF222222"/>
        <sz val="10.0"/>
      </rPr>
      <t>23</t>
    </r>
    <r>
      <rPr>
        <rFont val="Arial Narrow"/>
        <color rgb="FF222222"/>
        <sz val="10.0"/>
      </rPr>
      <t>(3), 564-574.</t>
    </r>
  </si>
  <si>
    <t>https://cyberleninka.ru/article/n/issledovanie-tendentsiy-vzaimosvyazi-mezhdu-proforientatsionnymi-predpochteniyami-polzovateley-i-ih-tsifrovymi-sledami-v-sotsialnoy</t>
  </si>
  <si>
    <r>
      <rPr>
        <rFont val="Arial Narrow"/>
        <color rgb="FF222222"/>
        <sz val="10.0"/>
      </rPr>
      <t>Khlobystova, A., &amp; Stoliarova, V. (2023, September). St. Petersburg Federal Research Center of the Russian Academy of Sciences (SPC RAS), St. Petersburg Institute for Informatics and Automation of the Russian Academy of Sciences, St. Petersburg, Russia {aok, vfs, mva}@ dscs. pro. In </t>
    </r>
    <r>
      <rPr>
        <rFont val="Arial Narrow"/>
        <i/>
        <color rgb="FF222222"/>
        <sz val="10.0"/>
      </rPr>
      <t>Proceedings of the Seventh International Scientific Conference “Intelligent Information Technologies for Industry”(IITI’23): Volume 1</t>
    </r>
    <r>
      <rPr>
        <rFont val="Arial Narrow"/>
        <color rgb="FF222222"/>
        <sz val="10.0"/>
      </rPr>
      <t> (Vol. 776, p. 281). Springer Nature.</t>
    </r>
  </si>
  <si>
    <t>https://books.google.ro/books?hl=ro&amp;lr=&amp;id=cnXYEAAAQBAJ&amp;oi=fnd&amp;pg=PA281&amp;ots=Tx0e_e1yO-&amp;sig=ugoj_Mqsp0VRl47MYgXY5GlCIjU&amp;redir_esc=y#v=onepage&amp;q&amp;f=false</t>
  </si>
  <si>
    <r>
      <rPr>
        <rFont val="Arial Narrow"/>
        <color rgb="FF222222"/>
        <sz val="10.0"/>
      </rPr>
      <t>Khlobystova, A., Stoliarova, V., &amp; Abramov, M. (2023, September). Characterization of the Person’s Leading Interests in Terms of RIASEC Scores. In </t>
    </r>
    <r>
      <rPr>
        <rFont val="Arial Narrow"/>
        <i/>
        <color rgb="FF222222"/>
        <sz val="10.0"/>
      </rPr>
      <t>International Conference on Intelligent Information Technologies for Industry</t>
    </r>
    <r>
      <rPr>
        <rFont val="Arial Narrow"/>
        <color rgb="FF222222"/>
        <sz val="10.0"/>
      </rPr>
      <t> (pp. 281-290). Cham: Springer Nature Switzerland.</t>
    </r>
  </si>
  <si>
    <t>https://link.springer.com/chapter/10.1007/978-3-031-43789-2_26</t>
  </si>
  <si>
    <r>
      <rPr>
        <rFont val="Arial Narrow"/>
        <color rgb="FF222222"/>
        <sz val="10.0"/>
      </rPr>
      <t>Lu, X., &amp; Wei, L. Teaching reform and innovation of vocational development and employment guidance courses in colleges and universities based on random forest model. </t>
    </r>
    <r>
      <rPr>
        <rFont val="Arial Narrow"/>
        <i/>
        <color rgb="FF222222"/>
        <sz val="10.0"/>
      </rPr>
      <t>Applied Mathematics and Nonlinear Sciences</t>
    </r>
    <r>
      <rPr>
        <rFont val="Arial Narrow"/>
        <color rgb="FF222222"/>
        <sz val="10.0"/>
      </rPr>
      <t>.</t>
    </r>
  </si>
  <si>
    <t>https://sciendo.com/es/article/10.2478/amns.2023.2.00229</t>
  </si>
  <si>
    <t>Bratu Mihaela Laura (ULBS), Cioca Lucian-Ionel (ULBS)</t>
  </si>
  <si>
    <t>Adaptation of managerial style to the personality of engineers, in order to increase performance in the workplace</t>
  </si>
  <si>
    <r>
      <rPr>
        <rFont val="Arial Narrow"/>
        <color rgb="FF222222"/>
        <sz val="10.0"/>
      </rPr>
      <t>DROBOT, I. A. (2023). TEACHING A FOREIGN LANGUAGE. </t>
    </r>
    <r>
      <rPr>
        <rFont val="Arial Narrow"/>
        <i/>
        <color rgb="FF222222"/>
        <sz val="10.0"/>
      </rPr>
      <t>Language and Communication in the Digital Age</t>
    </r>
    <r>
      <rPr>
        <rFont val="Arial Narrow"/>
        <color rgb="FF222222"/>
        <sz val="10.0"/>
      </rPr>
      <t>, 353.</t>
    </r>
  </si>
  <si>
    <t>https://books.google.ro/books?hl=ro&amp;lr=&amp;id=XXXaEAAAQBAJ&amp;oi=fnd&amp;pg=PA353&amp;ots=_ZWY3ty9zJ&amp;sig=zPwLXCQjNWmmgQXy-Adk2ovurF4&amp;redir_esc=y#v=onepage&amp;q&amp;f=false</t>
  </si>
  <si>
    <t>Zavaleta Montalvan, R. D. M. (2023). Comunicación asertiva y trabajo en equipo en una cevichería, San Martin de Porres, 2023.</t>
  </si>
  <si>
    <t>https://repositorio.ucv.edu.pe/handle/20.500.12692/135419</t>
  </si>
  <si>
    <t>Sustainable Education in the Context of COVID-19: Study of the Social Perception andWell-Being of Students at the Faculty of Engineering in Sibiu, Romania</t>
  </si>
  <si>
    <r>
      <rPr>
        <rFont val="Arial Narrow"/>
        <color rgb="FF222222"/>
        <sz val="10.0"/>
      </rPr>
      <t>MIRICĂ, A., Petcu, I. R., Catrina, L., Partas-Ciolan, R. V., &amp; NEAMȚU, A. A. (2023). Sustainability Competences In Romanian Higher Education. </t>
    </r>
    <r>
      <rPr>
        <rFont val="Arial Narrow"/>
        <i/>
        <color rgb="FF222222"/>
        <sz val="10.0"/>
      </rPr>
      <t>Annals of'Constantin Brancusi'University of Targu-Jiu. Economy Series</t>
    </r>
    <r>
      <rPr>
        <rFont val="Arial Narrow"/>
        <color rgb="FF222222"/>
        <sz val="10.0"/>
      </rPr>
      <t>, </t>
    </r>
    <r>
      <rPr>
        <rFont val="Arial Narrow"/>
        <i/>
        <color rgb="FF222222"/>
        <sz val="10.0"/>
      </rPr>
      <t>1</t>
    </r>
    <r>
      <rPr>
        <rFont val="Arial Narrow"/>
        <color rgb="FF222222"/>
        <sz val="10.0"/>
      </rPr>
      <t>.</t>
    </r>
  </si>
  <si>
    <t>https://www.utgjiu.ro/revista/ec/pdf/2023-01/11_Mirica.pdf</t>
  </si>
  <si>
    <r>
      <rPr>
        <rFont val="Arial Narrow"/>
        <color rgb="FF222222"/>
        <sz val="10.0"/>
      </rPr>
      <t>Alina Georgeta, M. Relevant Feedback in Mentoring: New Perspectives Within the Prof Project. </t>
    </r>
    <r>
      <rPr>
        <rFont val="Arial Narrow"/>
        <i/>
        <color rgb="FF222222"/>
        <sz val="10.0"/>
      </rPr>
      <t>European Proceedings of Educational Sciences</t>
    </r>
    <r>
      <rPr>
        <rFont val="Arial Narrow"/>
        <color rgb="FF222222"/>
        <sz val="10.0"/>
      </rPr>
      <t>.</t>
    </r>
  </si>
  <si>
    <t>https://www.europeanproceedings.com/article/10.15405/epes.23045.104</t>
  </si>
  <si>
    <t>BAŤA, F. Vliv pandemie Covid-19 na environmentální výchovu ve volnočasové organizaci.</t>
  </si>
  <si>
    <t>https://is.muni.cz/th/tv5j0/Diplomova_prace_-_Filip_Bata.pdf</t>
  </si>
  <si>
    <r>
      <rPr>
        <rFont val="Arial Narrow"/>
        <color rgb="FF222222"/>
        <sz val="10.0"/>
      </rPr>
      <t>Ji, W., Liu, H., Pan, K., Huang, R., Xu, C., Wei, Z., &amp; Wang, J. (2024). Knowledge mapping analysis of safety ergonomics: a bibliometric study. </t>
    </r>
    <r>
      <rPr>
        <rFont val="Arial Narrow"/>
        <i/>
        <color rgb="FF222222"/>
        <sz val="10.0"/>
      </rPr>
      <t>Ergonomics</t>
    </r>
    <r>
      <rPr>
        <rFont val="Arial Narrow"/>
        <color rgb="FF222222"/>
        <sz val="10.0"/>
      </rPr>
      <t>, </t>
    </r>
    <r>
      <rPr>
        <rFont val="Arial Narrow"/>
        <i/>
        <color rgb="FF222222"/>
        <sz val="10.0"/>
      </rPr>
      <t>67</t>
    </r>
    <r>
      <rPr>
        <rFont val="Arial Narrow"/>
        <color rgb="FF222222"/>
        <sz val="10.0"/>
      </rPr>
      <t>(3), 398-421.</t>
    </r>
  </si>
  <si>
    <t>https://www.tandfonline.com/doi/full/10.1080/00140139.2023.2223788?casa_token=kG9g01yd7ScAAAAA%3A02HA1Q7K5TSOOZqFfVBuCTtw1SkXPsEv1mXHYn0obnekHk-cslF5d4_EHP8uV1MavVoU-TfaAvU</t>
  </si>
  <si>
    <t>Borza S, Inta M, Serbu R, Marza B (ULBS)</t>
  </si>
  <si>
    <t>Multi-criteria analysis of pollution caused by auto traffic in a geographical area limited to applicability for an eco-economy environment.</t>
  </si>
  <si>
    <t>J Kunkler, Road Network Performance Measurements, doi:10.5283/epub.53802  </t>
  </si>
  <si>
    <t>https://epub.uni-regensburg.de/53802/</t>
  </si>
  <si>
    <t>Condorchoa Clares, Joao Giancarlo   Análisis de flujos vehiculares utilizando vehículo aéreo no tripulado en la Av. Industrial con la intersección de Av. Pinto, Av. 28 de Agosto y Av. Tarata mediante la … https://renati.sunedu.gob.pe/handle/sunedu/3440034</t>
  </si>
  <si>
    <t>https://epub.uni-regensburg.de/53802/1/dissertation_Onlinepublikation.pdf</t>
  </si>
  <si>
    <t>Inţă, M., Muntean, A. (ULBS)</t>
  </si>
  <si>
    <t>Researches regarding introducing temperature as a factor in cutting tool wear monitoring</t>
  </si>
  <si>
    <t>КВ Сызранцева, НА Василега - Омский научный вестник  ОЦЕНКА ВЕРОЯТНОСТИ ОТКАЗА ПРИ ЭКСПЛУАТАЦИИ СБОРНОГО РЕЖУЩЕГО ИНСТРУМЕНТА СО СМЕННЫМИ МНОГОГРАННЫМИ ПЛАСТИНАМИ МЕТОДАМИ НЕПАРАМЕТРИЧЕСКОЙ СТАТИСТИКИ</t>
  </si>
  <si>
    <t>https://cyberleninka.ru/article/n/otsenka-veroyatnosti-otkaza-pri-ekspluatatsii-sbornogo-rezhuschego-instrumenta-so-smennymi-mnogogrannymi-plastinami-metodami/viewer</t>
  </si>
  <si>
    <t>nţă, M., Muntean, A.,  (ULBS) &amp;Croitoru, S. M. (UPB)</t>
  </si>
  <si>
    <t>Researches regarding cutting tool condition monitoring</t>
  </si>
  <si>
    <t>Samgeeth Sen ,Ferin Majeed Ottakath,Rajyalakshmi Gajjela , Deepa A . Chemmalar Selvi  Neural Networks and Deep learning approach to predict the Tool life during turning of Nimonic C-263 Alloy</t>
  </si>
  <si>
    <t>https://www.researchsquare.com/article/rs-2376256/v1</t>
  </si>
  <si>
    <r>
      <rPr>
        <rFont val="Arial Narrow"/>
        <color rgb="FF222222"/>
        <sz val="10.0"/>
      </rPr>
      <t xml:space="preserve">Nnaji, H. N. (2023). 
</t>
    </r>
    <r>
      <rPr>
        <rFont val="Arial Narrow"/>
        <i/>
        <color rgb="FF222222"/>
        <sz val="10.0"/>
      </rPr>
      <t>Challenges with Multicultural Leadership for Project Managers: A Qualitative Multiple Case Study</t>
    </r>
    <r>
      <rPr>
        <rFont val="Arial Narrow"/>
        <color rgb="FF222222"/>
        <sz val="10.0"/>
      </rPr>
      <t> (Doctoral dissertation, Walden University).</t>
    </r>
  </si>
  <si>
    <t>https://www.proquest.com/openview/538d6f9a18ba785b6db589fadd33c1e7/1?pq-origsite=gscholar&amp;cbl=18750&amp;diss=y</t>
  </si>
  <si>
    <r>
      <rPr>
        <rFont val="Arial Narrow"/>
        <color rgb="FF222222"/>
        <sz val="10.0"/>
      </rPr>
      <t>K Sharma, V., Kumar Kalapala,
 K., Sreejana, S., &amp; Murthy SV, N. (2023). Using Literary Texts in Developing Intercultural Competence of Foreign English Language Learners in Virtual Space. </t>
    </r>
    <r>
      <rPr>
        <rFont val="Arial Narrow"/>
        <i/>
        <color rgb="FF222222"/>
        <sz val="10.0"/>
      </rPr>
      <t>Arab World English Journals, Special Issue on CALL</t>
    </r>
    <r>
      <rPr>
        <rFont val="Arial Narrow"/>
        <color rgb="FF222222"/>
        <sz val="10.0"/>
      </rPr>
      <t>, (9).</t>
    </r>
  </si>
  <si>
    <t>Binda, M. (2023). 
Effective Communication in the Virtual Environment.</t>
  </si>
  <si>
    <t>https://digitalcommons.liberty.edu/doctoral/4209/</t>
  </si>
  <si>
    <r>
      <rPr>
        <rFont val="Arial Narrow"/>
        <color rgb="FF222222"/>
        <sz val="10.0"/>
      </rPr>
      <t xml:space="preserve">Nwosu, P. (2023). 
</t>
    </r>
    <r>
      <rPr>
        <rFont val="Arial Narrow"/>
        <i/>
        <color rgb="FF222222"/>
        <sz val="10.0"/>
      </rPr>
      <t>Solutions to Project Managers’ Job Dissatisfaction</t>
    </r>
    <r>
      <rPr>
        <rFont val="Arial Narrow"/>
        <color rgb="FF222222"/>
        <sz val="10.0"/>
      </rPr>
      <t> (Doctoral dissertation, Walden University).</t>
    </r>
  </si>
  <si>
    <t>https://www.proquest.com/openview/a3177b745ed636df01cbdc64c4d16674/1?pq-origsite=gscholar&amp;cbl=18750&amp;diss=y</t>
  </si>
  <si>
    <t>Proquest
Google Scholar</t>
  </si>
  <si>
    <t>González-Morales, 
A., &amp; López, M. M. M. (2023). Neuromanagement in WOS and SCOPUS: a guide to the first twenty years of the 21st century, from 2001 to 2020.</t>
  </si>
  <si>
    <t>https://www.researchsquare.com/article/rs-3226686/v1.pdf</t>
  </si>
  <si>
    <t>Seppä, O. (2023). 
Development of remote leadership due to the Covid-19 pandemic.</t>
  </si>
  <si>
    <t>https://osuva.uwasa.fi/bitstream/handle/10024/15988/Uwasa_2023_Seppa_Oona.pdf?sequence=2</t>
  </si>
  <si>
    <t>Eklund, A. (2023). 
Vastuullinen johtaminen virtuaalisissa projektitiimeissä.</t>
  </si>
  <si>
    <t>https://www.theseus.fi/bitstream/handle/10024/811061/Eklund_Anna.pdf?sequence=2</t>
  </si>
  <si>
    <r>
      <rPr>
        <rFont val="Arial Narrow"/>
        <color rgb="FF222222"/>
        <sz val="10.0"/>
      </rPr>
      <t xml:space="preserve">Farley, M. (2023). 
</t>
    </r>
    <r>
      <rPr>
        <rFont val="Arial Narrow"/>
        <i/>
        <color rgb="FF222222"/>
        <sz val="10.0"/>
      </rPr>
      <t>The impact of field immersion experiences on virtual project teams</t>
    </r>
    <r>
      <rPr>
        <rFont val="Arial Narrow"/>
        <color rgb="FF222222"/>
        <sz val="10.0"/>
      </rPr>
      <t> (Doctoral dissertation).</t>
    </r>
  </si>
  <si>
    <t xml:space="preserve">Iulia Dumitrașcu-Băldău (ULBS), Dănuț-Dumitru Dumitrașcu (ULBS), Căpățână A. (UDJG)
</t>
  </si>
  <si>
    <t xml:space="preserve">Fundamental elements 
regarding the approach of risk management within the international projects with teams in the virtual environment. </t>
  </si>
  <si>
    <r>
      <rPr>
        <rFont val="Arial Narrow"/>
        <color rgb="FF222222"/>
        <sz val="10.0"/>
      </rPr>
      <t xml:space="preserve">Dad, F. (2023). 
</t>
    </r>
    <r>
      <rPr>
        <rFont val="Arial Narrow"/>
        <i/>
        <color rgb="FF222222"/>
        <sz val="10.0"/>
      </rPr>
      <t>Risk Management Process and Performance of Force Account Projects in Tanzania</t>
    </r>
    <r>
      <rPr>
        <rFont val="Arial Narrow"/>
        <color rgb="FF222222"/>
        <sz val="10.0"/>
      </rPr>
      <t> (Doctoral dissertation, Institute of Accountancy Arusha (IAA)).</t>
    </r>
  </si>
  <si>
    <t>https://repository.iaa.ac.tz:8080/xmlui/handle/123456789/2345</t>
  </si>
  <si>
    <t>Wahyudi, W., Setiawan, A., &amp; Suhandi, A. (2023). Trend and opportunity of science education research related optical waves: a systematic literature network analysis. JIPF (Jurnal Ilmu Pendidikan Fisika), 8(2), 168-182.</t>
  </si>
  <si>
    <t>https://journal.stkipsingkawang.ac.id/index.php/JIPF/article/view/3685</t>
  </si>
  <si>
    <t>Index Copernicus, GoogleScholar, WorldCat, OpenAIRE, EBSCO, CrossRef</t>
  </si>
  <si>
    <t>Anwar, A. M., &amp; Oakil, A. T. (2023). Smart Transportation Systems in Smart Cities: Practices, Challenges, and Opportunities for Saudi Cities. Smart Cities: Social and Environmental Challenges and Opportunities for Local Authorities, 315-337.</t>
  </si>
  <si>
    <t>https://library.oapen.org/bitstream/handle/20.500.12657/76728/1/978-3-031-35664-3.pdf#page=321</t>
  </si>
  <si>
    <t>SPRINGER</t>
  </si>
  <si>
    <t>Nowotarska-Romaniak, B., &amp; Szczepanik, S. (2023). PUBLIC TRANSPORTATION APPS USERS IN SILESIAN METROPOLIS. Scientific Papers of Silesian University of Technology. Organization &amp; Management/Zeszyty Naukowe Politechniki Slaskiej. Seria Organizacji i Zarzadzanie, (177).</t>
  </si>
  <si>
    <t>https://managementpapers.polsl.pl/wp-content/uploads/2023/09/177-Nowotarska-Romaniak-Szczepanik.pdf</t>
  </si>
  <si>
    <t>Index Copernicus, GoogleScholar, DOAJ</t>
  </si>
  <si>
    <t>Hasrul, M. R., Rahman, M. J., Helmy, A. R. A. P., Cheng, A. Y., &amp; Ahsan, M. (2023). Exploring Research Trends and Themes in Intelligent Transportation Systems in the Last 10 Years (2014–2023). International Journal of Environment, Engineering and Education, 5(3), 141-153.</t>
  </si>
  <si>
    <t>https://ijeedu.com/index.php/ijeedu/article/view/90</t>
  </si>
  <si>
    <t>Index Copernicus, GoogleScholar, CrossRef, OpenAire</t>
  </si>
  <si>
    <t>Podgórniak-Krzykacz, A., &amp; Przywojska, J. (2023). USE OF INTELLIGENT TRANSPORTATION SOLUTIONS BY CITY RESIDENTS. THE CASE OF LODZ. Scientific Papers of Silesian University of Technology. Organization &amp; Management/Zeszyty Naukowe Politechniki Slaskiej. Seria Organizacji i Zarzadzanie, (187).</t>
  </si>
  <si>
    <t>https://managementpapers.polsl.pl/wp-content/uploads/2024/01/187-Podg%C3%B3rniak-Krzykacz-Przywojska.pdf</t>
  </si>
  <si>
    <t>Madlberger, M. (2023). Drivers of Service Transformation. In Gestaltung des Wandels im Dienstleistungsmanagement: Band 1: Innovationsperspektive–Digitalisierungsperspektive–Nachhaltigkeitsperspektive (pp. 205-231). Wiesbaden: Springer Fachmedien Wiesbaden.</t>
  </si>
  <si>
    <t>https://link.springer.com/chapter/10.1007/978-3-658-41813-7_7</t>
  </si>
  <si>
    <t>Bruhn, M., &amp; Hadwich, K. (2023). Gestaltung des Wandels im Dienstleistungsmanagement–Ursachen, Konzepte, Strategien. In Gestaltung des Wandels im Dienstleistungsmanagement: Band 1: Innovationsperspektive–Digitalisierungsperspektive–Nachhaltigkeitsperspektive (pp. 3-39). Wiesbaden: Springer Fachmedien Wiesbaden.</t>
  </si>
  <si>
    <t>https://link.springer.com/chapter/10.1007/978-3-658-41813-7_1</t>
  </si>
  <si>
    <t>Indi, A. F. (2023). Proposta de requisitos para operacionalização da participação popular na elaboração dos planos de mobilidade urbana no Brasil.</t>
  </si>
  <si>
    <t>http://www.rlbea.unb.br/jspui/handle/10482/46138</t>
  </si>
  <si>
    <t>GoogleScholar, Universidade de Brasília - Biblioteca Central</t>
  </si>
  <si>
    <t>KUBIŃSKA-JABCOŃ, E., &amp; NIEKURZAK, M. (2023). ANALYSIS OF THE DEVELOPMENT OF MEANS OF TRANSPORT IN LARGE METROPOLIS–A CASE OF KRAKOW. Scientific Papers of Silesian University of Technology. Organization &amp; Management/Zeszyty Naukowe Politechniki Slaskiej. Seria Organizacji i Zarzadzanie, (184).</t>
  </si>
  <si>
    <t>https://managementpapers.polsl.pl/wp-content/uploads/2024/01/184-Kubi%C5%84ska-Jabco%C5%84-Niekurzak.pdf</t>
  </si>
  <si>
    <t>Margaretha, A. M., &amp; Nugroho, A. A. (2023). Transportasi Publik Terintegrasi: Optimalisasi Implementasi Smart Mobility di DKI Jakarta. Journal of Public Policy and Applied Administration, 45-56.</t>
  </si>
  <si>
    <t>https://jurnal.stialan.ac.id/index.php/jplan/article/view/676</t>
  </si>
  <si>
    <t>Google Scholar, Crossref, DOAJ</t>
  </si>
  <si>
    <t>Chen, Y. (2023). Building adaptive smart transport governance using citizen-centric data (Doctoral dissertation).</t>
  </si>
  <si>
    <t>https://www.repository.cam.ac.uk/items/4fed1a6a-afdd-4b27-9667-ad88e89e9980</t>
  </si>
  <si>
    <t>Google Scholar, CAMBRIDGE UNIVERSITY LIBRARY</t>
  </si>
  <si>
    <t>Oramus, M. WSPARCIE IMPLEMENTACJI POLITYKI TRANSPORTOWEJ W NAJWIĘKSZYCH POLSKICH MIASTACH POPRZEZ WYKORZYSTANIE WYNIKÓW ANALIZ BIG DATA.</t>
  </si>
  <si>
    <t>https://dr.uek.krakow.pl/wp-content/uploads/2024/03/Marek-Oramus_doktorat.pdf</t>
  </si>
  <si>
    <t>GoogleScholar</t>
  </si>
  <si>
    <t>SACHENKO, S. (2023). LEVELS OF AI APPLICABLE IN SMART CITIES. Scientific Papers of Silesian University of Technology. Organization &amp; Management/Zeszyty Naukowe Politechniki Slaskiej. Seria Organizacji i Zarzadzanie, (186).</t>
  </si>
  <si>
    <t>https://openurl.ebsco.com/EPDB%3Agcd%3A15%3A22658015/detailv2?sid=ebsco%3Aplink%3Ascholar&amp;id=ebsco%3Agcd%3A175494320&amp;crl=c</t>
  </si>
  <si>
    <t>GoogleScholar, EBSCO</t>
  </si>
  <si>
    <t>Nguyen, L., Lane, M., Nallaperuma, K., &amp; Deniz, E. (2023). A Socio-Ecological-Technical Perspective: How has Information Systems Contributed to Solving the Sustainability Problem.</t>
  </si>
  <si>
    <t>https://aisel.aisnet.org/ecis2023_rp/304/</t>
  </si>
  <si>
    <t>Gontijo, T. S. (2023). Essays on electricity price forecasting.</t>
  </si>
  <si>
    <t>https://repositorio.ufmg.br/handle/1843/52319</t>
  </si>
  <si>
    <t>Burkard, M. F., &amp; Fontoura, L. M. (2023). People Management Problems and Practices in Software Development Projects: A Systematic Literature Review. ICEIS (2), 179-186.</t>
  </si>
  <si>
    <t>Khorsandi Pishkenari, S., Mehrabi, J., &amp; Davari, A. (2023). Drawing a Scientific Map of the Knowledge-Based Businesses Development with a Bibliometric Approach. Iranian journal of educational sociology, 6(3), 98-107.</t>
  </si>
  <si>
    <t>https://iase-idje.ir/browse.php?a_code=A-10-1053-1&amp;slc_lang=en&amp;sid=1</t>
  </si>
  <si>
    <t>Hosseini Nia, S. A. A., Danesh Fard, K., Gholami Chenaristan Alia, A. K., &amp; Pirzad, A. A. (2023). Application of Organizational Information Structural Interpretive Model for Knowledge-Based Development of Human Resources Capabilities. International Journal of Knowledge Processing Studies, 3(4), 48-59.</t>
  </si>
  <si>
    <t>GoogleScholar, Index Copernicus, DOAJ</t>
  </si>
  <si>
    <t>García-Izquierdo, A. L., Aguado, D., Belizón, M. J., Castaño, A. M., &amp; Zuazua, M. Human Resources Analytics in Theory and Practice.</t>
  </si>
  <si>
    <t>ILYINA, A. (2023). Electronic governance in the human capital assessment system. · SCIENTIA· FRUCTUOSA (BULLETIN of Kyiv National University of Trade and Economics), 151(5), 20-33.</t>
  </si>
  <si>
    <t>https://journals.knute.edu.ua/scientia-fructuosa/article/view/1932</t>
  </si>
  <si>
    <t>Hartono, Y., &amp; Rini, D. P. Development of a Decision Support System on Employee Performance Assessment Using Weighted Performance Indicators Method.</t>
  </si>
  <si>
    <t>Sadaghat, B., Javadzade Khiavi, A., Naeim, B., Khajavi, E., Taghavi Khanghah, A. R., &amp; Sadaghat, H. (2023). The utilization of a Naïve Bayes model for predicting the energy consumption of buildings. Journal of Artificial Intelligence and System Modelling, 1(01).</t>
  </si>
  <si>
    <t>https://jaism.bilijipub.com/article_186545.html</t>
  </si>
  <si>
    <t>Academia, GoogleScholar</t>
  </si>
  <si>
    <t>Lekshmi, R. R., &amp; Bansi, C. (2023, March). A Demand Management Planning System for a Meat Factory Based on the Predicted Market Price Under Indian Market Scenario. In Proceedings of Fourth International Conference on Communication, Computing and Electronics Systems: ICCCES 2022 (pp. 439-450). Singapore: Springer Nature Singapore.</t>
  </si>
  <si>
    <t>Lin, K., Hong, J., Zhang, L., Hu, Z., Liu, L., Li, X., &amp; Chen, Y. (2023, July). Research on New Investment Demand Forecast of Power Grid Company After Investment Interface Extension. In Proceedings of the 2nd International Academic Conference on Blockchain, Information Technology and Smart Finance (ICBIS 2023) (Vol. 14, p. 165). Springer Nature.</t>
  </si>
  <si>
    <t>https://books.google.ro/books?hl=ro&amp;lr=&amp;id=yFHNEAAAQBAJ&amp;oi=fnd&amp;pg=PA165&amp;ots=f46kc-0IPe&amp;sig=R-xD9fBDPFXiZLB12Oa9LELMH8g&amp;redir_esc=y#v=onepage&amp;q&amp;f=false</t>
  </si>
  <si>
    <t>Hussain, A. Sensor-Based Systems, Data Acquisition, Analysis, and Prediction Algorithms for the Energy Data of Smart Homes.</t>
  </si>
  <si>
    <t>https://aisberg.unibg.it/retrieve/9932ef4a-b34f-419f-871a-78efad6c3d35/00_Reviewed_Thesis_final_phdschool.pdf</t>
  </si>
  <si>
    <t>Chis, A., &amp; Ghiran, A. M. (2023). EMBRACING CONCEPTUAL MODELLING TO ENABLE THE MEDIATION ROLE OF ENTERPRISE INFORMATION SYSTEMS.</t>
  </si>
  <si>
    <t>https://aisel.aisnet.org/ecis2023_rp/387/</t>
  </si>
  <si>
    <t>Garofalaki, Z. (2023). Security of intelligent transport services: modeling and evaluation.</t>
  </si>
  <si>
    <t>https://dione.lib.unipi.gr/xmlui/handle/unipi/16206</t>
  </si>
  <si>
    <t>Li, Z., Li, Z., Hu, X., Du, G., Nie, Y., Zhu, F., ... &amp; Zhao, R. (2023). VisionTraj: A Noise-Robust Trajectory Recovery Framework based on Large-scale Camera Network. arXiv preprint arXiv:2312.06428.</t>
  </si>
  <si>
    <t>https://arxiv.org/pdf/2312.06428</t>
  </si>
  <si>
    <t>https://epub.jku.at/obvulihs/download/pdf/8567871?originalFilename=true</t>
  </si>
  <si>
    <t>Martinicorena Gómara, A. (2023). Smart economy in smart cities.</t>
  </si>
  <si>
    <t>https://academica-e.unavarra.es/bitstream/handle/2454/44748/Memoria%20TFG_MartinicorenaGomaraAmaia.pdf?sequence=1&amp;isAllowed=y</t>
  </si>
  <si>
    <t>Akhter, Mst Fowzia (2023). Design and development of smart sensing systems for a smart city (water, air and pedestrian). Macquarie University. Thesis. https://doi.org/10.25949/23962968.v1</t>
  </si>
  <si>
    <t>https://figshare.mq.edu.au/articles/thesis/Design_and_development_of_smart_sensing_systems_for_a_smart_city_water_air_and_pedestrian_/23962968/1</t>
  </si>
  <si>
    <t>Yan, X., Zhang, J., Gao, S. P., &amp; Guo, Y. (2023). Beyond the Bandwidth Limit: A Tutorial on Low-Noise Amplifier Circuits for Advanced Systems Based on III-V Process. IEEE Transactions on Circuits and Systems II: Express Briefs.</t>
  </si>
  <si>
    <t>https://ieeexplore.ieee.org/abstract/document/10339661?casa_token=kIpcsGlBhgwAAAAA:FAEYACecS46mdM2MBrcJx6NIUbYdIJmQ5R2pcsuIAdLmoiZk52CWX-j4YeM8C0JiRS9R4hwoGqvREaE</t>
  </si>
  <si>
    <t>Chhetri, S. D., Kumar, D., &amp; Ranabhat, D. Investigating research in human resource analytics through the lens of systematic literature review. Human Systems Management, (Preprint), 1-17.</t>
  </si>
  <si>
    <t>de Sousa, T. L., da Silva, J., &amp; de Araujo, W. L. (2023). Optimization of Quarter Car Suspension Dynamics Using Power Spectral Density of Irregular Road Profile.</t>
  </si>
  <si>
    <t>https://www.researchgate.net/profile/Tiago-Sousa-40/publication/376450520_Optimization_of_Quarter_Car_Suspension_Dynamics_Using_Power_Spectral_Density_of_Irregular_Road_Profile/links/6578a767cbd2c535ea1bee1d/Optimization-of-Quarter-Car-Suspension-Dynamics-Using-Power-Spectral-Density-of-Irregular-Road-Profile.pdf</t>
  </si>
  <si>
    <t>Florea, A. (ULBS)</t>
  </si>
  <si>
    <t>Ekhsan, M., Badrianto, Y., &amp; Suwandi, S. (2023). Digital Talent on Employee Retention: the Role of Employee Engagement as Mediation. Journal of Law and Sustainable Development, 11(10), e1121-e1121.</t>
  </si>
  <si>
    <t>https://ojs.journalsdg.org/jlss/article/view/1121</t>
  </si>
  <si>
    <t>GoogleScholar, DOAJ</t>
  </si>
  <si>
    <t>Berntzen, L. (USN), Johannessen, M. R. (USN), &amp; Florea, A. (ULBS)</t>
  </si>
  <si>
    <t>Berntzen, L., Johannessen, M. R., &amp; Florea, A. (2016). Smart Cities: Challenges and a Sensor-based Solution A research design for sensor-based smart city projects, International Journal on Advances in Intelligent Systems, vol 9 no 3 &amp; 4, year 2016, http://www.iariajournals.org/intelligent_systems/.</t>
  </si>
  <si>
    <t>Allam, Z., &amp; Newman, P. (2023). Unveiling the Smart City: How Smart Is It?. In Revising Smart Cities with Regenerative Design (pp. 1-19). Cham: Springer International Publishing.</t>
  </si>
  <si>
    <t>https://link.springer.com/chapter/10.1007/978-3-031-28028-3_1</t>
  </si>
  <si>
    <t>SPRINGER, GoogleScholar</t>
  </si>
  <si>
    <t>BUTEAN, A. (ULBS), OLESCU, M. L. (ULBS), TOCU, N. A. (ULBS), &amp; FLOREA, A. (ULBS)</t>
  </si>
  <si>
    <t>BUTEAN, A., OLESCU, M. L., TOCU, N. A., &amp; FLOREA, A. (2019). Improving Training Methods for Industry Workers though AI Assisted Multi-Stage Virtual Reality Simulations. eLearning &amp; Software for Education, 1.</t>
  </si>
  <si>
    <t>Tomaszewska, K. (2023). VR TECHNOLOGY IN MANUFACTURING PROCESSES–A BIBLIOMETRIC ANALYSIS. Scientific Papers of Silesian University of Technology. Organization &amp; Management/Zeszyty Naukowe Politechniki Slaskiej. Seria Organizacji i Zarzadzanie, (181).</t>
  </si>
  <si>
    <t>https://managementpapers.polsl.pl/wp-content/uploads/2023/12/181-Tomaszewska.pdf</t>
  </si>
  <si>
    <t>Dolly, M. (2023). Analysis of the Psychological and Production Effects of the Use of Gamification for Manufacturing Assembly.</t>
  </si>
  <si>
    <t>https://researchrepository.wvu.edu/etd/11911/</t>
  </si>
  <si>
    <t>Florea, A. (ULBS), Kifor, C.(ULBS), Nicolaescu, S.(ULBS), Cocan, N.(private company), &amp; Receu, I (SOBIS)</t>
  </si>
  <si>
    <t>Florea, A., Kifor, C., Nicolaescu, S., Cocan, N., &amp; Receu, I. (2017, October). Intellectual capital evaluation and exploitation model based on Big Data technologies. In Economic and Social Development (Book of Proceedings), 24th International Scientific Conference on Economic and Social (Vol. 2).</t>
  </si>
  <si>
    <t>Picklo, J. (2023). Healthcare Human Resource Professionals’ Perceptions of Transformational Leadership Traits on Recruitment (Doctoral dissertation, Capella University).</t>
  </si>
  <si>
    <t>https://www.proquest.com/docview/2781128483?pq-origsite=gscholar&amp;fromopenview=true&amp;sourcetype=Dissertations%20&amp;%20Theses</t>
  </si>
  <si>
    <t>PROQUEST, GoogleScholar</t>
  </si>
  <si>
    <t>Munthe, M. V. R. (2023). Implementation of Bound Morpheme Through A Text to The Students of HKBP Nommensen Pematangsiantar University. International Journal of Multidisciplinary: Applied Business and Education Research, 4(2), 478-486.</t>
  </si>
  <si>
    <t>https://www.ijmaberjournal.org/index.php/ijmaber/article/view/808</t>
  </si>
  <si>
    <t>GoogleScholar,   Crossref,  Dimensions,  ROAD,  Scilit,  Garuda,  ICI Copernicus</t>
  </si>
  <si>
    <t>Kovačević, I., Orić, M., Tolić, I. H., &amp; Nyarko, E. K. (2023). Modelling the Fermentation Process in Winemaking using Temperature and Specific Gravity. In Central European Conference on Information and Intelligent Systems (pp. 347-352). Faculty of Organization and Informatics Varazdin.</t>
  </si>
  <si>
    <t>https://www.proquest.com/openview/778ed28868ec982ace27ff176e12e4cb/1?pq-origsite=gscholar&amp;cbl=1986354</t>
  </si>
  <si>
    <t>Bin, L. (2023). Cognitive Web Service-Based Learning Analytics in Education Systems Using Big Data Analytics. International Journal of e-Collaboration, 19(2).</t>
  </si>
  <si>
    <t>https://openurl.ebsco.com/contentitem/gcd:161698385?sid=ebsco:plink:scholar&amp;id=ebsco:gcd:161698385&amp;crl=c</t>
  </si>
  <si>
    <t>EBSCO, GoogleScholar</t>
  </si>
  <si>
    <t>Sipos, A. (ULBS), Florea, A.(ULBS), Arsin, M.(ULBS), &amp; Fiore, U. (UniSa)</t>
  </si>
  <si>
    <t>Sipos, A., Florea, A., Arsin, M., &amp; Fiore, U. (2020). Using Neural Networks to Obtain Indirect Information about the State Variables in an Alcoholic Fermentation Process. Processes 2021, 9, 74.</t>
  </si>
  <si>
    <t>Hermosillo-Díaz, E. S. (2023). Sistema de aprendizaje automático para la predicción del avance de fermentación en cervecería artesanal.</t>
  </si>
  <si>
    <t>https://rei.iteso.mx/bitstream/handle/11117/10714/MIPP683242_TOG.pdf?sequence=1</t>
  </si>
  <si>
    <t>Florea, A., (ULBS) Fleaca, V.,(ULBS) &amp; Marcu, S. D. (ULBS)</t>
  </si>
  <si>
    <t>Florea, A., Fleaca, V., &amp; Marcu, S. D. (2020). Innovative solution for parking-sharing of private institutions using various occupancy tracking methods. Advances in Science, Technology and Engineering Systems, 5(5), 808-819.</t>
  </si>
  <si>
    <t>Cárdenas Cruz, K. S., Lugo Montañez, J. H., &amp; Trujillo Sánchez, L. F. (2023). U'Parking: Desarrollo de un aplicativo PWA para el control y gestión de estacionamiento en tiempo real (Doctoral dissertation, Corporación Universitaria Minuto de Dios-UNIMINUTO).</t>
  </si>
  <si>
    <t>http://uniminuto-dspace.scimago.es:8080/handle/10656/17610</t>
  </si>
  <si>
    <t>Revesz, A., Vasalou, M., Florea, A., Gilabert, R., Bunting, L. J., af Segerstad, Y. H., ... &amp; Benton, L. (2020, March). The effects of textual enhancement on development in l2 derivational morphology: a multi-site longitudinal study. In 2020 conference of the American Association for Applied Linguistics (AAAL). AAAL.</t>
  </si>
  <si>
    <t>Karpouzis, K. (2023, September). Explainable AI for intelligent tutoring systems. In International Conference on Frontiers of Artificial Intelligence, Ethics, and Multidisciplinary Applications (pp. 59-70). Singapore: Springer Nature Singapore.</t>
  </si>
  <si>
    <t>https://link.springer.com/chapter/10.1007/978-981-99-9836-4_6</t>
  </si>
  <si>
    <t>Gas detector using Arduinoand LabVIEW</t>
  </si>
  <si>
    <t>Serri Abdul Razzaq Saleh, Huda Jamal Jumaah, Zainab Ali Khalaf, Sarah Jamal Jumaah, Design of Multi-gas Monitoring Device for Indoor Air Quality, Journal of Electronic &amp; Information Systems, Volume 05,| Issue 01, April 2023</t>
  </si>
  <si>
    <t>https://www.researchgate.net/publication/368806428_Design_of_Multi-gas_Monitoring_Device_for_Indoor_Air_Quality</t>
  </si>
  <si>
    <t>Researchgate</t>
  </si>
  <si>
    <t>BOGDAN Mihai</t>
  </si>
  <si>
    <t>T Sai Surya Teja, G Venkata Hari Prasad, I Meghana, Publishing Temperature and Humidity Sensor Data to ThingSpeak, Advanced Technologies and Societal Change. Springer, Singapor, 2023</t>
  </si>
  <si>
    <t>https://link.springer.com/chapter/10.1007/978-981-19-4522-9_1</t>
  </si>
  <si>
    <t xml:space="preserve">Imran Mumtaz, M Azam Zia, An Iot Based Environmental Controlled Poultry Farm with Cloud Storage, Agricultural Sciences Journal, May 2023 </t>
  </si>
  <si>
    <t>https://www.researchgate.net/publication/370778743_An_Iot_Based_Environmental_Controlled_Poultry_Farm_with_Cloud_Storage/references</t>
  </si>
  <si>
    <t>Ratna Ika Puspitasari, DYAH TITISARI, Lamidi Lamidi, Development of Monitoring Parameters of Oxygen Concentration, Oxygen Flow Rate, Temperature and Humidity in IoT-Based CPAP Bubble (Oxygen and Humidity Concentration), Jurnal TEKNOKES,  
Vol 16 No 2 (2023): June</t>
  </si>
  <si>
    <t>http://teknokes.poltekkesdepkes-sby.ac.id/index.php/Teknokes/article/view/498</t>
  </si>
  <si>
    <t>Krisna Adriansyah, Endi Permata, Bagus Dwi Cahyono, Prototype Penetas Telur Ayam Kampung Menggunakan Arduino Nano V3.0 ATmega328, Aviation Electronics, Information Technology, Telecommunications, Electricals, and Controls (AVITEC), Vol 5, No 2 (2023): August</t>
  </si>
  <si>
    <t>https://ejournals.itda.ac.id/index.php/avitec/article/view/1672</t>
  </si>
  <si>
    <t>Scilit, Garuda, Base, Google Scholar, Researchgate</t>
  </si>
  <si>
    <t xml:space="preserve">RE Putri, W Fauzia, D Cherie, Monitoring and Control System Development on IoT-Based Aeroponic Growth of Pakcoy (Brassica rapa L.), jTEPJURNAL KETEKNIKAN PERTANIAN, P-ISSN 2407-0475 E-ISSN 2338-8439, Vol. 11 No. I2, p 222-239, 2023 </t>
  </si>
  <si>
    <t>https://journal.ipb.ac.id/index.php/jtep/article/view/48077/26256</t>
  </si>
  <si>
    <t>Crossref, Indonesian Publication Index (IPI), Google Scholar</t>
  </si>
  <si>
    <t xml:space="preserve">Julio Cesar Cuellar Aquino
Oscar Fabricio Peña Banegas, Estudio sobre la incidencia de la temperatura y humedad relativa en la asepsia del hospital El Progreso, CAMPUS SAN PEDRO SULA; ENERO 2023 </t>
  </si>
  <si>
    <t>http://20.232.170.154/handle/123456789/12510</t>
  </si>
  <si>
    <t>Fransiska Ima Setia Ningsih, Bambang Guruh Irianto, and Lamidi, Monitoring Baby Incubator Central Based
Raspberry Pi Zero W with Temperature and Skin
Temperature Parameters, Indonesian Journal of Electronics, Electromedical Engineering, and Medical Informatics, Vol. 5, No. 3, August 2023, pp.116-124 e-ISSN: 2656-8624</t>
  </si>
  <si>
    <t>http://ijeeemi.poltekkesdepkes-sby.ac.id/index.php/ijeeemi/article/view/283</t>
  </si>
  <si>
    <t xml:space="preserve"> Google Scholar, Researchgate</t>
  </si>
  <si>
    <t>Muhammad Luqman Ramadhani, Arnisa Stefanie, Reni Rahmadewi, IMPLEMENTASI METODE FUZZY LOGICMAMDANI PADA ALAT PENGERING BIJI KAKAO, JATI (Jurnal Mahasiswa Teknik Informatika), Vol. 7 No. 3, Juni 2023</t>
  </si>
  <si>
    <t>https://ejournal.itn.ac.id/index.php/jati/article/view/7132/4237</t>
  </si>
  <si>
    <t>KW Sastrawan, Prototipe Jemuran Otomatis Berbasis Internet of Things, PROGRAM STUDI D4 TEKNIK OTOMASI
JURUSAN TEKNIK ELEKTRO
POLITEKNIK NEGERI BALI
2023</t>
  </si>
  <si>
    <t>https://repository.pnb.ac.id/9983/1/RAMA_36304_1915344001_0027127205_0024127104_part.pdf</t>
  </si>
  <si>
    <t>JCC Aquino, OFP Banegas, Estudio sobre la incidencia de la temperatura y humedad relativa en la asepsia del hospital El Progreso, CAMPUS SAN PEDRO SULA; ENERO 2023</t>
  </si>
  <si>
    <t>https://repositorio.unitec.edu/bitstream/handle/123456789/12816/PI_I10_JCuellar_OPena.pdf?sequence=1&amp;isAllowed=y</t>
  </si>
  <si>
    <t xml:space="preserve">W Paengkaew, A Limsakul, E Kokkaew, S Sooktawee, Development of a hot weather warning tool for heat index monitoring in Thailand, Journal of Public Health and Development
Vol.21 No.3 September-December 2023 </t>
  </si>
  <si>
    <t>https://www.researchgate.net/profile/Sirapong-Sooktawee/publication/373049062_Development_of_a_hot_weather_warning_tool_for_heat_index_monitoring_in_Thailand/links/64d5eb4fd3e680065aad0452/Development-of-a-hot-weather-warning-tool-for-heat-index-monitoring-in-Thailand.pdf</t>
  </si>
  <si>
    <t xml:space="preserve">J BEA, CDA BEA, Interfacing Blynk IOT Platform for Monitoring Temperature and Humidity in Poultry Farm, International Journal of Innovative Science and Research Technology, Volume 8, Issue 6, June – 2023 </t>
  </si>
  <si>
    <t>https://ijisrt.com/assets/upload/files/IJISRT23JUN2554.pdf</t>
  </si>
  <si>
    <t>ML Ramadhani, A Stefanie, IMPLEMENTASI METODE FUZZY LOGIC MAMDANI
PADA ALAT PENGERING BIJI KAKAO, JATI (Jurnal Mahasiswa Teknik Informatika), Vol. 7 No. 3, Juni 2023</t>
  </si>
  <si>
    <t>https://ejournal.itn.ac.id/index.php/jati/article/view/7132</t>
  </si>
  <si>
    <t>HA Yanti, DA Putri, SZ Fajriyah, SIMULASI SISTEM MONITORING OKSIGEN TERLARUT
(DO) PADA BUDIDAYA UDANG VANAME BERBASIS
INTERNET OF THINGS (IoT), Journal of Informatics and Communications Technology (JICT), VOL. 5, NO. 1, PP.057-067,JUNE 2023</t>
  </si>
  <si>
    <t>https://ejournal.akademitelkom.ac.id/j_ict/index.php/j_ict/article/view/156</t>
  </si>
  <si>
    <t>LabVIEW modeling and simulation, of the digital
filters</t>
  </si>
  <si>
    <t>Emrullah ASLANKAYA, Gökay BAYRAK, Şebeke bağlantılı fotovoltaik sistemlerde Bessel ve
Butterworth filtrelerinin güç hesabı ve analizi
üzerindeki etkilerinin incelenmesi, Journal of Balıkesir University Institute of Science and Technology, Volume: 25 Issue: 2, 689 - 700, 07.07.2023</t>
  </si>
  <si>
    <t>https://dergipark.org.tr/en/download/article-file/2680231</t>
  </si>
  <si>
    <t>Shakya, E., &amp; Huang, P. C. (2023). Bacterial Image Segmentation through Deep Learning Approach. In Machine Learning in 2D Materials Science (pp. 89-108). CRC Press.</t>
  </si>
  <si>
    <t>https://www.taylorfrancis.com/chapters/edit/10.1201/9781003132981-5/bacterial-image-segmentation-deep-learning-approach-ejan-shakya-pei-chi-huang</t>
  </si>
  <si>
    <t>Taylorfrancis</t>
  </si>
  <si>
    <t>Jiang, Z. (2023). Automated Construction Progress Monitoring Using Image Segmentation and Building Information Models. The Pennsylvania State University.</t>
  </si>
  <si>
    <t>https://www.proquest.com/openview/c1471752e648bb37472e6ce9f20a6dee/1?pq-origsite=gscholar&amp;cbl=18750&amp;diss=y</t>
  </si>
  <si>
    <t>PROQUEST</t>
  </si>
  <si>
    <t>Ding, Z., Li, H., Hou, R., Liu, Y., Xie, S., Zhou, D., &amp; Cao, J. (2023). X Modality Assisting RGBT Object Tracking. arXiv preprint arXiv:2312.17273.</t>
  </si>
  <si>
    <t>https://arxiv.org/abs/2312.17273</t>
  </si>
  <si>
    <t xml:space="preserve">Cornell University </t>
  </si>
  <si>
    <t>Cheng, H., Gong, G., Chen, M., Guo, X., &amp; Qian, R. (2023, August). A Localization Optimization Algorithm with Improved Feature Tracking Mechanism. In 2023 38th Youth Academic Annual Conference of Chinese Association of Automation (YAC) (pp. 137-141). IEEE.</t>
  </si>
  <si>
    <t>https://ieeexplore.ieee.org/abstract/document/10401820</t>
  </si>
  <si>
    <t>IEEExplore</t>
  </si>
  <si>
    <t>Pérez Rodríguez, A. (2023). Quadcopter stabilization based on IMU and Monocamera Fusion.</t>
  </si>
  <si>
    <t>https://www.diva-portal.org/smash/record.jsf?pid=diva2%3A1779123&amp;dswid=-6410</t>
  </si>
  <si>
    <t>Independent thesis Advanced level (degree of Master (Two Years))</t>
  </si>
  <si>
    <t>Wang, Y. (2023). Robot-Assisted Full Automation Interface: Touch-Response On Zebrafish Larvae (Doctoral dissertation, Dissertation, Karlsruhe, Karlsruher Institut für Technologie (KIT), 2023).</t>
  </si>
  <si>
    <t>https://core.ac.uk/download/pdf/581124105.pdf</t>
  </si>
  <si>
    <t>Zur Erlangung des akademischen Grades eines DOKTORS DER INGENIEURWISSENSCHAFTEN (Dr.-Ing.) von der KIT-Fakultät für Maschinenbau des Karlsruher Instituts für Technologie (KIT)</t>
  </si>
  <si>
    <t>Nguyen, T., Nguyen, T. N., &amp; Pham, V. C. (2023). A Computer Vision-Based Respiratory Rate Monitoring and Alarm System. Journal of Technical Education Science, 18(4), 26-35.</t>
  </si>
  <si>
    <t>https://jte.edu.vn/index.php/jte/article/view/1384</t>
  </si>
  <si>
    <t>Cassin, E. A. (2023). Analisi dei dati sulle precipitazioni estreme per la previsione delle inondazioni nelle aree urbane= Extreme rainfall data analysis for urban flood forecasting (Doctoral dissertation, Politecnico di Torino).</t>
  </si>
  <si>
    <t>https://webthesis.biblio.polito.it/secure/28268/1/tesi.pdf</t>
  </si>
  <si>
    <t xml:space="preserve">Master’s degree </t>
  </si>
  <si>
    <t>서영욱, &amp; 박회만. (2023). 영상처리를 이용한 5 령 누에 움직임 검출 및 병잠 검출을 위한 기초 연구. 한국산학기술학회 논문지, 24(1), 247-254.</t>
  </si>
  <si>
    <t>https://www.kais99.org/jkais/journal/Vol24No01/vol24no01p27.pdf</t>
  </si>
  <si>
    <t>Sui, P. F., Gao, M. R., Zhu, M. N., Xu, C., Wang, Y. C., Liu, S., &amp; Luo, J. L. (2023). Unlocking nanotubular bismuth oxyiodide toward carbon-neutral electrosynthesis. EES Catalysis, 1(3), 290-300.</t>
  </si>
  <si>
    <t>https://pubs.rsc.org/en/content/articlehtml/2023/ey/d3ey00034f</t>
  </si>
  <si>
    <t>Filali, Y., Errousso, H., Aghbalou, N., Alaoui, E. A. A., &amp; Sabri, M. A. (2023, October). Real-time parking availability classification on a large-area scale. In The Proceedings of the International Conference on Smart City Applications (pp. 215-228). Cham: Springer Nature Switzerland.</t>
  </si>
  <si>
    <t>https://link.springer.com/chapter/10.1007/978-3-031-53824-7_20</t>
  </si>
  <si>
    <t>Fiorini, S., Ciavotta, M., Liberto, C., &amp; Valenti, G. (2023, December). On-Street Parking Prediction: A Comparative Study. In 2023 IEEE International Conference on Big Data (BigData) (pp. 282-291). IEEE.</t>
  </si>
  <si>
    <t>https://ieeexplore.ieee.org/abstract/document/10386302</t>
  </si>
  <si>
    <t>Sui, P. (2023). Engineering strategies toward efficient CO2 electrochemical reduction to C1 products.</t>
  </si>
  <si>
    <t>https://era.library.ualberta.ca/items/c79864b9-ed07-434b-bb4f-61a2eb9111d3</t>
  </si>
  <si>
    <t>Doctor of Philosophy Thesis</t>
  </si>
  <si>
    <t>Fiorini, S. T. E. F. A. N. O. (2023). Listening to the City: Artificial Intelligence meets Smart Mobility.</t>
  </si>
  <si>
    <t>https://boa.unimib.it/handle/10281/415540</t>
  </si>
  <si>
    <t>Tesi di dottorato</t>
  </si>
  <si>
    <t>Fei, Y., &amp; Fu, D. A Deep Reinforcement Learning Traffic Control Model for Pedestrian and Vehicle Evacuation in the Parking Lot.</t>
  </si>
  <si>
    <t>https://papers.ssrn.com/sol3/papers.cfm?abstract_id=4584750</t>
  </si>
  <si>
    <t>Elsevier</t>
  </si>
  <si>
    <t>Ip, J., Llanos, E. J. R., Yu, X., Verma, D., &amp; Bolduc, A. (2023). U.S. Patent No. 11,783,597. Washington, DC: U.S. Patent and Trademark Office.</t>
  </si>
  <si>
    <t>https://patents.google.com/patent/US11783597B2/en</t>
  </si>
  <si>
    <t>Li, N., Xu, M., Li, Q., Liu, J., Bao, S., Li, Y., ... &amp; Zheng, H. (2023). A review of security issues and solutions for precision health in Internet-of-Medical-Things systems. Security and Safety, 2, 2022010.</t>
  </si>
  <si>
    <t>https://sands.edpsciences.org/articles/sands/abs/2023/01/sands20220008/sands20220008.html</t>
  </si>
  <si>
    <t>Jaeyalakshmi, M., Vijay, K., Jayashree, K., &amp; Vijay, P. (2023). A Cloud Based Healthcare Data Storage System Using Encryption Algorithm. In Recent Trends in Computational Intelligence and Its Application (pp. 486-491). CRC Press.</t>
  </si>
  <si>
    <t>https://www.taylorfrancis.com/chapters/edit/10.1201/9781003388913-64/cloud-based-healthcare-data-storage-system-using-encryption-algorithm-jaeyalakshmi-vijay-jayashree-priya-vijay</t>
  </si>
  <si>
    <t>Folasole, A., Adegboye, O. S., Ekuewa, O. I., &amp; Eshua, P. E. (2023). Security, Privacy Challenges and Available Countermeasures in Electronic Health Record Systems: A Review. European Journal of Electrical Engineering and Computer Science, 7(6), 27-33.</t>
  </si>
  <si>
    <t>https://ejece.org/index.php/ejece/article/view/561</t>
  </si>
  <si>
    <t>Radescu, T. A., &amp; Gellert, A. (2023). Fog Detection through Image Processing Methods. International Journal of Advanced Statistics and IT&amp;C for Economics and Life Sciences, 13(1), 28-37.</t>
  </si>
  <si>
    <t>https://intapi.sciendo.com/pdf/10.2478/ijasitels-2023-0004</t>
  </si>
  <si>
    <t>Remus Brad (ULBS) and I. A. Letia (UTCN)</t>
  </si>
  <si>
    <t>Extracting cloud motion from satellite image sequences</t>
  </si>
  <si>
    <t>Espinosa Gavira, M. J. (2023). Redes de sensores para la predicción solar a corto plazo en el marco de las microgrids y smartcities (Doctoral dissertation).</t>
  </si>
  <si>
    <t>https://core.ac.uk/download/pdf/588382429.pdf</t>
  </si>
  <si>
    <t>Doctoral dissertation</t>
  </si>
  <si>
    <t>C Băncioiu (ULBS), R Brad (ULBS)</t>
  </si>
  <si>
    <t>Analyzing markov boundary discovery algorithms in ideal conditions using the d-separation criterion</t>
  </si>
  <si>
    <t>Smith, S. V. (2023). Local Causal Structure Learning with the Coordinated Multi-Neighborhood Learning Algorithm. University of California, Los Angeles.</t>
  </si>
  <si>
    <t>https://www.proquest.com/openview/e1c214c73a9e5ba6160fe175c7e73e21/1?pq-origsite=gscholar&amp;cbl=18750&amp;diss=y</t>
  </si>
  <si>
    <t>Vintan, M.</t>
  </si>
  <si>
    <t>Scurtcircuitul monofazat în retelele electrice de inalta tensiune</t>
  </si>
  <si>
    <t>Fișcă Marius, Automatic protection systems in supply networks of large
consumers, UTCN - Teza de doctorat</t>
  </si>
  <si>
    <t>https://doctorat.utcluj.ro/theses/view/WWrwPrFasRJqjuXw8IIFahewYRRgOpNPcMPuNVUS.pdf</t>
  </si>
  <si>
    <t>Google schoolar</t>
  </si>
  <si>
    <t>D Toader, M Greconici, D Vesa, I Tatai , High-Performance Mathematical Models for the Analysis of Single Line-to-Ground Faults in Medium Voltage Electrical Networks, Techniques and Innovation in Engineering Research Vol. 9, Print ISBN: 978-81-19102-60-0, eBook ISBN: 978-81-19102-65-5, DOI: 10.9734/bpi/taier/v9/5543A</t>
  </si>
  <si>
    <t>https://d1wqtxts1xzle7.cloudfront.net/101869830/Toader_2023_BP_5543A_publicat-libre.pdf?1683293735=&amp;response-content-disposition=inline%3B+filename%3DHigh_Performance_Mathematical_Models_for.pdf&amp;Expires=1714642399&amp;Signature=SEfcdyboF22Eb4SojsWBykGisNDEy1qVSTR4LoB6HoRQqBTnd5sFgys1LEp71AqLI6fnPGRKxOgbF-Ba~-ccJV~u1YNbZRzvKA6sIaqMeQknWzjStaKIJq6JDjq9SKtS2r0GBmFdqAYT7-4r~MRT~KSd8rdt35pIeDvS2BJkfuOrkWh-butBhb5hNugSCSfsCirwXI1XW~BvVTWdhzwHzdNPxLpecBElQR03XUXB7c2PdaHa-jm1c-Rb8~j968Gxxxd9FQT2ShD~-g805McipPoZhCQW2ElXk-~SZrmtuWUP1MTQVak~z3eGYxlFiKQ~HdLylDAFbBgSxSp5QwuPiA__&amp;Key-Pair-Id=APKAJLOHF5GGSLRBV4ZA</t>
  </si>
  <si>
    <t>Crossref, Copernicus, etc.</t>
  </si>
  <si>
    <t>Toader, D.(UP Timisoara); Greconici, M.(UP Timisoara); Vesa, D.(UP Timisoara); Vintan, M.; Solea, C.(UP Timisoara); Maghet, A.(UP Timisoara); Tatai, I.(UP Timisoara)</t>
  </si>
  <si>
    <t>The Influence of the Characteristics of the Medium Voltage Network on the Single Line-to-Ground Fault Current in the Resistor Grounded Neutral Network</t>
  </si>
  <si>
    <t>Solea C.(UP Timisoara), Toader D (UPT), Vințan M, Greconici M (UPT), Vesa D (UPT), Tatai I (UPT)</t>
  </si>
  <si>
    <t>Framework for distribution network modeling and fault simulation using MATLAB</t>
  </si>
  <si>
    <t>Smart Factory Transformation Using Industry 4.0 toward ESG Perspective: A Critical Review and Future Direction (Hyungjung Kim et al, International Journal of Precision Engineering and Manufacturing-Smart Technology 2023;1(2):165-185)</t>
  </si>
  <si>
    <t>https://ijpem-st.org/journal/view.php?doi=10.57062/ijpem-st.2022.0073</t>
  </si>
  <si>
    <t>ResearchGate, Google Scholar</t>
  </si>
  <si>
    <t>Predictors of High Job Skills and Career Success of 
Undergraduates in Selected Universities in Sokoto, Kebbi 
and Zamfara States, Nigeria (Surajudeen et al, International Academic Journal of Advanced Educational Research)</t>
  </si>
  <si>
    <t>https://arcnjournals.org/images/24514252371943.pdf</t>
  </si>
  <si>
    <t>Efficiency enhancement of die design for G2R-1A relay terminal using progressive tool (Anggraini et al, MatterialsToday)</t>
  </si>
  <si>
    <t>https://www.sciencedirect.com/science/article/pii/S2214785323032583</t>
  </si>
  <si>
    <t>ScienceDirect, Google Scholars</t>
  </si>
  <si>
    <t>Transition from Industry 4.0 to Industry 5.0: A focus on key concepts applied in the manufacturing industry (Colombathanthri, A., Jomaa, W. et Chinniah, Y. A. , CIGI Qualita MOSIM 2023, Trois-Rivières, Québec, Canada DOI 10.60662/kgyr-1x92.</t>
  </si>
  <si>
    <t>https://collection-numerique.uqtr.ca/id/eprint/2080/</t>
  </si>
  <si>
    <t>Negotiating
Autonomy in
Cyber-Physical
Systems at Design
and Run Time: an
Architectural
Approach (Richard Heininger, Johannes Kepler University Linz)</t>
  </si>
  <si>
    <t>https://epub.jku.at/obvulihs/content/titleinfo/9279095/full.pdf</t>
  </si>
  <si>
    <t>Self-Organization and Autonomous Operations of Cyber-Physical Energy systems (Nnamdi Nwulu ; Uyikumhe Damisa, Energy 4.0: Concepts and Applications)</t>
  </si>
  <si>
    <t>https://pubs.aip.org/books/monograph/135/chapter-abstract/58874435/Self-Organization-and-Autonomous-Operations-of?redirectedFrom=fulltext</t>
  </si>
  <si>
    <t>AIPP Book, Google Scholars</t>
  </si>
  <si>
    <t>What Makes Digital Technology? A Categorization Based on Purpose (What Makes Digital Technology? A Categorization Based on Purpose (Marie-Sophie Baier et al)</t>
  </si>
  <si>
    <t>https://aisel.aisnet.org/cais/vol52/iss1/4/?utm_sou</t>
  </si>
  <si>
    <t>AIS Journals, Google Scholars</t>
  </si>
  <si>
    <t>The Role of Human Centricity in the Transition From Industry 4.0 to Industry 5.0: An Integrative Literature Review (Rebecca Castagnoli, Monica Cugno, Silvia Maroncelli, Anna Cugno, Managing Technology Integration for Human Resources in Industry 5.0)</t>
  </si>
  <si>
    <t>https://www.igi-global.com/chapter/the-role-of-human-centricity-in-the-transition-from-industry-40-to-industry-50/318297</t>
  </si>
  <si>
    <t>IGI Global, Google Scholars</t>
  </si>
  <si>
    <t>Beitrag zur Selbstorganisation in der Intralogistik (Peter Detzner, Dortmund)</t>
  </si>
  <si>
    <t>https://eldorado.tu-dortmund.de/bitstream/2003/41449/1/Dissertation_Detzner.pdf</t>
  </si>
  <si>
    <t xml:space="preserve"> Google Scholars</t>
  </si>
  <si>
    <t>A Multi-viewed semantic for “Cyber-Physical Production System” to support its life cycle- using System Engineering (SE) approach (Puviyarasu S a)</t>
  </si>
  <si>
    <t>https://www.researchgate.net/publication/379697140_A_Multi-viewed_semantic_for_Cyber-Physical_Production_System_to_support_its_life_cycle-_using_System_Engineering_SE_approach</t>
  </si>
  <si>
    <t>Automated Planning and Execution of Collaborative
Assembly Processes (Simon Storms)</t>
  </si>
  <si>
    <t>https://publications.rwth-aachen.de/record/976958/files/976958.pdf</t>
  </si>
  <si>
    <t>CB Zamfirescu (ULBS, DFKI), BC Pirvu (DFKI), M Loskyll (DFKI), D Zuehlke (DFKI)</t>
  </si>
  <si>
    <t>Do not cancel my race with cyber-physical systems, IFAC Proceedings Volumes 47 (3), 4346-4351</t>
  </si>
  <si>
    <t>AI Factory (Ramin Karim, Diego Galar, Uday Kumar)
Theories, Applications and Case Studies (</t>
  </si>
  <si>
    <t>https://www.taylorfrancis.com/books/mono/10.1201/9781003208686/ai-factory-ramin-karim-diego-galar-uday-kumar</t>
  </si>
  <si>
    <t xml:space="preserve"> Google Scholars, Taylor &amp; Francis</t>
  </si>
  <si>
    <t>Endüstri 4.0 kapsamında veri madenciliği yöntemleriyle sevkiyat performansının iyileştirilmesi (Dilek_Özdemir_Yılmaz)</t>
  </si>
  <si>
    <t>https://acikerisim.uludag.edu.tr/items/a56aea22-355f-4ca9-91a8-4ca84e0cb3c7</t>
  </si>
  <si>
    <t xml:space="preserve">
Industry 4.0 and digital transformation of industries (Symeonaki, Eleni)</t>
  </si>
  <si>
    <t>https://polynoe.lib.uniwa.gr/xmlui/handle/11400/4910</t>
  </si>
  <si>
    <t>Digital twins and 3D information modeling in a smart city for traffic controlling: A review (Zahra Rezaei et al., Journal of Geography and Cartography)</t>
  </si>
  <si>
    <t>https://systems.enpress-publisher.com/index.php/JGC/article/view/1865</t>
  </si>
  <si>
    <t>Proposed Enterprise Architecture on System Fleet Management (Wedha et al, Sinkron)</t>
  </si>
  <si>
    <t>https://www.polgan.ac.id/jurnal/index.php/sinkron/article/view/12387</t>
  </si>
  <si>
    <t>Auto-Guided Smart Forklift (Thiruchelvam, Stephenraj; Pathirana, Thisara, ICATC 2023)</t>
  </si>
  <si>
    <t>http://repository.kln.ac.lk/handle/123456789/27837</t>
  </si>
  <si>
    <t>D. Bhanu Prakash, G. Santhosh Kumar, Enhancing Plant Leaf Identification: A Comparative Study of Machine Learning Models, CVR Journal of Science and Technology, Vol 25 No 1 (2023)</t>
  </si>
  <si>
    <t>https://cvr.ac.in/ojs/index.php/cvracin/article/view/878</t>
  </si>
  <si>
    <t>CVR Journal of Science and Technology, 
Google Scholar</t>
  </si>
  <si>
    <t>Karnati Sai Shashank, N. Praneeth Prasad, K. Spoorthy Reddy,V. Uma Lakshmi, BUG TRACKING IN CLOUD COMPUTING, International Research Journal of Modernization in Engineering Technology and Science, 
Volume:05/Issue:04/April-2023</t>
  </si>
  <si>
    <t>https://www.irjmets.com/uploadedfiles/paper/issue_4_april_2023/36600/final/fin_irjmets1682154324.pdf</t>
  </si>
  <si>
    <t>International Research Journal of Modernization in Engineering Technology and Science,
Google Scholar</t>
  </si>
  <si>
    <t>M. Diab, Z. Nossair and H. Badr, "An Improved Intelligent Cognitive Radio Spectrum Sensing System using Concept Bottleneck and Deep Learning Models," 2023 International Conference on Computer and Applications (ICCA), Cairo, Egypt, 2023, pp. 1-5, doi: 10.1109/ICCA59364.2023.10401535.</t>
  </si>
  <si>
    <t>https://ieeexplore.ieee.org/abstract/document/10401535/references#references</t>
  </si>
  <si>
    <t>IEEEXPLORE</t>
  </si>
  <si>
    <t>Multi-source multimodal deep learning to improve situation awareness : an application of emergency traffic management : a thesis presented in partial fulfilment of the requirements for the degree of Doctor of Philosophy in Emergency Management at Massey University, Wellington, New Zealand</t>
  </si>
  <si>
    <t>https://mro-ns.massey.ac.nz/handle/10179/18268</t>
  </si>
  <si>
    <t>Rama Krishna Paladugu, Gangadhara Rao Kancherla, Harnessing Deep Learning Techniques for Text Clustering and Document Categorization, International Journal on Recent and Innovation Trends in Computing and Communication 11(8):125-139, September 2023, DOI: 10.17762/ijritcc.v11i8.7930</t>
  </si>
  <si>
    <t>https://www.researchgate.net/publication/374122812_Harnessing_Deep_Learning_Techniques_for_Text_Clustering_and_Document_Categorization/references</t>
  </si>
  <si>
    <t>ResearchGate</t>
  </si>
  <si>
    <t>Crețulescu Radu (ULBS), 
Morariu Daniel (ULBS), 
Breazu Macarie (ULBS),
Daniel Volovici (ULBS)</t>
  </si>
  <si>
    <t>Jayasree Ravi and Sushil Kulkarni, AUTOMATIC GENERATION OF PARAMETERS IN DENSITY-BASED SPATIAL CLUSTERING, ICTACT JOURNAL ON SOFT COMPUTING, JANUARY 2022, VOLUME: 12, ISSUE: 02</t>
  </si>
  <si>
    <t>https://ictactjournals.in/paper/ijsc_vol_12_iss_2_paper_2_2533_2539.pdf</t>
  </si>
  <si>
    <t>ICTACT Journal on Soft Computing, 
Google Scholar</t>
  </si>
  <si>
    <t>Feature selection in document classification</t>
  </si>
  <si>
    <t>SAĞBAŞ, Ensar Arif. A novel two-stage wrapper feature selection approach based on greedy search for text sentiment classification. Neurocomputing, 2024, 127729.</t>
  </si>
  <si>
    <t>https://www.sciencedirect.com/science/article/pii/S0925231224005009</t>
  </si>
  <si>
    <t>E. A. Sağbaş, “Filtre Tabanlı Öznitelik Seçim Yöntemleri Kullanılarak Metinlerde Duygu Sınıflandırması Üzerine Karşılaştırmalı Bir Çalışma”, Fırat Üniversitesi Mühendislik Bilimleri Dergisi, vol. 35, no. 1, pp. 239–250, 2023, doi: 10.35234/fumbd.1195908.</t>
  </si>
  <si>
    <t>https://dergipark.org.tr/en/pub/fumbd/article/1195908#article_cite</t>
  </si>
  <si>
    <t>Fırat University Journal of Engineering Science
DergiPark Akademik</t>
  </si>
  <si>
    <t>Breazu Macarie, 
Volovici Daniel, 
Morariu Daniel Ionel, 
Cretulescu Radu George</t>
  </si>
  <si>
    <t>On Hagelbarger’s and Shannon’s matching pennies playing machines</t>
  </si>
  <si>
    <t>Galiya Markova, Sergey Bartsev, Heuristic modeling of reflection in reflexive games, Philosophical Problems of IT &amp; Cyberspace (PhilIT&amp;C), December 2023, DOI: 10.17726/philIT.2023.2.5</t>
  </si>
  <si>
    <t>https://www.researchgate.net/publication/376670195_Heuristic_modeling_of_reflection_in_reflexive_games/references</t>
  </si>
  <si>
    <t>ICTACT Journal on Soft Computing</t>
  </si>
  <si>
    <t>Fırat University Journal of Engineering Science</t>
  </si>
  <si>
    <t>D. Bhanu Prakash, G. Santhosh Kumar, Enhancing Plant Leaf Identification: A Comparative Study of Machine Learning Models</t>
  </si>
  <si>
    <t>KS Shashank, NP Prasad, KS Reddy, VU Lakshmi, BUG TRACKING IN CLOUD COMPUTING</t>
  </si>
  <si>
    <t>ICTACT Journal on Soft Computing,
Google Scholar</t>
  </si>
  <si>
    <t>H Algiriyage, R Nilani, Multi-source multimodal deep learning to improve situation awareness : an application of emergency traffic management : a thesis presented in partial fulfilment of the requirements for the degree of Doctor of Philosophy in Emergency Management at Massey University, Wellington, New Zealand</t>
  </si>
  <si>
    <t>Mironescu, Ion Dan; Popa, Maria Cristina; Berntzen, Lasse, A Pilot Study: Assessing the Synergy of Student Multidisciplinary Teamwork in Collaborative Projects, Educatia 21; Cluj-Napoca (2023</t>
  </si>
  <si>
    <t>https://www.proquest.com/openview/b0abce22028c97537e1d5a9ae16e3215/1?pq-origsite=gscholar&amp;cbl=2040141</t>
  </si>
  <si>
    <t xml:space="preserve">Reza Yousefzadeh; Amin Bemani; Alireza Kazemi; Mohammad Ahmadi, An Insight into the Prediction of Scale Precipitation in Harsh Conditions Using Different Machine Learning Algorithms, SPE Production &amp; Operation </t>
  </si>
  <si>
    <t>https://onepetro.org/PO/article-abstract/38/02/286/514888/An-Insight-into-the-Prediction-of-Scale</t>
  </si>
  <si>
    <t>N. Teja Sri, K. Ruchitha, K. Geethika, K. Neha, Predicting Workforce Productivity in the Garment Industry: A Data-Driven Approach, Science, Technology and Development Journal, Vol. 12, Issue 12, pp. 288-300, 2023</t>
  </si>
  <si>
    <t>https://journalstd.com/volume-xii-issue-12-december-2023/</t>
  </si>
  <si>
    <t>Stefan-Alexandru Precup, Arpad Gellert, Alexandru Dorobantiu, Constantin-Bala Zamfirescu</t>
  </si>
  <si>
    <t>Stefan-Alexandru Precup, Arpad Gellert, Alexandru Dorobantiu, Constantin-Bala Zamfirescu, Assembly Process Modeling Through Long Short-Term Memory, 13th Asian Conference on Intelligent Information and Database Systems, ISSN 1865-0929 (indexed DBLP, Scopus), pp. 28-39, Phuket, Thailand, April 2021</t>
  </si>
  <si>
    <t>Erik Rohkohl, Temporal production modeling for continuous battery cell process steps, Vulkan Verlag, 2023</t>
  </si>
  <si>
    <t>https://www.lehmanns.de/shop/technik/63224864-9783802783777-temporal-production-modeling-for-continuous-battery-cell-process-steps</t>
  </si>
  <si>
    <t>Jolanta Brzozowska, Monika Kulisz, Arkadiusz Gola, Identyfikacja sygnałów wejściowych w procesie szacowania długości cyklu montażu wyrobów złożonych z wykorzystaniem sztucznych sieci neuronowych, Inżynieria zarządzania: cyfryzacja produkcji, Aktualności badawcze 5, pp. 627-635, 2023</t>
  </si>
  <si>
    <t>https://www.pwe.com.pl/ksiazki/metody-ilosciowe/inzynieria-zarzadzania-cyfryzacja-produkcji-aktualnosci-badawcze-5,p140225827</t>
  </si>
  <si>
    <t>Google Scholar, ResearchGate</t>
  </si>
  <si>
    <t>Behnam Sadaghat, Ali Javadzade Khiavi, Babak Naeim, Erfan Khajavi, Amir Reza Taghavi Khanghah, Hadi Sadaghat, The Utilization of a Naïve Bayes Model for Predicting the Energy Consumption of Buildings, Journal of Artificial Intelligence and System Modelling, Vol. 1, Issue 1, December 2023</t>
  </si>
  <si>
    <t>Arpad Gellert, Radu Sorostinean, Bogdan-Constantin Pirvu</t>
  </si>
  <si>
    <t>Robust Assembly Assistance Using Informed Tree Search with Markov Chains, Sensors, Vol. 22, Issue 2, ISSN 1424-8220 (ISI Thomson Journals IF=3.275, Scopus, DBLP), DOI 10.3390/s22020495, p. 495, January 2022</t>
  </si>
  <si>
    <t>Muhammad Waseem, Sania Batool, Green Energy and Environmental Impact on the Industrial Sector in 33 High-Income Countries, Journal of Energy &amp; Environment, Vol. 4, No. 2, pp. 81-90, December 2023</t>
  </si>
  <si>
    <t>https://journals.internationalrasd.org/index.php/jee/article/view/1916</t>
  </si>
  <si>
    <t>Jolanta Brzozowska, Arkadiusz Gola, Monika Kulisz, Problems of forecasting the length of the assembly cycle of complex products realized in the MTO (make-to-order) model, Technologia i Automatyzacja Montażu, Vol. 121, Issue 3, pp. 13-20, October 2023</t>
  </si>
  <si>
    <t>https://journals.prz.edu.pl/tiam/article/view/1314</t>
  </si>
  <si>
    <t>Doaa Muhsin Abd Ali, Yasmin Makki Mohialde, Nadia Mahmood Hussien, Use of a Gradient Boosting Algorithm to Accurately Predict Solutions to Complex Equations, Scientific Research Journal of Engineering and Computer Science, Vol. 3, Issue 4, pp. 22-28, July 2023</t>
  </si>
  <si>
    <t>https://iarconsortium.org/srjecs/52/227/486_Use_of_a_Gradient_Boosting_Algorithm_to_Accurately_Predict_Solutions_to_Complex_Equations/</t>
  </si>
  <si>
    <t>Sigurd Schacht, Carsten Lanquillon, Sophie Henne, Elena Schmid, Vanessa Mehlin, Kognitive Assistenzsysteme, Knowledge Science – Fallstudien, Springer, pp. 21–32, July 2023</t>
  </si>
  <si>
    <t>https://www.springerprofessional.de/en/kognitive-assistenzsysteme/25864516</t>
  </si>
  <si>
    <t>Péter Dobra, János Jósvai, A Novel Adaptive Model for Overall Equipment Effectiveness Prediction, Proceedings of IAC 2023 in Vienna, pp. 77-59, Vienna, Austria, July 2023</t>
  </si>
  <si>
    <t>https://m2.mtmt.hu/api/publication/34413988</t>
  </si>
  <si>
    <t>Arpad Gellert, Stefan-Alexandru Precup, Bogdan-Constantin Pirvu, Constantin-Bala Zamfirescu</t>
  </si>
  <si>
    <t>Prediction-Based Assembly Assistance System, 25th International Conference on Emerging Technologies and Factory Automation (ETFA), ISBN 978-1-7281-8957-4 (indexed ISI, DBLP, Scopus), DOI 10.1109/ETFA46521.2020.9212170, pp. 1065-1068, Vienna, Austria, September 2020</t>
  </si>
  <si>
    <t>Junliang Wang, Pengjie Gao, Jie Zhang, Lihui Wang, A Review of Manufacturing Big Data: Connotation, Methodology, Application and Trends, Journal of Mechanical Engineering, Vol. 59, Issue 12, June 2023</t>
  </si>
  <si>
    <t>https://qikan.cmes.org/jxgcxb/EN/lexeme/showArticleByLexeme.do?articleID=69540</t>
  </si>
  <si>
    <t>Dajana Antanasijević, Sonja Ristić, Marko Vještica, Darko Stefanović, Vladimir Dimitrieski, Milan Pisarić, A Prototype of a Domain-Specific Modeling Language for Formal Specification of a Human Worker, Acta Electrotechnica et Informatica, Vol. 23, Issue 2, June 2023</t>
  </si>
  <si>
    <t>https://intapi.sciendo.com/pdf/10.2478/aei-2023-0010</t>
  </si>
  <si>
    <t>SCIENDO, Google Scholar, ResearchGate</t>
  </si>
  <si>
    <t>Lemai Nguyen, Michael Lane, Kaushalya Nallaperuma, Emre Deniz, A Socio-Ecological-Technical Perspective: How has Information Systems Contributed to Solving the Sustainability Problem, 31st European Conference on Information Systems (ECIS 2023), p. 304, Kristiansand, Norway, June 2023</t>
  </si>
  <si>
    <t>Riyadzh Mahmudh, Mst Sharmin Kader, Han Xioaqing, Improved Extreme Learning Machine Power Load Forecasting Based on Firefly Optimization Algorithms, International Journal of Advanced Engineering Research and Science, Vol. 10, Issue 5, May 2023</t>
  </si>
  <si>
    <t>https://issuu.com/ijaersjournal/docs/ijaers-13_may_2023</t>
  </si>
  <si>
    <t>Seyedvahid Vakili, A systematic, holistic and transdisciplinary energy management framework to promote environmentally sustainable shipyards, PhD Thesis, World Maritime University, Malmö, Sweden, April 2023.</t>
  </si>
  <si>
    <t>https://commons.wmu.se/phd_dissertations/20/</t>
  </si>
  <si>
    <t>Tiago Silveira Gontijo, Marcelo Azevedo Costa, Rafael Isaac Dos Santos, Rodrigo Barbosa de Santis, Electricity Price Forecasting: a Systematic Literature Review Informed by Text Mining, Revista de Administração Contabilidade e Economia da Fundace, Vol. 14, No. 1, April 2023</t>
  </si>
  <si>
    <t>https://www.fundace.org.br/revistaracef/index.php/racef/article/view/911</t>
  </si>
  <si>
    <t>Tiago Silveira Gontijo, Essays on electricity price forecasting, PhD Thesis, Universidade Federal de Minas Gerais, Brasil, March 2023.</t>
  </si>
  <si>
    <t>https://repositorio.ufmg.br/bitstream/1843/52319/1/Tese%20-%20Tiago%202023.pdf</t>
  </si>
  <si>
    <t>Keyao Lin, Juhua Hong, Linyao Zhang, Zhenda Hu, Lin Liu, Xiaofeng Li, Yangzi Chen, Research on New Investment Demand Forecast of Power Grid Company After Investment Interface Extension, 2nd International Academic Conference on Blockchain, Information Technology and Smart Finance, Hangzhou, China, February 2023</t>
  </si>
  <si>
    <t>https://www.atlantis-press.com/proceedings/icbis-23/125989770</t>
  </si>
  <si>
    <t>Assembly assistance system with decision trees and ensemble learning, Sensors, vol. 21, no. 11, 2021</t>
  </si>
  <si>
    <t>Bastian Pokorni, Methodology for the Design and Configuration of Digital Assistance Systems in the Manual Assembly of Variant-Rich Products, PhD Thesis, Technical University of Cluj-Napoca, 2023</t>
  </si>
  <si>
    <t>https://rei.gov.ro/teza-doctorat-document/83055165bb7c0b492ac-t_PhD_Thesis_Bastian-Pokorni_Printversion.pdf</t>
  </si>
  <si>
    <t>Vesa, E.; Ilie, B</t>
  </si>
  <si>
    <t>Equipment for SEMG signals acquisition and processing. In Proceedings of the International Conference on Advancements of Medicine and Health Care through Technology, Cluj-Napoca, Romania, 5–7 June 2014; pp. 187–192.</t>
  </si>
  <si>
    <t>Xue, X., Zhang, B., Moon, S., Xu, G. X., Huang, C. C., Sharma, N., &amp; Jiang, X. (2023). Development of a wearable ultrasound transducer for sensing muscle activities in assistive robotics applications. Biosensors, 13(1), 134.</t>
  </si>
  <si>
    <t>https://www.mdpi.com/2079-6374/13/1/134</t>
  </si>
  <si>
    <t>G. Sch.</t>
  </si>
  <si>
    <t>Xue, X., Moon, S., Ganesh, V., Zhang, B., Sharma, N., &amp; Jiang, X. (2023, September). Advancing Quadriceps Muscle Monitoring: Wearable A-mode Ultrasound and Machine Learning Classification for Accurate Estimation of Muscle States. In 2023 IEEE International Ultrasonics Symposium (IUS) (pp. 1-4). IEEE.</t>
  </si>
  <si>
    <t>https://ieeexplore.ieee.org/abstract/document/10307406/</t>
  </si>
  <si>
    <t>Sun, Y., &amp; Cui, J. (2023, August). Design of Wearable sEMG Acquisition Sensor and Data Gathering. In 2023 IEEE 16th International Conference on Electronic Measurement &amp; Instruments (ICEMI) (pp. 182-187). IEEE.</t>
  </si>
  <si>
    <t>https://ieeexplore.ieee.org/abstract/document/10270423/</t>
  </si>
  <si>
    <t>Liu, Y. (2023). Muscle Fatigue Judgement Based on Neck Electromyogram Signals. MEDS Clinical Medicine, 4(5), 43-51.</t>
  </si>
  <si>
    <t>https://www.clausiuspress.com/article/8178.html</t>
  </si>
  <si>
    <t xml:space="preserve">Ilie, B., ; Falota, H. </t>
  </si>
  <si>
    <t>Virtual Instrumentation Based Equipment for Bio-medical Measurements. Journal of Electrical and Electronics Engineering, (1), 155.</t>
  </si>
  <si>
    <t>Pawliczek, R. Increasing the efficiency and flexibility of laboratory testing with virtual instrument techniques. Paweł Pyrzanowski, 31.</t>
  </si>
  <si>
    <t>https://repo.pw.edu.pl/docstore/download/WUT57de55e3f4484bb9bef212d114bbecf6/WUTe079489d2ba44d8ea6191d38f8bc0ccf.pdf#page=38</t>
  </si>
  <si>
    <t>Craciunas Gabriela (ULBS)</t>
  </si>
  <si>
    <t>Vector control of a synchronous motor with permanent surface magnets in sensorless system</t>
  </si>
  <si>
    <t>Electromagnetic Shock Absorber
Madalina Badistru Marin
Anca-Elena Cava
Eugen-Mihai Deaconu
2023 17th International Conference on Engineering of Modern Electric Systems (EMES)</t>
  </si>
  <si>
    <t>https://ieeexplore.ieee.org/abstract/document/10171746</t>
  </si>
  <si>
    <t>IEEE</t>
  </si>
  <si>
    <t>Integral Methods for Calculating the Magnetic Field Intensity for a Cylindrical Permanent Magnet
Anca-Elena Cava; Madalina Badistru Marin; Eugen-Mihai Deaconu
2023 17th International Conference on Engineering of Modern Electric Systems (EMES)</t>
  </si>
  <si>
    <t>https://ieeexplore.ieee.org/abstract/document/10171644</t>
  </si>
  <si>
    <t>Bechet, A. C., Helbet, R.(STS), Bouleanu, I.(ULBS), Sarbu, A.(AFT), Miclaus, S.(AFT), Bechet, P.(AFT)</t>
  </si>
  <si>
    <t>Low cost solution based on software defined radio for the RF exposure assessment: A performance analysis</t>
  </si>
  <si>
    <t>Șorecău, E., Șorecău, M., Vasile, A. M., &amp; Bechet, P. (2023). Advanced Military Radio Channels Monitoring System Based on Software Defined Radio Platform: Preliminary Analysis. In International conference Knowledge-Based Organization (Vol. 29, No. 3, pp. 107-112).</t>
  </si>
  <si>
    <t>chrome-extension://efaidnbmnnnibpcajpcglclefindmkaj/https://intapi.sciendo.com/pdf/10.2478/kbo-2023-0083</t>
  </si>
  <si>
    <t>Sciendo, Google Scholar</t>
  </si>
  <si>
    <t>Some, E. (2023). Low-Cost Software Defined Radio Injection-Locking for Coherent Multichannel Receivers (Doctoral dissertation, University of Colorado at Boulder).</t>
  </si>
  <si>
    <t>https://www.proquest.com/openview/a6e83f142d2fa5123bc089c346dbcc6b/1?pq-origsite=gscholar&amp;cbl=18750&amp;diss=y</t>
  </si>
  <si>
    <t>Proquest, Google Scholar</t>
  </si>
  <si>
    <t>Artyushenko, V. M., &amp; Volovach, V. I. (2023, November). Estimating the Effect of Gaussian Noise on Short-Range Wireless Devices. In 2023 Dynamics of Systems, Mechanisms and Machines (Dynamics) (pp. 1-4). IEEE.</t>
  </si>
  <si>
    <t>https://ieeexplore.ieee.org/abstract/document/10349506</t>
  </si>
  <si>
    <t>IEEE, Google Scholar</t>
  </si>
  <si>
    <t>Bouleanu, I. (ULBS), Gheorghevici, M.(STS), Helbet, R (STS)</t>
  </si>
  <si>
    <t>The Quality of the Prediction for the NVIS Propagation with ITSHF Propagation</t>
  </si>
  <si>
    <t xml:space="preserve">FING2 </t>
  </si>
  <si>
    <t>Islam, M. A., &amp; Hossam-E-Haider, M. (2023, September). Performance Analysis of High Frequency Propagation Prediction Models in the Context of Bangladesh. In 2023 International Conference on Information and Communication Technology for Sustainable Development (ICICT4SD) (pp. 199-203). IEEE.</t>
  </si>
  <si>
    <t>https://ieeexplore.ieee.org/abstract/document/10303353</t>
  </si>
  <si>
    <t xml:space="preserve"> IEEE, Google Scholar</t>
  </si>
  <si>
    <t>Ashraful Islam, M., &amp; Hossam-E-Haider, M. (2023, September). Diurnal and Seasonal Variability of MUF in Bangladesh: A Comparative Analysis of HF Propagation Prediction Models. In World Conference on Information Systems for Business Management (pp. 327-337). Singapore: Springer Nature Singapore.</t>
  </si>
  <si>
    <t>https://link.springer.com/chapter/10.1007/978-981-99-8349-0_25</t>
  </si>
  <si>
    <t xml:space="preserve">Sârbu, A (AFT)., Miclăuş, S.(AFT), Bechet, P.(AFT), &amp; Bouleanu, I.(ULBS) </t>
  </si>
  <si>
    <t>Using Persistence Spectrum for Realistic Exposure Assessment to Time Varying Radiofrequency Signals</t>
  </si>
  <si>
    <t>Rasheed, A., &amp; Rafique, M. (2023). Filtering analysis of soil radon and thoron time series data. Journal of Radioanalytical and Nuclear Chemistry, 332(11), 4489-4504.</t>
  </si>
  <si>
    <t>https://link.springer.com/article/10.1007/s10967-023-09149-z</t>
  </si>
  <si>
    <t>Springer, Google Scholar</t>
  </si>
  <si>
    <t>Mihu Cantemir, Pitic Antoniu (ULBS), Bayraktar Dorin</t>
  </si>
  <si>
    <t>Oktaviani, E., Asrinur, A., Prakoso, A. W. I., &amp; Madiistriyatno, H. (2023). Transformasi Digital Dan Strategi Manajemen. Oikos Nomos: Jurnal Kajian Ekonomi dan Bisnis, 16(1), 16-26.</t>
  </si>
  <si>
    <t>https://ejurnal.ung.ac.id/index.php/ONM/article/view/20322</t>
  </si>
  <si>
    <t>Zareie, M., Attig, N., El Ghoul, S., &amp; Fooladi, I. (2023). Firm Digitalization and Corporate Performance: the Moderating Effect of Organizational Capital. Available at SSRN 4641492.</t>
  </si>
  <si>
    <t>https://papers.ssrn.com/sol3/papers.cfm?abstract_id=4641492</t>
  </si>
  <si>
    <t>Miranda, P. C. F. (2023). Howaccounting automation tools influence business performance (Doctoral dissertation).</t>
  </si>
  <si>
    <t>https://recipp.ipp.pt/handle/10400.22/24586</t>
  </si>
  <si>
    <t>Hiko, M. K. (2023). Digital Transformation Practices in the College of Education and Human Development at University of Minnesota Twin Cities (Master's thesis, University of Minnesota).</t>
  </si>
  <si>
    <t>https://search.proquest.com/openview/e2f67f88b9c5d519a651b297157314c8/1?pq-origsite=gscholar&amp;cbl=18750&amp;diss=y</t>
  </si>
  <si>
    <t>Pratama, I. W. A., &amp; Diwyarthi, N. D. M. S. (2024). Optimization of Human Resources and Utilization of Information Technology in Driving the Digital Economy. West Science Information System and Technology, 2(01), 49-57.</t>
  </si>
  <si>
    <t>https://wsj.westscience-press.com/index.php/wsist/article/view/829</t>
  </si>
  <si>
    <t>Efendi, A., Suryaman, A., Hapsari, F. A., Suwigtyo, R., &amp; Prasetyo, S. (2023). Strategi Membranding Akun Tiktok Untuk Monetasi. Jurnal Minfo Polgan, 12(2), 2592-2596.</t>
  </si>
  <si>
    <t>https://jurnal.polgan.ac.id/index.php/jmp/article/view/13323</t>
  </si>
  <si>
    <t>Velasco Durán, D. S. (2023). Propuesta de mejora del ambiente digital para la aplicación o devolución de títulos de depósito judicial.</t>
  </si>
  <si>
    <t>https://repository.unimilitar.edu.co/handle/10654/45807</t>
  </si>
  <si>
    <t>Gallardo Osorio, R. S., &amp; Garcia Amaya, M. A. La Transformación digital y su relación con la Cultura organizacional de las empresas de telefonía móvil de Lima Metropolitana, 2023.</t>
  </si>
  <si>
    <t>https://repositorioacademico.upc.edu.pe/handle/10757/673550</t>
  </si>
  <si>
    <t>A. Gellert, R. Brad, D. Morariu and M. Neghina [ULBS]</t>
  </si>
  <si>
    <t>iltering Random Valued Impulse Noise fromGrayscale Images through Support Vector Machine and Markov Chain</t>
  </si>
  <si>
    <t>Radescu, Teodor-Adrian &amp; Gellert, Arpad. (2023). Fog Detection through Image Processing Methods. International Journal of Advanced Statistics and IT&amp;C for Economics and Life Sciences. 13. 28-37. 10.2478/ijasitels-2023-0004.</t>
  </si>
  <si>
    <t>https://sciendo.com/article/10.2478/ijasitels-2023-0004</t>
  </si>
  <si>
    <t>M. Neghină, A. Matei, C. Zamfirescu [ULBS]</t>
  </si>
  <si>
    <t>Multimodal emotion detection from multiple data streams for improved decision making</t>
  </si>
  <si>
    <t>Wang, Kun &amp; Lu, Jie &amp; Liu, Anjin &amp; Zhang, Guangquan. (2023). An Augmented Learning Approach for Multiple Data Streams Under Concept Drift. 10.1007/978-981-99-8388-9_32.</t>
  </si>
  <si>
    <t>M. Neghină [ULBS], C. Zamfirescu [ULBS], P. Larsen, K. Lausdahl, K. Pierce</t>
  </si>
  <si>
    <t>Multi-Paradigm Discrete Event Modelling and Co-Simulation of Cyber-Physical Systems</t>
  </si>
  <si>
    <t xml:space="preserve">Filip, F G &amp; Zamfirescu, Constantin &amp; Ciurea, Cristian. (2023). Collaborative Decision-Making: Concepts, Methods, and Supporting Information and Communication Technologies. 10.1007/978-3-031-44373-2_5. </t>
  </si>
  <si>
    <t>https://link.springer.com/chapter/10.1007/978-3-031-44373-2_5</t>
  </si>
  <si>
    <t>M. Neghină [ULBS], C. Zamfirescu [ULBS], K. Pierce,</t>
  </si>
  <si>
    <t>Early-stage analysis of cyber-physical production systems through collaborative modelling</t>
  </si>
  <si>
    <t>M. Neghină [ULBS], C. Zamfirescu [ULBS]</t>
  </si>
  <si>
    <t>Collaborative development of a CPS-based production system</t>
  </si>
  <si>
    <t>M. Neghină [ULBS], C. Zamfirescu [ULBS], P.G. Larsen, K. Pierce</t>
  </si>
  <si>
    <t>Multi-paradigm modelling and co-simulation in prototyping a cyber-physical production system</t>
  </si>
  <si>
    <t>Victor-Emil Neagoe, (UPB)
Catalina-Elena Neghina, (ULBS)
Lorenzo Bruzzone, (Italia)
Francesca Bovolo, (Italia)</t>
  </si>
  <si>
    <t>ANT COLONY OPTIMIZATION BAND SELECTION FOR CLASSIFICATION OF MULTISPECTRAL EARTH OBSERVATION IMAGERY</t>
  </si>
  <si>
    <t>Oscar Maireles-Gonzlaez, Joan Bartrina, Miguel Hernández-Cabronero,Joan Serra-Sagristà, Efficient Lossless Compression of Integer Astronomical Data, Publications of the Astronomical Society of the Pacific, 2023</t>
  </si>
  <si>
    <t>https://iopscience.iop.org/article/10.1088/1538-3873/acf6e0</t>
  </si>
  <si>
    <t>IOPScience, Research Gate</t>
  </si>
  <si>
    <t>Victor-Emil Neagoe, (UPB)
Catalina-Elena Neghina, (FING2)
Lorenzo Bruzzone, (Italia)
Francesca Bovolo, (Italia)</t>
  </si>
  <si>
    <t>Liviu Rujan, Victor-Emil Neagoe, A Novel Approach for Hyperspectral Image Classification using Bat Algorithm to Optimize a CNN Classifier, Conference: 2023 15th International Conference on Electronics, Computers and Artificial Intelligence (ECAI), 2023</t>
  </si>
  <si>
    <t>https://ieeexplore.ieee.org/abstract/document/10193859</t>
  </si>
  <si>
    <t>C Neghină, (FING2)
A Cotoi, (AFT)
R Voina, (AFT)
S Miclăuş, (AFT)</t>
  </si>
  <si>
    <t>Using infrared imaging for surface dosimetric measurements during microwaves exposures</t>
  </si>
  <si>
    <t>Annamaria Sarbu, Alina Cotoi, David Vatamanu, Simona Miclaus, Using infrared thermography for addressing the spatial variability of electromagnetic field in the proximity of emitting antennas,     Conference: Modern Power Systems, MPS 2023At: Cluj-Napoca, Romania, 2023</t>
  </si>
  <si>
    <t>https://ieeexplore.ieee.org/document/10187538</t>
  </si>
  <si>
    <t xml:space="preserve">Victor-Emil Neagoe, (UPB)
Catalina-Elena Neghina, (FING2)
</t>
  </si>
  <si>
    <t>Shruti Kalra, Design and Optimization of Ultradeep Submicron CMOS Inverter Using a Unified All Regional MOSFET Model, Journal of Integrated Circuits and Systems, 2023</t>
  </si>
  <si>
    <t xml:space="preserve">https://www.researchgate.net/publication/367506596_Design_and_Optimization_of_Ultradeep_Submicron_CMOS_Inverter_Using_a_Unified_All_Regional_MOSFET_Model
</t>
  </si>
  <si>
    <t>Research Gate</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</si>
  <si>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</si>
  <si>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</si>
  <si>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</si>
  <si>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</si>
  <si>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</si>
  <si>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</si>
  <si>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</si>
  <si>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</si>
  <si>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</si>
  <si>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</si>
  <si>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</si>
  <si>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</si>
  <si>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</si>
  <si>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</si>
  <si>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</si>
  <si>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</si>
  <si>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</si>
  <si>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Applied Sciences ID: applsci-2732089</t>
  </si>
  <si>
    <t>https://www.mdpi.com/journal/applsci/submission_reviewers</t>
  </si>
  <si>
    <t>24 numere/an,, https://1510ql0k1-y-https-jcr-clarivate-com.z.e-nformation.ro/jcr-jp/journal-profile?journal=APPL%20SCI-BASEL&amp;year=2022&amp;fromPage=%2Fjcr%2Fsearch-results</t>
  </si>
  <si>
    <t>Machines ID: machines-2714209</t>
  </si>
  <si>
    <t>https://www.mdpi.com/about/announcements/7515</t>
  </si>
  <si>
    <t>20/11/2023</t>
  </si>
  <si>
    <t>12 numere/an,, https://1510ql0k1-y-https-jcr-clarivate-com.z.e-nformation.ro/jcr-jp/journal-profile?journal=MACHINES&amp;year=2022&amp;fromPage=%2Fjcr%2Fsearch-results</t>
  </si>
  <si>
    <t>Senzors ID: sensors-2554955</t>
  </si>
  <si>
    <t>https://www.mdpi.com/journal/sensors/submission_reviewers</t>
  </si>
  <si>
    <t>5/09.2023</t>
  </si>
  <si>
    <t>24 numere/an, https://1510ql0k1-y-https-jcr-clarivate-com.z.e-nformation.ro/jcr-jp/journal-profile?journal=SENSORS-BASEL&amp;year=2022&amp;fromPage=%2Fjcr%2Fhome</t>
  </si>
  <si>
    <t>Machines ID: machines-2251718</t>
  </si>
  <si>
    <t>26/02/2023</t>
  </si>
  <si>
    <t>Machines ID: machines-2184891</t>
  </si>
  <si>
    <t>https://www.mdpi.com/about/announcements/7516</t>
  </si>
  <si>
    <t>19/02/2023</t>
  </si>
  <si>
    <t>Breaz Radu-Eugen</t>
  </si>
  <si>
    <t>WoS,  Scopus</t>
  </si>
  <si>
    <t>https://www.mdpi.com/journal/materials/submission_reviewers?page_no=2</t>
  </si>
  <si>
    <t>Membru în comitetul științific</t>
  </si>
  <si>
    <t>24 numere/an, https://1510qkvls-y-https-jcr-clarivate-com.z.e-nformation.ro/jcr-jp/journal-profile?journal=MATERIALS&amp;year=2022</t>
  </si>
  <si>
    <t>https://www.mdpi.com/journal/micromachines/topical_advisory_panel?page_no=3</t>
  </si>
  <si>
    <t>Membru în comitetul științific al unei colecții editoriale</t>
  </si>
  <si>
    <t>12 numere/an, https://1510qkvls-y-https-jcr-clarivate-com.z.e-nformation.ro/jcr-jp/journal-profile?journal=MICROMACHINES-BASEL&amp;year=2022</t>
  </si>
  <si>
    <t>IEEE Access ID: Access-2023-35332</t>
  </si>
  <si>
    <t>https://ieeeaccess.ieee.org/</t>
  </si>
  <si>
    <t>2023-12-03 (Design and Application of Virtual Simulation Teaching Platform for Intelligent Manufacturing)</t>
  </si>
  <si>
    <t>periodic</t>
  </si>
  <si>
    <t>Electronics ID: electronics-2789139</t>
  </si>
  <si>
    <t>https://www.mdpi.com/journal/electronics</t>
  </si>
  <si>
    <t>2023-12-31 (An Grid-based Non-uniform Probabilistic Roadmap-based AGV Path Planning in Narrow Passages and Complex Environments)</t>
  </si>
  <si>
    <t>IEEE Transactions on Automation Science and Engineering ID: T-ASE-2023-2590</t>
  </si>
  <si>
    <t>https://ieeexplore.ieee.org/xpl/RecentIssue.jsp?punumber=8856</t>
  </si>
  <si>
    <t>2023-12-10 ( Iso-force rough machining of freeform deep cavities based on volumetric fields)</t>
  </si>
  <si>
    <t>Safety ID: safety-2729003</t>
  </si>
  <si>
    <t>https://www.mdpi.com/journal/safety</t>
  </si>
  <si>
    <t>2023-12-05 (Universal Safety Chuck Shield for Traditional Frequency Conversion Lathe)</t>
  </si>
  <si>
    <t>IEEE Transactions on Automation Science and Engineering ID: T-ASE-2023-2238</t>
  </si>
  <si>
    <t>2023-11-26 (Eleven-Point Gradient-Zhang Dynamics Algorithm for Time-Dependent Nonlinear Equality-Constraint Programming)</t>
  </si>
  <si>
    <t>Sensors ID: sensors-2706952</t>
  </si>
  <si>
    <t>https://www.mdpi.com/journal/sensors</t>
  </si>
  <si>
    <t>2023-11-10 (Design and Experimental of Three-Dimensional Force Sensor for Shearer Cutting Pick Force Monitoring)</t>
  </si>
  <si>
    <t>IEEE Transactions on Automation Science and Engineering ID: T-ASE-2023-1956</t>
  </si>
  <si>
    <t>2023-10-25 (A Local Optimization Method for CNC Tool Direction based on Rotary Axis Motion Characteristics)</t>
  </si>
  <si>
    <t>Buildings ID: buildings-2620249</t>
  </si>
  <si>
    <t>https://www.mdpi.com/journal/buildings</t>
  </si>
  <si>
    <t>2023-09-28 (Passive Auto-Tactile Heuristic (PATH) Tiles: Novel Robot-Inclusive Tactile Paving Hazard Alert System)</t>
  </si>
  <si>
    <t>Crystals ID: crystals-2583630</t>
  </si>
  <si>
    <t>https://www.mdpi.com/journal/crystals</t>
  </si>
  <si>
    <t>2023-09-16 (Numerical-Experimental Study of Process Optimization Conducted on an Al-Cu Alloy Produced by Combined Fields of Applied Pressure and Ultrasonic Vibration)</t>
  </si>
  <si>
    <t>Polymers ID: polymers-2562276</t>
  </si>
  <si>
    <t>https://www.mdpi.com/journal/polymers</t>
  </si>
  <si>
    <t>2023-08-16 (Assessing Formability and Failure of UHMWPE Sheets through SPIF: A Case Study in Medical Applications)</t>
  </si>
  <si>
    <t>Applied Sciences ID: applsci-2367978</t>
  </si>
  <si>
    <t>https://www.mdpi.com/journal/applsci</t>
  </si>
  <si>
    <t>2023-08-16 (Cloud-based architecture for production information exchange in European Micro Factories context)</t>
  </si>
  <si>
    <t>IEEE Access ID: Access-2023-06915</t>
  </si>
  <si>
    <t>2023-07-15 (Space Time Coding Scheme and Simulation Design Based on Joint Programming)</t>
  </si>
  <si>
    <t>Sensors ID: sensors-2480480</t>
  </si>
  <si>
    <t>2023-07-07 (Surface quality improvement of ultrasonic-assisted inner diameter sawing with six-axis force sensors)</t>
  </si>
  <si>
    <t>Journal of Composites Science ID: jcs-2250484</t>
  </si>
  <si>
    <t>https://www.mdpi.com/journal/jcs</t>
  </si>
  <si>
    <t>2023-02-24 (Effect of Roller Pressure and Base Prepreg Layer on Tensile and Flexural Properties of CFRP Laminates Fabricated Using Automated Fiber Placement)</t>
  </si>
  <si>
    <t>Coatings ID: coatings-2171082</t>
  </si>
  <si>
    <t>https://www.mdpi.com/journal/coatings</t>
  </si>
  <si>
    <t>2023-01-11 (Pipeline inspection robot for non-destructive testing application- An overview)</t>
  </si>
  <si>
    <t>International Journal of Multicriteria Decision Making ID: IJMCDM-150976</t>
  </si>
  <si>
    <t xml:space="preserve">Scopus, Academic One File, Asian Digital Library, </t>
  </si>
  <si>
    <t>https://www.inderscience.com/jhome.php?jcode=ijmcdm</t>
  </si>
  <si>
    <t>2023-10-13 (An LOPCOW-OPTBIAS-based Integrated Approach for Cobot Selection in Manufacturing Assembly Operations)</t>
  </si>
  <si>
    <t>Mechanics Of Advanced Composite Structures ID: MACS-2309-1562</t>
  </si>
  <si>
    <t>Scopus, Scimago, Google Scholar</t>
  </si>
  <si>
    <t>https://macs.semnan.ac.ir/</t>
  </si>
  <si>
    <t>2023-10-08 (Design of Polymer Matrix-Based Hybrid Composite for Monoleaf Spring: A Review)</t>
  </si>
  <si>
    <t>https://www.nature.com/srep/</t>
  </si>
  <si>
    <t>2023-08-02 (Designand OptimizationofAutomatic SteelWire Changing Device forBrickBlankCutting Machine)</t>
  </si>
  <si>
    <t>IEEE Access</t>
  </si>
  <si>
    <t>18.01.2023</t>
  </si>
  <si>
    <t>https://www.webofscience.com/wos/op/peer-reviews/summary</t>
  </si>
  <si>
    <t>15.03.2023</t>
  </si>
  <si>
    <t>Electronics</t>
  </si>
  <si>
    <t>20.04.2023</t>
  </si>
  <si>
    <t>02.06.2023</t>
  </si>
  <si>
    <t>08.06.2023</t>
  </si>
  <si>
    <t>Sensors</t>
  </si>
  <si>
    <t>26.06.2023</t>
  </si>
  <si>
    <t>24.07.2023</t>
  </si>
  <si>
    <t>06.08.2023</t>
  </si>
  <si>
    <t>29.08.2023</t>
  </si>
  <si>
    <t>06.09.2023</t>
  </si>
  <si>
    <t>Robotics</t>
  </si>
  <si>
    <t>11.09.2023</t>
  </si>
  <si>
    <t>27.09.2023</t>
  </si>
  <si>
    <t>10.10.2023</t>
  </si>
  <si>
    <t>28.10.2023</t>
  </si>
  <si>
    <t>13.11.2023</t>
  </si>
  <si>
    <t>30.11.2023</t>
  </si>
  <si>
    <t>31.12.2023</t>
  </si>
  <si>
    <t>SESAM</t>
  </si>
  <si>
    <t>https://easychair.org/conferences/review_requests?a=31380887</t>
  </si>
  <si>
    <t>02.08.2023</t>
  </si>
  <si>
    <t>Silicon (eISSN: 1876-9918), ID 1503949c-073f-4938-abb0-6f3d0c0b2193, Studies on the process optimization of surface properties and forming time for thesingle
point incremental forming of AISI 316L sheets</t>
  </si>
  <si>
    <t>https://link.springer.com/journal/12633</t>
  </si>
  <si>
    <t>11.01.2023</t>
  </si>
  <si>
    <t>18 numere/an</t>
  </si>
  <si>
    <t>Micromachines (ISSN 2072-666X), micromachines-2198957, Effect of reticulate unit spacing on microstructure and properties of biomimetic 7075 aluminum alloy by laser cladding</t>
  </si>
  <si>
    <t>https://www.mdpi.com/journal/micromachines</t>
  </si>
  <si>
    <t>24.01.2023</t>
  </si>
  <si>
    <t>12 numere pe an</t>
  </si>
  <si>
    <t>Journal of the Brazilian Society of Mechanical Sciences and Engineering (ISSN: 1678-5878), BMSE-D-23-01071, Hole Flanging Behaviour of Dual Phase Steel using Conventional and Incremental Forming Processes</t>
  </si>
  <si>
    <t>https://link.springer.com/journal/40430</t>
  </si>
  <si>
    <t>25.05.2022</t>
  </si>
  <si>
    <t>12 numere/an</t>
  </si>
  <si>
    <t>Guest Editor pentru numărul special: "Forming Technologies and Mechanical Properties of Advanced Materials - 2nd Volume" - Materials (ISSN 1996-1944) - 50 * 2 * 3 = 300</t>
  </si>
  <si>
    <t>https://www.mdpi.com/journal/materials/special_issues/YUUB1IT0O3</t>
  </si>
  <si>
    <t>01.01.2023-31.12.2023</t>
  </si>
  <si>
    <t>24 numere/an</t>
  </si>
  <si>
    <t>International Journal of Environment and Climate Change</t>
  </si>
  <si>
    <t>BDI https://journalijecc.com/index.php/IJECC/abstracting-indexing</t>
  </si>
  <si>
    <t>09.02.2023</t>
  </si>
  <si>
    <t xml:space="preserve">Asian Journal of Biology </t>
  </si>
  <si>
    <t>BDI https://journalajob.com/index.php/AJOB/abstracting-indexing</t>
  </si>
  <si>
    <t>20.02.2023</t>
  </si>
  <si>
    <t xml:space="preserve">FIBRES &amp; TEXTILES in Eastern Europe </t>
  </si>
  <si>
    <t>18.03.2023</t>
  </si>
  <si>
    <t>10x5</t>
  </si>
  <si>
    <t xml:space="preserve">Journal of Textile Engineering &amp; Fashion Technology </t>
  </si>
  <si>
    <t>https://medcraveonline.com/JTEFT/reviewer-board</t>
  </si>
  <si>
    <t>50x2.5</t>
  </si>
  <si>
    <t xml:space="preserve">Asian Journal of Agriculture and Allied Sciences </t>
  </si>
  <si>
    <t>BDI https://ikprress.org/index.php/index/abstracting-indexing</t>
  </si>
  <si>
    <t>4.05.2023</t>
  </si>
  <si>
    <t>FIBRES &amp; TEXTILES in Eastern Europe</t>
  </si>
  <si>
    <t>9.06.2023</t>
  </si>
  <si>
    <t>Asian Journal of Environment &amp; Ecology</t>
  </si>
  <si>
    <t>BDI https://journalajee.com/index.php/AJEE/abstracting-indexing</t>
  </si>
  <si>
    <t>14.06.2023</t>
  </si>
  <si>
    <t>Journal of Engineering Research and Reports</t>
  </si>
  <si>
    <t>BDI https://journaljerr.com/index.php/JERR/abstracting-indexing</t>
  </si>
  <si>
    <t>7.08.2023</t>
  </si>
  <si>
    <t>Annals of University of Oradea, Fascicle of Textiles, Leatherwork</t>
  </si>
  <si>
    <t>https://textile.webhost.uoradea.ro/Annals/Comitet%20stiintific.html</t>
  </si>
  <si>
    <t>14.04.2023</t>
  </si>
  <si>
    <t>Rusu Gabriela-Petruța</t>
  </si>
  <si>
    <t>https://www.nature.com/articles/s41598-023-44377-z</t>
  </si>
  <si>
    <t>lunar</t>
  </si>
  <si>
    <t>Discover Mechanical Engineering</t>
  </si>
  <si>
    <t>https://link.springer.com/journal/44245</t>
  </si>
  <si>
    <t>https://link.springer.com/journal/42452</t>
  </si>
  <si>
    <t>Racz Sever-Gabriel</t>
  </si>
  <si>
    <t>Metals</t>
  </si>
  <si>
    <t>https://www.mdpi.com/journal/metals/submission_reviewers?search=racz</t>
  </si>
  <si>
    <t>membru  în comitetul științific al publicației</t>
  </si>
  <si>
    <t>https://susy.mdpi.com/academic-editor/special_issues/process/902981</t>
  </si>
  <si>
    <t>guest editor de număr tematic</t>
  </si>
  <si>
    <t>https://susy.mdpi.com/academic-editor/special_issues/process/1081946</t>
  </si>
  <si>
    <t>Materials ID: materials-2699263</t>
  </si>
  <si>
    <t>https://www.mdpi.com/journal/materials</t>
  </si>
  <si>
    <t>2023-11-03 (Effect of Mg Addition on Inclusions in the Welding Heat-Affected Zone of Pressure Vessel Steels)</t>
  </si>
  <si>
    <t>Materials ID: materials-2662560</t>
  </si>
  <si>
    <t>2023-10-27 (Extension of Yld2000-2d Yield function into 3D Stress Space and its Experimental Verification)</t>
  </si>
  <si>
    <t>Metals ID: metals-2625046</t>
  </si>
  <si>
    <t>https://www.mdpi.com/journal/metals</t>
  </si>
  <si>
    <t>2023-09-25 (Metal-Cored Arc Welding of I-Profile Structure: Numerical Calculation and Experimental Measurement of Residual Stresses)</t>
  </si>
  <si>
    <t>Technologies ID: technologies-2602941</t>
  </si>
  <si>
    <t>https://www.mdpi.com/journal/technologies</t>
  </si>
  <si>
    <t>2023-09-13 (Enhancing Multiple Properties of a Multicomponent Mg-based Alloy using Sinterless Turning Induced Deformation Technique)</t>
  </si>
  <si>
    <t>Metals ID:metals-2576156</t>
  </si>
  <si>
    <t>2023-08-23 (Effects of Paint Baking Heat Treatments on Mechanical Properties and Microstructure of Resistance Spot-Welded A5022-O and A6014-T4 Alloys)</t>
  </si>
  <si>
    <t>Materials ID: materials-2546121</t>
  </si>
  <si>
    <t>2023-08-09 (Eddy Effect and Dynamic Response of High-Speed Solenoid Valve with Composite Iron Core)</t>
  </si>
  <si>
    <t>Metals ID: metals-2501572</t>
  </si>
  <si>
    <t>2023-08-01 (Solid-State Welding of Aluminum to Magnesium Alloys: A Review)</t>
  </si>
  <si>
    <t>R</t>
  </si>
  <si>
    <t>Applied Sciences ID: applsci-2468905</t>
  </si>
  <si>
    <t>2023-07-12 (Planar Delaunay Mesh Smoothing Method Based on Angle and a Deep Q Network)</t>
  </si>
  <si>
    <t>Sensors ID: sensors-2417505</t>
  </si>
  <si>
    <t>2023-06-16 (Research on intelligent monitoring of boring bar vibration state based on Shuffle-BiLSTM)</t>
  </si>
  <si>
    <t>Sensors ID: sensors-2388227</t>
  </si>
  <si>
    <t>2023-05-15 (Measurement of pneumatic valve flow parameters on the test bench with interchangeable venturi tubes and their practical use)</t>
  </si>
  <si>
    <t>Sensors ID: sensors-2357716</t>
  </si>
  <si>
    <t>2023-05-07 (Research on Surface Tracking and Constant Force Control of Grinding Robot)</t>
  </si>
  <si>
    <t>Metals ID: metals-2314609</t>
  </si>
  <si>
    <t>2023-04-03 (Improvement of Seizure Resistance in Ironing of Aluminum Alloy Sheets and Stainless Steel Cups by Utilizing Laser Textured Die Having Lubricant Pockets)</t>
  </si>
  <si>
    <t>Actuators ID: actuators-2275172</t>
  </si>
  <si>
    <t>https://www.mdpi.com/journal/actuators</t>
  </si>
  <si>
    <t>2023-03-23 (Automatic aluminum alloy surface grinding trajectory planning of industrial robot based on weld seam recognition and positioning)</t>
  </si>
  <si>
    <t>Coatings ID: coatings-2221441</t>
  </si>
  <si>
    <t>2023-02-13 (Design and analysis of an industrial, progressive die for cutting and forming)</t>
  </si>
  <si>
    <t>Robotics ID: robotics-2195546</t>
  </si>
  <si>
    <t>https://www.mdpi.com/journal/robotics</t>
  </si>
  <si>
    <t>2023-01-30 (Virtual Sensor Based Geometry Prediction of Complex Sheet Metal Parts Formed by Robotic Rollforming)</t>
  </si>
  <si>
    <t>Electronics ID: electronics-2153373</t>
  </si>
  <si>
    <t>2023-01-17 (Development of A New Robust Stable Walking Algorithm for a Humanoid Robot Using Deep Reinforcement Learning with Multi-Sensor Data Fusion)</t>
  </si>
  <si>
    <t>Bârsan Alexandru</t>
  </si>
  <si>
    <t>Applied Artificial Intelligence</t>
  </si>
  <si>
    <t>Applied Artificial Intelligence | Taylor &amp; Francis Online (tandfonline.com)</t>
  </si>
  <si>
    <t>MDPI - Applied Sciences</t>
  </si>
  <si>
    <t>Advances in Materials &amp; Processing Technologies</t>
  </si>
  <si>
    <t>Advances in Materials and Processing Technologies | Taylor &amp; Francis Online (tandfonline.com)</t>
  </si>
  <si>
    <t>MDPI - Agronomy</t>
  </si>
  <si>
    <t>https://www.mdpi.com/journal/agronomy</t>
  </si>
  <si>
    <t>https://www.sciencedirect.com/journal/materials-today-proceedings</t>
  </si>
  <si>
    <t>MDPI - Electronics</t>
  </si>
  <si>
    <t>MDPI - AgriEngineering</t>
  </si>
  <si>
    <t>https://www.mdpi.com/journal/agriengineering</t>
  </si>
  <si>
    <t>The International Journal of Advanced Manufacturing Technology</t>
  </si>
  <si>
    <t>https://www.springer.com/journal/170</t>
  </si>
  <si>
    <t>MDPI - Mathematics</t>
  </si>
  <si>
    <t>https://www.mdpi.com/journal/mathematics</t>
  </si>
  <si>
    <t>Pascu Adrian</t>
  </si>
  <si>
    <t>EBSCO
Engineering Village
ExLibris
Google Scholar
Inspec</t>
  </si>
  <si>
    <t>https://sciendo.com/journal/AUCTS?tab=editorial-board&amp;content-tab=editorial-board</t>
  </si>
  <si>
    <t>Anuală</t>
  </si>
  <si>
    <t>Shock and Vibration, ISSN: 1070-9622 (Print), ISSN: 1875-9203 (Online), DOI: 10.1155/3148</t>
  </si>
  <si>
    <t>https://www.hindawi.com/journals/sv/2023/1565927/</t>
  </si>
  <si>
    <t>Steel Research International, ISSN: 1611-3683 (print), 1869-344X (online)</t>
  </si>
  <si>
    <t>https://onlinelibrary.wiley.com/page/journal/1869344x/homepage/productinformation.html</t>
  </si>
  <si>
    <t>Journal of Industrial Textiles, ISSN 1528-0837 (Print), ISSN 1530-8057 (Online)</t>
  </si>
  <si>
    <t>https://journals.sagepub.com/home/jit</t>
  </si>
  <si>
    <t>Popp Mihai-Octavian</t>
  </si>
  <si>
    <t>Narcisa Vrinceanu</t>
  </si>
  <si>
    <t>ACS Omega/recenzor ISSN (Manuscript ID ao-2023-049773); ISSN: 2470-1343</t>
  </si>
  <si>
    <t>https://orcid.org/0000-0002-7505-9731</t>
  </si>
  <si>
    <t>20.07.2023/dovada pe email atasata dosarului</t>
  </si>
  <si>
    <t>Alexandria Engineering Journal</t>
  </si>
  <si>
    <t>CASE STUDIES IN THERMAL ENGINEERING/recenzor (ISSN: 2214-157X), Manuscript Number: CSITE-D-23-02428R1; SOURCE-WORK-ID: b79e46f2-2b98-4494-abbd-48a37c1f75eb</t>
  </si>
  <si>
    <t>CASE STUDIES IN THERMAL ENGINEERING/recenzor (ISSN: 2214-157X), Manuscript Number: CSITE-D-23-02708; SOURCE-WORK-ID: fb2dd515-e259-4b20-8434-fd02ba1c5d2a</t>
  </si>
  <si>
    <t>CASE STUDIES IN THERMAL ENGINEERING/recenzor (ISSN: 2214-157X), Manuscript Number: SOURCE-WORK-ID: 66f13bca-515f-4c29-9a46-3c133d1a9b1b</t>
  </si>
  <si>
    <t>CASE STUDIES IN THERMAL ENGINEERING/recenzor (ISSN: 2214-157X), SOURCE-WORK-ID: 1513857c-574f-4a8f-a564-d70aa7fa5ea5</t>
  </si>
  <si>
    <t>CASE STUDIES IN THERMAL ENGINEERING/recenzor (ISSN: 2214-157X), SOURCE-WORK-ID: 2400e91d-877e-41be-bd9b-04c4c84040c6</t>
  </si>
  <si>
    <t>https://orcid.org/0000-0002-7505-9732</t>
  </si>
  <si>
    <t>CASE STUDIES IN THERMAL ENGINEERING/recenzor (ISSN: 2214-157X), SOURCE-WORK-ID: f7238a39-1899-400f-ac87-32ad792e7518</t>
  </si>
  <si>
    <t>CASE STUDIES IN THERMAL ENGINEERING/recenzor (ISSN: 2214-157X), SOURCE-WORK-ID: fd3b9e24-43b0-41aa-8fdf-4528f5646360</t>
  </si>
  <si>
    <t xml:space="preserve">CATALYSTS/recenzor; ISSN 2073-4344; Manuscript ID: catalysts-2206328 </t>
  </si>
  <si>
    <t>https://susy.mdpi.com/user/reviewer/status/finished</t>
  </si>
  <si>
    <t>ianuarie 2023</t>
  </si>
  <si>
    <t>Coatings; (ISSN 2079-6412) Manuscript ID: coatings-2147593</t>
  </si>
  <si>
    <t>Ian 2023</t>
  </si>
  <si>
    <t>Coatings; (ISSN 2079-6412) Manuscript ID: coatings-coatings-2719302</t>
  </si>
  <si>
    <t>Noiembrie 2023</t>
  </si>
  <si>
    <t>Helion, Mauscript ID HELIYON-D-23-08496; ISSN 2405-8440</t>
  </si>
  <si>
    <t>iulie 2023</t>
  </si>
  <si>
    <t>Helion, Mauscript ID HELIYON-D-23-32246; ISSN 2405-8440</t>
  </si>
  <si>
    <t>Heliyon; ISSN 2405-8440; SOURCE-WORK-ID: 45803363-e036-4505-8d00-44f79e27081d</t>
  </si>
  <si>
    <t>Heliyon; Manuscript ID HELIYON-D-23-32826; ISSN 2405-8440</t>
  </si>
  <si>
    <t>25.09.2023</t>
  </si>
  <si>
    <t>Heliyon; Manuscript ID HELIYON-D-23-38141; ISSN 2405-8440</t>
  </si>
  <si>
    <t>2.10. 2023</t>
  </si>
  <si>
    <t>International J.of Thermofluids,  ISSN 2666-2027, SOURCE-WORK-ID: dc63cd5c-0f5d-4611-9c1a-f025205200e4</t>
  </si>
  <si>
    <t>Journal of functional biomaterials; Manuscript ID jfb-2239793; ISSN: 2079-4983</t>
  </si>
  <si>
    <t>Journal of the Taiwan Institute of Chemical Engineers, ISSN: 1876-1070, SOURCE-WORK-ID: 3a36ecff-ff0d-4cd5-81cd-685141d17bfb</t>
  </si>
  <si>
    <t>Journal of the Taiwan Institute of Chemical Engineers, ISSN: 1876-1070, SOURCE-WORK-ID: 5282d0cc-46fe-476e-85a3-0315ab8441d3</t>
  </si>
  <si>
    <t>Journal of the Taiwan Institute of Chemical Engineers, ISSN: 1876-1070, SOURCE-WORK-ID: 953d9d31-3184-4856-8c40-336c092a3d57</t>
  </si>
  <si>
    <t>nanomaterials; ID Manuscript-2294398;  (ISSN 2079-4991)</t>
  </si>
  <si>
    <t>nanomaterials; ID Manuscript-2553314;  (ISSN 2079-4991)</t>
  </si>
  <si>
    <t>20.03.2023</t>
  </si>
  <si>
    <t>Polymers/guest editor</t>
  </si>
  <si>
    <t>https://www.mdpi.com/journal/polymers/special_issues/Polymeric_Fibers_Textiles</t>
  </si>
  <si>
    <t>separations; separations-2783602; ISSN: 2297-8739</t>
  </si>
  <si>
    <t>water; Manuscript ID water-2517241; ISSN 2073-4441</t>
  </si>
  <si>
    <t>Gîrjob Claudia Emilia</t>
  </si>
  <si>
    <t>IJERPH (ISSN 1660-4601)
Manuscript ID
ijerph-2153166</t>
  </si>
  <si>
    <t xml:space="preserve"> Scopus, PubMed, MEDLINE, PMC, Embase, GEOBASE, CAPlus / SciFinder,</t>
  </si>
  <si>
    <t>15.01.2023</t>
  </si>
  <si>
    <t>Applied Sciences (ISSN 2076-3417)
Manuscript ID
applsci-2186241</t>
  </si>
  <si>
    <t>Scopus, SCIE (Web of Science), Inspec, CAPlus / SciFinder,</t>
  </si>
  <si>
    <t>17.01.2023</t>
  </si>
  <si>
    <t>Electronics (ISSN 2079-9292)
Manuscript ID
electronics-2205439</t>
  </si>
  <si>
    <t>Scopus, SCIE (Web of Science), CAPlus / SciFinder, Inspec,</t>
  </si>
  <si>
    <t>https://www.mdpi.com/journal/chips</t>
  </si>
  <si>
    <t>05.02.2023</t>
  </si>
  <si>
    <t>Sensors (ISSN 1424-8220)Manuscript ID
sensors-2239292</t>
  </si>
  <si>
    <t>Scopus, SCIE (Web of Science), PubMed, MEDLINE, PMC, Embase, Ei Compendex, Inspec, Astrophysics Data System,</t>
  </si>
  <si>
    <t>17.02.2023</t>
  </si>
  <si>
    <t>Sensors (ISSN 1424-8220)Manuscript ID
sensors-2432367</t>
  </si>
  <si>
    <t>Electronics (ISSN 2079-9292)
Manuscript ID
electronics-2280863</t>
  </si>
  <si>
    <t>07.03.2023</t>
  </si>
  <si>
    <t>Electronics (ISSN 2079-9292)
Manuscript ID
electronics-2341066</t>
  </si>
  <si>
    <t>31.03.2023</t>
  </si>
  <si>
    <t>Electronics (ISSN 2079-9292)
Manuscript ID
electronics-2364411</t>
  </si>
  <si>
    <t>18.04.2023</t>
  </si>
  <si>
    <t>Applied Sciences (ISSN 2076-3417)
Manuscript ID
applsci-2367065</t>
  </si>
  <si>
    <t>29.04.2023</t>
  </si>
  <si>
    <t>Sensors (ISSN 1424-8220)Manuscript ID
sensors-2412667</t>
  </si>
  <si>
    <t>13.05.2023</t>
  </si>
  <si>
    <t>Electronics (ISSN 2079-9292)
Manuscript ID
electronics-2474529</t>
  </si>
  <si>
    <t>29.06.2023</t>
  </si>
  <si>
    <t>Sensors (ISSN 1424-8220)Manuscript ID
sensors-2471834</t>
  </si>
  <si>
    <t>Electronics (ISSN 2079-9292)
Manuscript ID
electronics-2493754</t>
  </si>
  <si>
    <t>10.07.2023</t>
  </si>
  <si>
    <t>IJERPH (ISSN 1660-4601)
Manuscript ID
ijerph-2441422</t>
  </si>
  <si>
    <t>21.07.2023</t>
  </si>
  <si>
    <t>Sustainability (ISSN 2071-1050)
Manuscript ID
sustainability-2536292</t>
  </si>
  <si>
    <t xml:space="preserve"> Scopus,  EBSCO, iNSPEC, CAPlus / SciFinder,</t>
  </si>
  <si>
    <t>https://www.mdpi.com/journal/sustainability</t>
  </si>
  <si>
    <t>21.08.2023</t>
  </si>
  <si>
    <t>Sensors (ISSN 1424-8220)Manuscript ID
sensors-2577825</t>
  </si>
  <si>
    <t>16.08.2023</t>
  </si>
  <si>
    <t>Sensors (ISSN 1424-8220)Manuscript ID
sensors-2587498</t>
  </si>
  <si>
    <t>31.08.2023</t>
  </si>
  <si>
    <t>Processes (ISSN 2227-9717)
Manuscript ID
processes-2624266</t>
  </si>
  <si>
    <t>https://www.mdpi.com/journal/processes</t>
  </si>
  <si>
    <t>19.09.2023</t>
  </si>
  <si>
    <t>Remote Sensing (ISSN 2072-4292)
Manuscript ID
remotesensing-2638582</t>
  </si>
  <si>
    <t>Scopus, SCIE (Web of Science), EBSCO, Inspec,</t>
  </si>
  <si>
    <t>https://www.mdpi.com/journal/remotesensing</t>
  </si>
  <si>
    <t>15.10.2023</t>
  </si>
  <si>
    <t>Energies (ISSN 1996-1073) Manuscript ID energies-2695251</t>
  </si>
  <si>
    <t>01.11.2023</t>
  </si>
  <si>
    <t>Coatings (ISSN 2079-6412)
Manuscript ID
coatings-2744127</t>
  </si>
  <si>
    <t>18.11.2023</t>
  </si>
  <si>
    <t>Applied Sciences (ISSN 2076-3417)
Manuscript ID
applsci-2759067</t>
  </si>
  <si>
    <t>14.12.2023</t>
  </si>
  <si>
    <t>Electronics (ISSN 2079-9292)
Manuscript ID
electronics-2779445</t>
  </si>
  <si>
    <t>Machines (ISSN 2075-1702 - ID machines-2142841)</t>
  </si>
  <si>
    <t>https://www.mdpi.com/journal/machines</t>
  </si>
  <si>
    <t>09.01.2023
14.02.2023</t>
  </si>
  <si>
    <t>Machines (ISSN 2075-1702 - ID machines-2189925)</t>
  </si>
  <si>
    <t>23.01.2023</t>
  </si>
  <si>
    <t>Sustainability (ISSN 2071-1050 - ID sustainability-2236969)</t>
  </si>
  <si>
    <t>https://susy.mdpi.com</t>
  </si>
  <si>
    <t>28.02.2023</t>
  </si>
  <si>
    <t>Energies (ISSN 1996-1073 - ID energies-2284728)</t>
  </si>
  <si>
    <t>16.03.2023</t>
  </si>
  <si>
    <t>Machines (ISSN 2075-1702 - ID machines-2337490)</t>
  </si>
  <si>
    <t>05.04.2024</t>
  </si>
  <si>
    <t>Sensors (ISSN 1424-8220 - ID: sensors-2373449)</t>
  </si>
  <si>
    <t>https://www.mdpi.com/journal/sensors/sections/environmental_sensing</t>
  </si>
  <si>
    <t>23.04.2023</t>
  </si>
  <si>
    <t>11.05.2023</t>
  </si>
  <si>
    <t>Machines (ISSN 2075-1702 - ID machines-2434234)</t>
  </si>
  <si>
    <t>30.05.2023</t>
  </si>
  <si>
    <t>Sensors (ISSN 1424-8220 - ID: sensors-2465031)</t>
  </si>
  <si>
    <t>17.06.2023</t>
  </si>
  <si>
    <t>Energies (ISSN 1996-1073 -  ID energies - 2507688)</t>
  </si>
  <si>
    <t>11.07.2023</t>
  </si>
  <si>
    <t>Sensors (ISSN 1424-8220 - ID: sensors-2530932)</t>
  </si>
  <si>
    <t>14.07.2023
28.07.2024</t>
  </si>
  <si>
    <t>Robotics (SSN: 2218-6581 - ID robotics-2538454)</t>
  </si>
  <si>
    <t>28.07.2023</t>
  </si>
  <si>
    <t>Biomimetics (SSN: 2313-7673 - ID biomimetics-2570306)</t>
  </si>
  <si>
    <t>https://www.mdpi.com/journal/biomimetics</t>
  </si>
  <si>
    <t>24.08.2023</t>
  </si>
  <si>
    <t>Sensors (ISSN 1424-8220 - ID: sensors-2678055)</t>
  </si>
  <si>
    <t>10.10.2023
10.11.2023</t>
  </si>
  <si>
    <t>Sustainability (ISSN 2071-1050 - ID sustainability-2698510)</t>
  </si>
  <si>
    <t>24.10.2023</t>
  </si>
  <si>
    <t>Electronics (ISSN 2079-9292 - ID: electronics-2713831)</t>
  </si>
  <si>
    <t>06.11.2023</t>
  </si>
  <si>
    <t>Applied Sciences (ISSN 2076-3417 - ID: applsci-2725671)</t>
  </si>
  <si>
    <t>Strojniški vestnik - Journal of Mechanical Engineering</t>
  </si>
  <si>
    <t>http://ojs.sv-jme.eu/index.php/sv-jme</t>
  </si>
  <si>
    <t>21.11.2023</t>
  </si>
  <si>
    <t>Applied Sciences (ISSN 2076-3417 - ID: applsci-2763863)</t>
  </si>
  <si>
    <t>04.12.2023</t>
  </si>
  <si>
    <t>Sensors (ISSN 1424-8220 - ID: sensors-2765546)</t>
  </si>
  <si>
    <t>Energies (ISSN 1996-1073 -  ID energies - 2779031)</t>
  </si>
  <si>
    <t>27.12.2023</t>
  </si>
  <si>
    <t xml:space="preserve">      FING4</t>
  </si>
  <si>
    <t>Annals of the University of Oradea. Fascicle of Textiles, Leatherwork</t>
  </si>
  <si>
    <t xml:space="preserve"> EBSCO, Directory of Open Access Journals (DOAJ), Index Copernicus, Ulrich's Update - Periodicals Directory</t>
  </si>
  <si>
    <t>http://textile.webhost.uoradea.ro/Annals/Comitet%20stiintific.html</t>
  </si>
  <si>
    <t xml:space="preserve">   membru comitet științific</t>
  </si>
  <si>
    <t>2 numere/an</t>
  </si>
  <si>
    <t>Textile Research Journal</t>
  </si>
  <si>
    <t>https://journals.sagepub.com/home/trj</t>
  </si>
  <si>
    <t>10.12.2023</t>
  </si>
  <si>
    <t>14.08.2023</t>
  </si>
  <si>
    <t>Textile &amp; Leather Review</t>
  </si>
  <si>
    <t xml:space="preserve"> SCOPUS, Doaj, Ebsco, Ei Compendex,CAS Databases</t>
  </si>
  <si>
    <t>https://www.tlr-journal.com</t>
  </si>
  <si>
    <t>open acces journal</t>
  </si>
  <si>
    <t>Analiza termodinamică a proceselor fizico-chimice industriale</t>
  </si>
  <si>
    <t>Editura Academiei Forțelor Terestre „Nicolae Bălcescu”Sibiu, 2023</t>
  </si>
  <si>
    <t xml:space="preserve">https://www.armyacademy.ro/editura_carti.php
</t>
  </si>
  <si>
    <t>carte</t>
  </si>
  <si>
    <t>Mircea Bădescu</t>
  </si>
  <si>
    <t>The journal is indexed in ProQuest, EBSCOhost, DOAJ, Google Scholar and Index Copernicus</t>
  </si>
  <si>
    <t>http://revtn.ro/_legacy/</t>
  </si>
  <si>
    <t xml:space="preserve"> Danut-Dumitru Dumitrascu</t>
  </si>
  <si>
    <t>Jurnalul Internațional de ȘTIINȚE  AVANȚATE ȘI APLICATE (IJAAS) </t>
  </si>
  <si>
    <t>http://www.science-gate.com/IJAAS/EditorialBoard.html</t>
  </si>
  <si>
    <t>membru in comitetul editorial</t>
  </si>
  <si>
    <t>50 x 2 x 3</t>
  </si>
  <si>
    <t xml:space="preserve">Ain Shams Engineering Journal (ASEJ) </t>
  </si>
  <si>
    <t>https://www.sciencedirect.com/journal/ain-shams-engineering-journal</t>
  </si>
  <si>
    <t>Axioms</t>
  </si>
  <si>
    <t>http://www.mdpi.com/journal/axioms/</t>
  </si>
  <si>
    <t>IJERPInternational Journal of Emergency Services,</t>
  </si>
  <si>
    <t>https://www.emeraldgrouppublishing.com/journal/ijes</t>
  </si>
  <si>
    <t>Kifor Vasile Claudiu</t>
  </si>
  <si>
    <t>International Journal of Quality Control and Standards in Science and Engineering (IJQCSSE)</t>
  </si>
  <si>
    <t>Inspec, IET</t>
  </si>
  <si>
    <t>https://www.igi-global.com/journals/open-access/reviewers/international-journal-quality-control-standards/220802</t>
  </si>
  <si>
    <t>50 p</t>
  </si>
  <si>
    <t>sustainability</t>
  </si>
  <si>
    <t>WoS, Scopus...</t>
  </si>
  <si>
    <r>
      <rPr>
        <rFont val="Arial Narrow"/>
        <color theme="1"/>
        <sz val="10.0"/>
      </rPr>
      <t xml:space="preserve">19.11.2023 </t>
    </r>
    <r>
      <rPr>
        <rFont val="Arial Narrow"/>
        <color theme="1"/>
        <sz val="10.0"/>
      </rPr>
      <t>(CAPTURI sunt prezentate mai jos)</t>
    </r>
  </si>
  <si>
    <t>continua</t>
  </si>
  <si>
    <t>systems</t>
  </si>
  <si>
    <t>https://www.mdpi.com/journal/systems</t>
  </si>
  <si>
    <t>mathematics</t>
  </si>
  <si>
    <t>International Journal of Environmental Research and Public Health</t>
  </si>
  <si>
    <t>https://www.mdpi.com/journal/ijerph</t>
  </si>
  <si>
    <t>Journal of Risk and Financial Management</t>
  </si>
  <si>
    <t>https://www.mdpi.com/journal/jrfm</t>
  </si>
  <si>
    <t>Scientometrics</t>
  </si>
  <si>
    <t>https://link.springer.com/journal/11192</t>
  </si>
  <si>
    <r>
      <rPr>
        <rFont val="Arial Narrow"/>
        <color theme="1"/>
        <sz val="10.0"/>
      </rPr>
      <t xml:space="preserve">continua. </t>
    </r>
    <r>
      <rPr>
        <rFont val="Arial Narrow"/>
        <color rgb="FFFF0000"/>
        <sz val="10.0"/>
      </rPr>
      <t>Captura</t>
    </r>
  </si>
  <si>
    <t>JMMP - Journal of Manufacturing and Materials Processing</t>
  </si>
  <si>
    <t>6 iulie 2023, Manuscript ID: jmmp-2492233</t>
  </si>
  <si>
    <t>6 Issues in 2023</t>
  </si>
  <si>
    <t>23 februarie 2023, Manuscript ID: machines-2249847</t>
  </si>
  <si>
    <t>13 iunie 2023, Manuscript ID: metals-2441332</t>
  </si>
  <si>
    <t>30 noiembrie 2023, Manuscript ID: metals-2754916</t>
  </si>
  <si>
    <t>Asia Pacific Journal of Marketing and Logistic</t>
  </si>
  <si>
    <t>https://www.emerald.com/insight/publication/issn/1355-5855</t>
  </si>
  <si>
    <t>10 / year</t>
  </si>
  <si>
    <t>COFARU NICOLAE FLORIN</t>
  </si>
  <si>
    <t xml:space="preserve">Copernicus, De Gruyter </t>
  </si>
  <si>
    <t>https://sciendo.com/journal/AUCTS?tab=aims-scope</t>
  </si>
  <si>
    <t xml:space="preserve">biology-2593738 </t>
  </si>
  <si>
    <t>https://susy.mdpi.com/user/review/review/41986972/9GRb4Pu7</t>
  </si>
  <si>
    <t xml:space="preserve">applsci-2488012 </t>
  </si>
  <si>
    <t>https://www.mdpi.com/journal/jcm</t>
  </si>
  <si>
    <t xml:space="preserve">processes-2435868 </t>
  </si>
  <si>
    <t>https://www.mdpi.com/journal/jpm</t>
  </si>
  <si>
    <t xml:space="preserve">jcm-2134955 </t>
  </si>
  <si>
    <t xml:space="preserve">jcm-2137225 </t>
  </si>
  <si>
    <t>https://www.mdpi.com/journal/children</t>
  </si>
  <si>
    <t xml:space="preserve">Springer nature SNAPP </t>
  </si>
  <si>
    <t>https://www.springernature.com/gp/snapp</t>
  </si>
  <si>
    <t>ACTA TECHNICA NAPOCENSIS</t>
  </si>
  <si>
    <t>https://easychair.org/conferences/review_requests?a=31542652</t>
  </si>
  <si>
    <t>11 SEPTEMBRIE 18:59</t>
  </si>
  <si>
    <t>https://easychair.org/conferences/review_requests?a=31542653</t>
  </si>
  <si>
    <t>14 SEPTEMBRIE 15:56</t>
  </si>
  <si>
    <t>https://easychair.org/conferences/review_requests?a=31542654</t>
  </si>
  <si>
    <t>27 SEPTEMBRIE 9:19</t>
  </si>
  <si>
    <t>Therapeutics and Clinical Risk Management</t>
  </si>
  <si>
    <t>https://www.tandfonline.com/action/journalInformation?show=journalMetrics&amp;journalCode=dtcr20</t>
  </si>
  <si>
    <t>16 IANUARIE 12:34</t>
  </si>
  <si>
    <t>Arthroplasty</t>
  </si>
  <si>
    <t>11 SEPTEMBRIE21:35</t>
  </si>
  <si>
    <t xml:space="preserve"> Beju Livia</t>
  </si>
  <si>
    <t>Applied Sciences | An Open Access Journal from MDPI</t>
  </si>
  <si>
    <t>https://www.mdpi.com/journal/applsci/editors</t>
  </si>
  <si>
    <t>bilunar</t>
  </si>
  <si>
    <t>FING 5</t>
  </si>
  <si>
    <t>FING 6</t>
  </si>
  <si>
    <t>JMMP</t>
  </si>
  <si>
    <r>
      <rPr>
        <rFont val="Arial Narrow"/>
        <color theme="1"/>
        <sz val="10.0"/>
      </rPr>
      <t>Scopus</t>
    </r>
    <r>
      <rPr>
        <rFont val="Arial"/>
        <color theme="1"/>
        <sz val="9.0"/>
      </rPr>
      <t>, ESCI (Web of Science), Inspec, CAPlus / SciFinder</t>
    </r>
  </si>
  <si>
    <t>https://www.mdpi.com/journal/jmmp</t>
  </si>
  <si>
    <t>FING 7</t>
  </si>
  <si>
    <r>
      <rPr>
        <rFont val="Arial Narrow"/>
        <color theme="1"/>
        <sz val="10.0"/>
      </rPr>
      <t>Scopus</t>
    </r>
    <r>
      <rPr>
        <rFont val="Arial"/>
        <color theme="1"/>
        <sz val="9.0"/>
      </rPr>
      <t>, ESCI (Web of Science), Inspec, CAPlus / SciFinder</t>
    </r>
  </si>
  <si>
    <t xml:space="preserve">Sustainability </t>
  </si>
  <si>
    <t>Sustainability | An Open Access Journal from MDPI</t>
  </si>
  <si>
    <t>https://www.mdpi.com/journal/sustainability/editor</t>
  </si>
  <si>
    <t>Metals | An Open Access Journal from MDPI</t>
  </si>
  <si>
    <t>Senzor</t>
  </si>
  <si>
    <t>Sensors | An Open Access Journal from MDPI</t>
  </si>
  <si>
    <t>Lobonț Lucian</t>
  </si>
  <si>
    <t>100 = 50 p (associate editor) x 2 (revista are 4 numere / an) </t>
  </si>
  <si>
    <t>ȚÎȚU Aurel Mihail</t>
  </si>
  <si>
    <t>Revista de Tehnologii Neconvenționale</t>
  </si>
  <si>
    <t>Proquest, Copernicus, EBSCO, Google Scholar</t>
  </si>
  <si>
    <t>http://revtn.ro/index.php/revtn/about/editorialTeam</t>
  </si>
  <si>
    <t>4 / an</t>
  </si>
  <si>
    <t>Management of Sustainable Development</t>
  </si>
  <si>
    <t>Baidu Scholar, Cabell's Directory, CEJSH (The Central European Journal of Social Sciences and Humanities), EBSCO (relevant databases), Google Scholar, Index Copernicus</t>
  </si>
  <si>
    <t>https://msdjournal.org/editorial-board/</t>
  </si>
  <si>
    <t>2 / an</t>
  </si>
  <si>
    <t>Journal of Engineering Science</t>
  </si>
  <si>
    <t>DOAJ, Agris, Ebsco, Zenodo</t>
  </si>
  <si>
    <t>https://jes.utm.md/editorial-board/</t>
  </si>
  <si>
    <t>SCOPUS, EICompendex, EBSCO, ProQuest </t>
  </si>
  <si>
    <t>https://ijomam.com/editorial-board/</t>
  </si>
  <si>
    <t>Philosophy Study</t>
  </si>
  <si>
    <t>BASE; WorldCat; Cite Factor; Scholarsteer; Google Scholar; SJournal Index; Infobase Index; Journal Impact Factor; Minerva Liberary Catalog; Bay State college library; Kings collage London; Library Pubge; Cambridge Scientific Abstracts (CSA); Chinese Database of CEPS, American Federal Computer Library Center (OCLC); Chinese Scientific Journals Database, VIP Corporation Chongqing, P.R. China; Norwegian Social Science Data Services (NSD); The Philosopher’s Index; Pubget; SCRIBD; Ulrich’s Periodicals Directory; Universe Digital Library S/B; J-Gate; DRJI; Google Scholar Metrics  3</t>
  </si>
  <si>
    <t>http://www.davidpublisher.com/index.php/Home/Journal/detail?journalid=44&amp;jx=ps&amp;cont=editorial</t>
  </si>
  <si>
    <t>de 2 ori pe lună</t>
  </si>
  <si>
    <t>Revista de Management comparat internațional</t>
  </si>
  <si>
    <t>RePec (Research Papers in Economics - IDEAS, Econpapers, Socionet), Index Copernicus - Journals Master List, EBSCO, The World Wide Web Virtual Library For European Integration, NewJour Electronic Journals and Newsletters, Ulrich's Periodicals Directory, Cabells Database, Google Scholar, OCLC-WorldCat</t>
  </si>
  <si>
    <t>https://www.rmci.ase.ro/ro/index.html</t>
  </si>
  <si>
    <t>Review of General Management</t>
  </si>
  <si>
    <t>RePec (Research Papers in Economics 
– IDEAS, Econpapers, Socionet ), Central and Eastern European Online Library, Index Copernicus - Journals Master List, Cabell's Database, Ulrich's Periodicals Directory, SCIPIO</t>
  </si>
  <si>
    <t>http://www.managementgeneral.ro</t>
  </si>
  <si>
    <t>Management Studies</t>
  </si>
  <si>
    <t>Google Scholar; China National Knowledge Infrastructure (CNKI); China CrossRef; SSRN (social science research network);
Chinese Scientific Journals Database; VIP Corporation Chongqing, China; Chinese Database of CEPS, Airiti Inc., Taiwan
Index Copernicus International;  Poland Polish Scholarly Bibliography (PBN); Poland Qualis/Capes Index, Brazil ANVUR; Italy Finnish Publication Forum (JUFO); Finland
Norwegian Social Science Data Services (NSD); Database for Statistics on Higher Education (DBH);  Norway CiteFactor; USA 
Jour Informatics (Current year Impact Factor 0.01); Open Academic Journals Index (OAJI); Russian
Academic Keys; USA
Electronic Journals Library (EZB); Germany Scientific Indexing Services; USA Journals Impact Factor (JIF); Global Impact Factor (Impact Factor 0.543);  InnoSpace; USA  
Internet Archive Scholar Steer; USA
Infobase Index;  India (IBI Factor 2015: 3.36); Index of Turkish Education; Turkey
Universal Impact Factor; USA  
WorldCat; USA 
Sherpa/Romeo; UK
Journal Index.net; Australia
Free Libs ISI; UAE
GetCITED; Canada
J-Gate India;</t>
  </si>
  <si>
    <t>http://www.davidpublisher.org/index.php/Home/Journal/detail?journalid=7&amp;jx=MS&amp;cont=editorial</t>
  </si>
  <si>
    <t>Modern Management Forum</t>
  </si>
  <si>
    <t>Google Scholar, Creative Commons, ICMJE, NKI Scholar</t>
  </si>
  <si>
    <t>http://ojs.usp-pl.com/index.php/Modern-Management-Forum/about/editorialTeam</t>
  </si>
  <si>
    <t>Management si Marketing</t>
  </si>
  <si>
    <t>CABELL'S DIRECTORIES OF PUBLISHING OPPORTUNITIES; Ideas; REPEC; CEEOL - Central and Eastern European Online Library; DOAJ; EBSCO; Electronic Journals Library; Index Copernicus - Journal Masterl List; Intute: Social Science; ICAAP; SCIPIO</t>
  </si>
  <si>
    <t>http://www.mnmk.ro/colegiu.php</t>
  </si>
  <si>
    <t>Journal of Electrical Engineering, Electronics, Control and Computer Science</t>
  </si>
  <si>
    <t>Google Scholar, CiteFactor, Index Copernicus / SECTION EDITOR</t>
  </si>
  <si>
    <t>https://jeeeccs.net/index.php/journal/about/editorialTeam</t>
  </si>
  <si>
    <t>Google Scholar, CiteFactor, Index Copernicus / EDITORIAL BOARD</t>
  </si>
  <si>
    <t>https://jeeeccs.net/index.php/journal/about/editorialBoardStatic</t>
  </si>
  <si>
    <t xml:space="preserve">Review of Management and Economic Engineering </t>
  </si>
  <si>
    <t>Ulrichsweb; Ebsco; Google Scholar; Index Copernicus International; Cabell's Directories; PBN Polska; Bibliografia Naukowa;</t>
  </si>
  <si>
    <t>http://www.rmee.org/editorial_board.htm</t>
  </si>
  <si>
    <t>STUDIES AND SCIENTIFIC RESEARCHES.
ECONOMICS EDITION</t>
  </si>
  <si>
    <t>RePEc (Ideas, EconPapers, Socionet); DOAJ; ; Ulrich`s Periodicals Directory; WorldCat; ECONIS (ZBW - German National Library of Economics); BASE (Bielefeld Academic Search Engine); ERIH PLUS; J-Gate Management; Google Scholar; EUROPUB</t>
  </si>
  <si>
    <t>http://sceco.ub.ro/index.php/SCECO/about/editorialTeam</t>
  </si>
  <si>
    <t>12 ianuarie 2023</t>
  </si>
  <si>
    <t>10 x 5</t>
  </si>
  <si>
    <t>2 octombrie 2023</t>
  </si>
  <si>
    <t>Appilied Science</t>
  </si>
  <si>
    <t>28 ianuarie 2023</t>
  </si>
  <si>
    <t>https://www.mdpi.com/journal/coatings/special_issues/magnesium_aluminum</t>
  </si>
  <si>
    <t>GUEST EDITOR</t>
  </si>
  <si>
    <t>21 februarie 2023</t>
  </si>
  <si>
    <t>12 martie 2023</t>
  </si>
  <si>
    <t>3 august 2023 si 15 august 2023</t>
  </si>
  <si>
    <t>5 aprilie 2024</t>
  </si>
  <si>
    <t>23 mai 2023</t>
  </si>
  <si>
    <t>19 decembrie 2023</t>
  </si>
  <si>
    <t>18 iunie 2023</t>
  </si>
  <si>
    <t>22 august 2023</t>
  </si>
  <si>
    <t>10 iulie 2023</t>
  </si>
  <si>
    <t>IJOMAM</t>
  </si>
  <si>
    <t>https://ijomam.com/</t>
  </si>
  <si>
    <t>16 septembrie 2023</t>
  </si>
  <si>
    <t>17 septembrie 2023</t>
  </si>
  <si>
    <t>Ioan BONDREA
Radu Emanuil PETRUSE
Adrian PASCU
Valentin OLEKSIK 
Sever Gabriel RACZ</t>
  </si>
  <si>
    <t>FING3 
FING4</t>
  </si>
  <si>
    <t>https://content.sciendo.com/view/journals/aucts/aucts-overview.xml?tab_body=overview</t>
  </si>
  <si>
    <t>https://content.sciendo.com/view/journals/aucts/aucts-overview.xml?tab_body=editorialContent-75079</t>
  </si>
  <si>
    <t>Ioan BONDREA</t>
  </si>
  <si>
    <t>bioengineering</t>
  </si>
  <si>
    <t xml:space="preserve">https://www.mdpi.com/journal/bioengineering/ </t>
  </si>
  <si>
    <t>28 iulie 2023</t>
  </si>
  <si>
    <t>10*5</t>
  </si>
  <si>
    <t>materials</t>
  </si>
  <si>
    <t>https://www.mdpi.com/journal/materials/</t>
  </si>
  <si>
    <t>31 ianuarie 2023</t>
  </si>
  <si>
    <t>woS</t>
  </si>
  <si>
    <t>3 aprilie 2023</t>
  </si>
  <si>
    <t>metals</t>
  </si>
  <si>
    <t xml:space="preserve">https://www.mdpi.com/journal/metals/ </t>
  </si>
  <si>
    <t>13 iulie 2023</t>
  </si>
  <si>
    <t>Review of Management &amp; Economic Engineering</t>
  </si>
  <si>
    <t>Ulrich's Periodical Directory, EBSCO Business Source Complete Database, Index Copernicus, etc.</t>
  </si>
  <si>
    <t>www.rmee.org</t>
  </si>
  <si>
    <t>http://jeeeccs.net/index.php/journal/about/editorialBoardStatic</t>
  </si>
  <si>
    <t>Google Scholar, Index Copernicus (ICV=55.89)</t>
  </si>
  <si>
    <t>http://jeeeccs.net/index.php/journal/index</t>
  </si>
  <si>
    <t>Information</t>
  </si>
  <si>
    <t>https://www.mdpi.com/journal/information/submission_reviewers?search=grecu</t>
  </si>
  <si>
    <t>membru în comitetul științific al publicației - publicația are frecvență de peste 6 volume/an</t>
  </si>
  <si>
    <t>50*2*3</t>
  </si>
  <si>
    <t xml:space="preserve">https://www.mdpi.com/journal/sustainability/special_issues/I9EJS6K2MH </t>
  </si>
  <si>
    <t>5*10</t>
  </si>
  <si>
    <t>Merits</t>
  </si>
  <si>
    <t>https://www.mdpi.com/journal/merits/special_issues/KN3755UN9N</t>
  </si>
  <si>
    <t>Cioca Lucian-Ionel</t>
  </si>
  <si>
    <t xml:space="preserve">
Frontiers in Psychology</t>
  </si>
  <si>
    <t>https://www.frontiersin.org/journals/physiology/editors</t>
  </si>
  <si>
    <t>lunara</t>
  </si>
  <si>
    <t>https://www.mdpi.com/journal/sustainability/sectioneditors/environment_and_resources</t>
  </si>
  <si>
    <t>Safety</t>
  </si>
  <si>
    <t>https://www.mdpi.com/journal/safety/editors</t>
  </si>
  <si>
    <t>semestrial</t>
  </si>
  <si>
    <t>https://www.mdpi.com/journal/processes/editors</t>
  </si>
  <si>
    <t>https://www.mdpi.com/journal/sustainability/topical_collections/risk_assessmen_management</t>
  </si>
  <si>
    <t>Polish Journal of Management Studies</t>
  </si>
  <si>
    <t>https://pjms.zim.pcz.pl/resources/html/cms/SCIENTIFICCOUNCIL</t>
  </si>
  <si>
    <t>FAIMA BUSINESS &amp; MANAGEMENT JOURNAL</t>
  </si>
  <si>
    <t>https://faimajournal.upb.ro/editorial_board.html</t>
  </si>
  <si>
    <t>https://www.mdpi.com/journal/sustainability/topical_collections/Circular_Economy_and_Sustainable_Strategies</t>
  </si>
  <si>
    <t>Corporate Social Responsibility and Environmental Management</t>
  </si>
  <si>
    <t>16.01.2023</t>
  </si>
  <si>
    <t>Frontiers in Psychology</t>
  </si>
  <si>
    <t>https://www.webofscience.com/wos/woscc/full-record/WOS:001069811900001</t>
  </si>
  <si>
    <t>INMATEH - Agricultural Engineering</t>
  </si>
  <si>
    <t>https://inmateh.eu/about-us/editorial-board/</t>
  </si>
  <si>
    <t>Barb Carmen Sorina</t>
  </si>
  <si>
    <t>SESAM 2023, a 11 editie</t>
  </si>
  <si>
    <t>https://sesam2023.insemex.ro)</t>
  </si>
  <si>
    <t>18.10.2023</t>
  </si>
  <si>
    <t>Barb Carmen</t>
  </si>
  <si>
    <t>Energies (ISSN 1996-1073), energies-2124139, Investigation of the Vibration Transmission Characteristics of the Aero-Engine Casing System by Rotating Force Exciter</t>
  </si>
  <si>
    <t>10.01.2023</t>
  </si>
  <si>
    <t>24 numere pe an</t>
  </si>
  <si>
    <t>Applied Sciences (ISSN 2076-3417), applsci-2199653, Free vibration of rotating pretwisted porous p-FGM, e-FGM, and s-FGM conical shells in nonlinear temperature distribution</t>
  </si>
  <si>
    <t>30.01.2023</t>
  </si>
  <si>
    <t>Applied Sciences (ISSN 2076-3417), applsci-2243964, Significance of annealing twins in laser ultrasonic measurements of grain size for HSLA steels</t>
  </si>
  <si>
    <t>25.02.2023</t>
  </si>
  <si>
    <t>Polymers (ISSN 2073-4360), polymers-2269447, Fatigue and Wear Performance of Autoclave-Processed and Vacuum-Infused Carbon Fibre Reinforced Polymer Gears</t>
  </si>
  <si>
    <t>26.03.2023</t>
  </si>
  <si>
    <t>Materials (ISSN 1996-1944), materials-2333863, The mechanical properties of thin-walled specimens printed from a bronze-filled PLA-based composite filament using fused deposition modelling</t>
  </si>
  <si>
    <t>16.04.2023</t>
  </si>
  <si>
    <t>Energies (ISSN 1996-1073), energies-2550370, European Green Deal: Improving the Efficiency of Using Planetary Hydraulic Machines</t>
  </si>
  <si>
    <t>01.09.2023</t>
  </si>
  <si>
    <t>Journal of Marine Science and Engineering (ISSN 2077-1312), jmse-2600753, Investigation of the Energy Absorption Characteristics and Negative Poisson’s Ratio Effect of an Improved Star-Shaped Honeycomb</t>
  </si>
  <si>
    <t>https://www.mdpi.com/journal/jmse</t>
  </si>
  <si>
    <t>03.09.2023</t>
  </si>
  <si>
    <t>Applied Sciences (ISSN 2076-3417), applsci-2720995, A Novel Approach for High-Precision Evaluation of Sphericity Errors Using Computational Geometric Method and DE Algorithm</t>
  </si>
  <si>
    <t>05.12.2023</t>
  </si>
  <si>
    <t>Ionescu A. G (ULBS), Popescu L. G.(ULBS), Popescu P. A. (S.C.Tribuna)</t>
  </si>
  <si>
    <t>The Tribune 
Anthropology &amp; Communication nr. 1-4/2023</t>
  </si>
  <si>
    <t>https://www.lobbyart-anthropology.ro/THE-TRIBUNE.php</t>
  </si>
  <si>
    <t>bianuala</t>
  </si>
  <si>
    <t>Revista de Management si Inginerie Economica
ISSN: 1583-624X
Frequency: Four issues per year (March, June , September, December)
U.T. Press Publishing House</t>
  </si>
  <si>
    <t xml:space="preserve">Ulrichsweb
Ebsco
Google Scholar
Index Copernicus International
Cabell's Directories
PBN PolskaBibligrafia Naukowa
</t>
  </si>
  <si>
    <t>Review of Management and Economic Engineering (rmee.org)</t>
  </si>
  <si>
    <t>Membru în comitetul ştiinţific</t>
  </si>
  <si>
    <t>Four issues per year (March, June , September, December)</t>
  </si>
  <si>
    <t>Folia Oeconomica Stetinensia The Journal of University of Szczecin
Format Journal
Publication timeframe 2 times per year
Journal Metrics
Cite Score 0.8S
JR 0.15
SNIP 0.288</t>
  </si>
  <si>
    <t>Cabell's Journalytics
DOAJ
EBSCO
Elsevier - SCImago (SJR)
Elsevier - Reaxys
Google Scholar
ProQuest
SCOPUS</t>
  </si>
  <si>
    <t>Folia Oeconomica Stetinensia (sciendo.com)</t>
  </si>
  <si>
    <t>Publication timeframe 2 times per year</t>
  </si>
  <si>
    <t>EDUCATION SCIENCES
Publisher name MDPI
eISSN:
2227-7102</t>
  </si>
  <si>
    <t xml:space="preserve">https://www.mdpi.com/journal/education </t>
  </si>
  <si>
    <t>Petruse Radu Emanuil</t>
  </si>
  <si>
    <t xml:space="preserve">FING3  </t>
  </si>
  <si>
    <t>Frontiers in Virtual Reality</t>
  </si>
  <si>
    <t>Google Scholar, DOAJ, CrossRef, Digital Biography &amp; Library Project (dblp), CLOCKSS, OpenAIRE, Scopus</t>
  </si>
  <si>
    <t>https://www.frontiersin.org/journals/virtual-reality/editors</t>
  </si>
  <si>
    <t>COMPUTER, ELECTRONIC, AND INDUSTRIAL SCIENCE</t>
  </si>
  <si>
    <t>https://csei.uta.edu.ec/csei2024/#/inicio</t>
  </si>
  <si>
    <t xml:space="preserve">15 September 2023 at 12:22 </t>
  </si>
  <si>
    <t xml:space="preserve">15 September 2023 at 12:56 </t>
  </si>
  <si>
    <t>Sensors (ISSN 1424-8220)</t>
  </si>
  <si>
    <t>2023-01-07 </t>
  </si>
  <si>
    <t>Electronics (ISSN 2079-9292)</t>
  </si>
  <si>
    <t>2023-01-28 </t>
  </si>
  <si>
    <t>2023-03-16 </t>
  </si>
  <si>
    <t>2023-05-09 </t>
  </si>
  <si>
    <t>Applied Sciences (ISSN 2076-3417)</t>
  </si>
  <si>
    <t>2023-07-07 </t>
  </si>
  <si>
    <t>Virtual Worlds (ISSN 2813-2084)</t>
  </si>
  <si>
    <t>2023-07-28 </t>
  </si>
  <si>
    <t>Vehicles (ISSN 2624-8921)</t>
  </si>
  <si>
    <t>2023-08-18 </t>
  </si>
  <si>
    <t>2023-10-16 </t>
  </si>
  <si>
    <t>Symmetry (ISSN 2073-8994)</t>
  </si>
  <si>
    <t>2023-11-13 </t>
  </si>
  <si>
    <t>2023-11-02 </t>
  </si>
  <si>
    <t>Standards (ISSN 2305-6703)</t>
  </si>
  <si>
    <t>2023-12-23 </t>
  </si>
  <si>
    <t>Journal of Healthcare Informatics Research</t>
  </si>
  <si>
    <t>WoS, Springer Nature</t>
  </si>
  <si>
    <t>Deneș, C.</t>
  </si>
  <si>
    <t>Index Copernicus; ProQuest; Google Academic (http://www.revtn.ro/index.php/revtn)</t>
  </si>
  <si>
    <t>http://www.revtn.ro/index.php/revtn/about/editorialTeam</t>
  </si>
  <si>
    <t xml:space="preserve">https://www.editorialmanager.com/jamt/default2.aspx </t>
  </si>
  <si>
    <t>Purcar Carmen Maria</t>
  </si>
  <si>
    <t>https://revtn.ro/_legacy/editorial-board.htm</t>
  </si>
  <si>
    <t>4/an</t>
  </si>
  <si>
    <t>Dobrotă Dan</t>
  </si>
  <si>
    <t>Organic Polymer Material Research</t>
  </si>
  <si>
    <t>Jgate, Scilit, Crossref, Google scholar</t>
  </si>
  <si>
    <t>https://journals.bilpubgroup.com/index.php/opmr</t>
  </si>
  <si>
    <t xml:space="preserve">Metals and Materials International </t>
  </si>
  <si>
    <t>https://link.springer.com/journal/12540</t>
  </si>
  <si>
    <t>International Journal of Molecular Sciences</t>
  </si>
  <si>
    <t>https://www.mdpi.com/journal/ijms</t>
  </si>
  <si>
    <t>Journal of Adhesion Science and Technology</t>
  </si>
  <si>
    <t>https://www.tandfonline.com/toc/tast20/current</t>
  </si>
  <si>
    <t>Computation</t>
  </si>
  <si>
    <t>https://www.mdpi.com/journal/computation</t>
  </si>
  <si>
    <t>Computational and Mathematical Methods in Medicine</t>
  </si>
  <si>
    <t>https://www.hindawi.com/journals/cmmm/journal-report/</t>
  </si>
  <si>
    <t>Journal of Environmental Chemical Engineering</t>
  </si>
  <si>
    <t>https://www.sciencedirect.com/journal/journal-of-environmental-chemical-engineering</t>
  </si>
  <si>
    <t>6 numere/an</t>
  </si>
  <si>
    <t>Applied Thermal Engineering</t>
  </si>
  <si>
    <t>https://www.sciencedirect.com/journal/applied-thermal-engineering</t>
  </si>
  <si>
    <t>Waste Management</t>
  </si>
  <si>
    <t>https://www.sciencedirect.com/journal/waste-management</t>
  </si>
  <si>
    <t>Plasma</t>
  </si>
  <si>
    <t>https://www.mdpi.com/journal/plasma</t>
  </si>
  <si>
    <t>4 numere/an</t>
  </si>
  <si>
    <t>Environmental Quality Management</t>
  </si>
  <si>
    <t>https://onlinelibrary.wiley.com/journal/15206483</t>
  </si>
  <si>
    <t>Acta Mechanica et Automatica</t>
  </si>
  <si>
    <t>https://sciendo.com/journal/AMA</t>
  </si>
  <si>
    <t>Journal of Cleaner Production</t>
  </si>
  <si>
    <t>https://www.sciencedirect.com/journal/journal-of-cleaner-production</t>
  </si>
  <si>
    <t>52 numere/an</t>
  </si>
  <si>
    <t xml:space="preserve">Lubricants </t>
  </si>
  <si>
    <t>https://www.mdpi.com/journal/lubricants</t>
  </si>
  <si>
    <t>Energy Conversion and Management</t>
  </si>
  <si>
    <t>https://www.sciencedirect.com/journal/energy-conversion-and-management</t>
  </si>
  <si>
    <t>Biomimetics</t>
  </si>
  <si>
    <t>8 numere/an</t>
  </si>
  <si>
    <t>Journal of Material Cycles and Waste Management</t>
  </si>
  <si>
    <t>https://link.springer.com/journal/10163</t>
  </si>
  <si>
    <t>Advances in Concrete Construction, An International Journal</t>
  </si>
  <si>
    <t>https://www.techno-press.org/?journal=acc&amp;subpage=5#</t>
  </si>
  <si>
    <t>Fibers</t>
  </si>
  <si>
    <t>https://www.mdpi.com/journal/fibers</t>
  </si>
  <si>
    <t>Technological and Economic Development of Economy</t>
  </si>
  <si>
    <t>https://journals.vilniustech.lt/index.php/TEDE</t>
  </si>
  <si>
    <t>Mechanics of Advanced Composite Structures</t>
  </si>
  <si>
    <t>Additive Manufacturing</t>
  </si>
  <si>
    <t>https://www.sciencedirect.com/journal/additive-manufacturing</t>
  </si>
  <si>
    <t>https://www.sciencedirect.com/journal/arabian-journal-of-chemistry</t>
  </si>
  <si>
    <t xml:space="preserve">Journal of Polymer Research </t>
  </si>
  <si>
    <t>https://link.springer.com/journal/10965</t>
  </si>
  <si>
    <t>Cleaner Materials</t>
  </si>
  <si>
    <t>https://www.sciencedirect.com/journal/cleaner-materials</t>
  </si>
  <si>
    <t>11th Annual International Conference on Material Science and Environmental Engineering (MSEE 2023)</t>
  </si>
  <si>
    <t>http://www.msee2023.com/</t>
  </si>
  <si>
    <t>1 număr/an</t>
  </si>
  <si>
    <t xml:space="preserve">Technium Romanian Journal of Applied Sciences and Technology </t>
  </si>
  <si>
    <t>IDEAS, EBSCOhost, DOAJ, Google Scholar, Index Copernicus, RePEc</t>
  </si>
  <si>
    <t>https://techniumscience.com/index.php/technium/about/editorialTeam</t>
  </si>
  <si>
    <t>Anul 2023</t>
  </si>
  <si>
    <t>12 nr/an</t>
  </si>
  <si>
    <t>Modern Concepts in Material Science - MCMS</t>
  </si>
  <si>
    <t>Publons, EBSCOhost, Google Scholar, Index Copernicus, Scilit</t>
  </si>
  <si>
    <t>https://irispublishers.com/mcms/editorialboard.php</t>
  </si>
  <si>
    <t>5 nr/an</t>
  </si>
  <si>
    <t xml:space="preserve">Organic Polymer Material Research </t>
  </si>
  <si>
    <t>https://journals.bilpubgroup.com/index.php/opmr/about/editorialTeam</t>
  </si>
  <si>
    <t>2 nr/an</t>
  </si>
  <si>
    <t xml:space="preserve">Journal of Engineering Mechanics and Machinery </t>
  </si>
  <si>
    <t>CrossRef, Google Scholar, CNKI.</t>
  </si>
  <si>
    <t>https://www.clausiuspress.com/journal/JEMM/editorialBoard.html</t>
  </si>
  <si>
    <t>4 nr/an</t>
  </si>
  <si>
    <t>Fiabilitate si Durabilitate</t>
  </si>
  <si>
    <t>EBSCO , DOAJ, IndexCopernicus</t>
  </si>
  <si>
    <t>https://www.utgjiu.ro/rev_mec/?page=comitet</t>
  </si>
  <si>
    <t xml:space="preserve">SCIREA Journal of Materials </t>
  </si>
  <si>
    <t>https://www.scirea.org/journal/EditorialBoard?JournalID=43000</t>
  </si>
  <si>
    <t>Bratu Mihaela Laura</t>
  </si>
  <si>
    <t>https://www.frontiersin.org/research-topics/24647/optimizing-the-management-system-and-ergonomics-in-organizations-appropriate-to-the-personality-of-employees</t>
  </si>
  <si>
    <t>Psychiatry International</t>
  </si>
  <si>
    <t>https://www.mdpi.com/2673-5318/5/2/12</t>
  </si>
  <si>
    <t>25.12.2023</t>
  </si>
  <si>
    <t>European Journal of Investigation in Health Psychology and Education</t>
  </si>
  <si>
    <t>https://www.mdpi.com/2254-9625/14/1/4</t>
  </si>
  <si>
    <t>https://www.mdpi.com/1660-4601/20/21/6986</t>
  </si>
  <si>
    <t>09.10.2023</t>
  </si>
  <si>
    <t>Behavioral Sciences</t>
  </si>
  <si>
    <t>https://www.mdpi.com/2076-328X/13/10/825</t>
  </si>
  <si>
    <t>15.09.2023</t>
  </si>
  <si>
    <t>https://www.mdpi.com/2071-1050/15/16/12493</t>
  </si>
  <si>
    <t>26.07.2023</t>
  </si>
  <si>
    <t>https://www.mdpi.com/journal/behavsci</t>
  </si>
  <si>
    <t>07.06.2023</t>
  </si>
  <si>
    <t>https://www.frontiersin.org/journals/psychology/articles/10.3389/fpsyg.2022.1105192/full</t>
  </si>
  <si>
    <t>09.01.2023</t>
  </si>
  <si>
    <t>Sustainability, Sustainable and Safe Road User Behaviour</t>
  </si>
  <si>
    <t>https://www.mdpi.com/journal/sustainability/special_issues/Sustainable_Driving_Behaviour_RoadSafety</t>
  </si>
  <si>
    <t xml:space="preserve">Applied Sciences, Transportation and Future Mobility </t>
  </si>
  <si>
    <t>https://www.mdpi.com/journal/applsci/sections/transportation_future_mobility</t>
  </si>
  <si>
    <t xml:space="preserve">BDCC,Social Computing and Social Network Analysis </t>
  </si>
  <si>
    <t>https://www.mdpi.com/topics/Social_Computing_Network_Analysis</t>
  </si>
  <si>
    <t>Sustainability, Sustainable Transportation</t>
  </si>
  <si>
    <t>https://www.mdpi.com/journal/sustainability/sections/Sustainable_Transportation</t>
  </si>
  <si>
    <t>Electronics, Electrical and Autonomous Vehicles</t>
  </si>
  <si>
    <t>https://www.mdpi.com/journal/electronics/editors</t>
  </si>
  <si>
    <t>Sustainability, Sustainable Water Management</t>
  </si>
  <si>
    <t>https://www.mdpi.com/journal/sustainability/sections/Sustainable_Water_Management</t>
  </si>
  <si>
    <t>Journal of Digital Information Management</t>
  </si>
  <si>
    <t>DBLP, GoogleScholar, Computer Science Index, Science &amp; Technology Collection, INSPEC</t>
  </si>
  <si>
    <t>http://www.dline.info/jdim/editorial-board/</t>
  </si>
  <si>
    <t>4 numere pe an</t>
  </si>
  <si>
    <t>Journal of Information Systems Engineering &amp; Management</t>
  </si>
  <si>
    <t>J-GATE, GOOGLE SCHOLAR, SEMANTIC SCHOLAR, SCILIT, CROSSREF, INDEX COPERNICUS</t>
  </si>
  <si>
    <t>https://www.jisem-journal.com/home/editorial-board</t>
  </si>
  <si>
    <t>Computer Science and Engineering</t>
  </si>
  <si>
    <t>EBSCO, IndexCopernicus, CrossRef, J-Gate, GoogleScholar</t>
  </si>
  <si>
    <t>http://www.sapub.org/Journal/editorialboard.aspx?journalid=1081</t>
  </si>
  <si>
    <t>1 numar pe an</t>
  </si>
  <si>
    <t>EBSCO
Engineering Village
ExLibris
Google Scholar</t>
  </si>
  <si>
    <t>https://sciendo.com/journal/AUCTS?tab=issues&amp;content-tab=editorial-board</t>
  </si>
  <si>
    <t>Journal of E-Technology</t>
  </si>
  <si>
    <t>GoogleScholar, ResearchGate</t>
  </si>
  <si>
    <t>https://www.dline.info/jet/index.php</t>
  </si>
  <si>
    <t>International Journal of
Advanced Statistics and IT&amp;C for
Economics and Life Sciences</t>
  </si>
  <si>
    <t>Sciendo, Baidu Scholar, EBSCO, GoogleScholar</t>
  </si>
  <si>
    <t>https://magazines.ulbsibiu.ro/ijasitels/index.php/IJASITELS/</t>
  </si>
  <si>
    <t>2 numere pe an</t>
  </si>
  <si>
    <t>FLOREA ADRIAN</t>
  </si>
  <si>
    <t>Vehicle System Dynamics</t>
  </si>
  <si>
    <t>https://www.tandfonline.com/journals/nvsd20</t>
  </si>
  <si>
    <t>articolul NVSD-2023-0114.R1, 20.06.2023</t>
  </si>
  <si>
    <t>Applied Soft Computing</t>
  </si>
  <si>
    <t>https://www.journals.elsevier.com/applied-soft-computing</t>
  </si>
  <si>
    <t>articolul ASOC-D-23-02399R1, 19.10.2023; ASOC-D-23-04865, 08.12.2023</t>
  </si>
  <si>
    <t>https://www.sciencedirect.com/journal/engineering-applications-of-artificial-intelligence</t>
  </si>
  <si>
    <t>articolul EAAI-23-3609R2, 4 august 2023; articolul EAAI-23-7033, 17 Septembrie 2023</t>
  </si>
  <si>
    <t>articolul processes-2364421, 18.05.2023</t>
  </si>
  <si>
    <t>Sustainable Energy Technologies and Assessments</t>
  </si>
  <si>
    <t>https://www.sciencedirect.com/journal/sustainable-energy-technologies-and-assessments</t>
  </si>
  <si>
    <t>articolul SETA-D-22-04441_reviewer, 05.02.2023</t>
  </si>
  <si>
    <t>Brad Remus</t>
  </si>
  <si>
    <t xml:space="preserve">Asian Journal of Education and Social Studies </t>
  </si>
  <si>
    <t>BDI https://journalajess.com/index.php/AJESS/abstracting-indexing</t>
  </si>
  <si>
    <t>22/06/2023</t>
  </si>
  <si>
    <t>cinci</t>
  </si>
  <si>
    <t>https://magazines.ulbsibiu.ro/ijasitels/index.php/IJASITELS/issue/view/12/9</t>
  </si>
  <si>
    <t>anuala</t>
  </si>
  <si>
    <t>Future Internet</t>
  </si>
  <si>
    <t>https://www.mdpi.com/journal/futureinternet/topical_advisory_panel
https://www.mdpi.com/journal/futureinternet/topical_collections</t>
  </si>
  <si>
    <t>50x2x3</t>
  </si>
  <si>
    <t xml:space="preserve">Rev Roumaine des Sciences Techniques-Series Electrotechnique et Energetique </t>
  </si>
  <si>
    <t>29/11/2023</t>
  </si>
  <si>
    <t>patru</t>
  </si>
  <si>
    <t>Vințan Maria</t>
  </si>
  <si>
    <t>within Scopus, SCIE (Web of Science), Inspec, CAPlus / SciFinder</t>
  </si>
  <si>
    <t>Zamfirescu Bala-Constantin</t>
  </si>
  <si>
    <t>Simulation Modelling Practice and Theory</t>
  </si>
  <si>
    <t>https://www.sciencedirect.com/journal/simulation-modelling-practice-and-theory</t>
  </si>
  <si>
    <t>https://sciendo.com/journal/IJASITELS?tab=editorial-board</t>
  </si>
  <si>
    <t>CRETULESCU Radu</t>
  </si>
  <si>
    <t>SCIENDO, ROAD, EBSCO</t>
  </si>
  <si>
    <t>29.12.2023</t>
  </si>
  <si>
    <t>CRETULESCU RADU</t>
  </si>
  <si>
    <t>10.04.2023</t>
  </si>
  <si>
    <t>Morariu Daniel</t>
  </si>
  <si>
    <t>International Conference on Applied Informatics IDCC 2023</t>
  </si>
  <si>
    <t>https://conferences.ulbsibiu.ro/icdd/2023/contact.php</t>
  </si>
  <si>
    <t>12.03.2023</t>
  </si>
  <si>
    <t>Journal of Digital Information Management (JDIM)</t>
  </si>
  <si>
    <t xml:space="preserve">DBLP, GoogleScholar, Computer Science Index, Science &amp; Technology Collection, INSPEC
</t>
  </si>
  <si>
    <t>Anexată lista cu comitetul editorial</t>
  </si>
  <si>
    <t>Journal of E-Technology (JET)</t>
  </si>
  <si>
    <t>http://www.dline.info/jet/eb.php</t>
  </si>
  <si>
    <t>Future Internet, Special issue: Computer Vision, Deep Learning and Machine Learning with Applications</t>
  </si>
  <si>
    <t>DBLP, Scopus, etc.</t>
  </si>
  <si>
    <t>https://www.mdpi.com/journal/futureinternet/special_issues/CV_DL_ML_A</t>
  </si>
  <si>
    <t>12/an</t>
  </si>
  <si>
    <t>Energy Efficiency</t>
  </si>
  <si>
    <t>https://link.springer.com/journal/12053</t>
  </si>
  <si>
    <t>29.05.2023 (captură anexată din sistemul de recenzie)</t>
  </si>
  <si>
    <t>8/an</t>
  </si>
  <si>
    <t>Journal of Circuits, Systems, and Computers (JCSC)</t>
  </si>
  <si>
    <t>https://www.worldscientific.com/worldscinet/jcsc</t>
  </si>
  <si>
    <t>10.11.2023 (captură anexată din sistemul de recenzie)</t>
  </si>
  <si>
    <t>18/an</t>
  </si>
  <si>
    <t>Knowledge and Information Systems (KIS)</t>
  </si>
  <si>
    <t>https://link.springer.com/journal/10115</t>
  </si>
  <si>
    <t>27.10.2023 (captură anexată cu mesajul de confirmare)</t>
  </si>
  <si>
    <t>10.07.2023 (certificat de recenzie anexat)</t>
  </si>
  <si>
    <t>24/an</t>
  </si>
  <si>
    <t>Sustainable Cities and Society (SCS)</t>
  </si>
  <si>
    <t>https://www.sciencedirect.com/journal/sustainable-cities-and-society</t>
  </si>
  <si>
    <t>19.01.2023 (certificat de recenzie anexat)</t>
  </si>
  <si>
    <t>IEEE Transactions on Intelligent Transportation Systems (TITS)</t>
  </si>
  <si>
    <t>https://ieee-itss.org/pub/t-its/</t>
  </si>
  <si>
    <t>2.10.2023 (captură anexată din sistemul de recenzie)</t>
  </si>
  <si>
    <t>Butean Alexandru</t>
  </si>
  <si>
    <t>IJCC - INTERNATIONAL JOURNAL OF COMPUTERS COMMUNICATIONS &amp; CONTROL</t>
  </si>
  <si>
    <t>https://univagora.ro/jour/index.php/ijccc/article/view/5735</t>
  </si>
  <si>
    <t>6 volume / an</t>
  </si>
  <si>
    <t>ROCHI - International Conference on Human-Computer Interaction</t>
  </si>
  <si>
    <t>WoS, Scopus, BDI</t>
  </si>
  <si>
    <t>https://rochi2023.utcluj.ro/</t>
  </si>
  <si>
    <t>19.08.2023</t>
  </si>
  <si>
    <t>1 volum / an</t>
  </si>
  <si>
    <t xml:space="preserve"> ORC 7th International Seminar on ORC Power Systems</t>
  </si>
  <si>
    <t>https://orc-conference.org/ORC2023</t>
  </si>
  <si>
    <t>24.03.2023</t>
  </si>
  <si>
    <t>Annual</t>
  </si>
  <si>
    <t>JAI Journal of Autonomus Intelligence</t>
  </si>
  <si>
    <t>https://jai.front-sci.com/index.php/jai</t>
  </si>
  <si>
    <t>Lunar</t>
  </si>
  <si>
    <t>24.11.2023</t>
  </si>
  <si>
    <t>Applsci - Applied Sciences</t>
  </si>
  <si>
    <t>https://www.mdpi.com/journal/applsci/about</t>
  </si>
  <si>
    <t>18.08.2023</t>
  </si>
  <si>
    <t>04.03.2023</t>
  </si>
  <si>
    <t>03.05.2023</t>
  </si>
  <si>
    <t>18.07.2023</t>
  </si>
  <si>
    <t>20.09.2023</t>
  </si>
  <si>
    <t>Frontiers in Blockchain</t>
  </si>
  <si>
    <t xml:space="preserve">https://www.frontiersin.org/journals/blockchain </t>
  </si>
  <si>
    <t>Semestrial</t>
  </si>
  <si>
    <t>11.04.2023</t>
  </si>
  <si>
    <t>15.04.2023</t>
  </si>
  <si>
    <t>https://www.frontiersin.org/journals/blockchain</t>
  </si>
  <si>
    <t>20.06.2023</t>
  </si>
  <si>
    <t>13.02.2023</t>
  </si>
  <si>
    <t>03.02.2023</t>
  </si>
  <si>
    <t>B ILIE</t>
  </si>
  <si>
    <t>REVUE ROUMAINE DES SCIENCES TECHNIQUES — SÉRIE ÉLECTROTECHNIQUE ET ÉNERGÉTIQUE ISSN / ISSN-L: 1843-5912</t>
  </si>
  <si>
    <t xml:space="preserve"> https://journal.iem.pub.ro/rrst-ee</t>
  </si>
  <si>
    <t>13/01/2023</t>
  </si>
  <si>
    <t>REVUE ROUMAINE DES SCIENCES TECHNIQUES — SÉRIE ÉLECTROTECHNIQUE ET ÉNERGÉTIQUE ISSN / ISSN-L: 1843-5913</t>
  </si>
  <si>
    <t>20/01/2023</t>
  </si>
  <si>
    <t>JCM - Journal of Clinical Medicine, https://www.mdpi.com/journal/jcm</t>
  </si>
  <si>
    <t>jcm-2245620</t>
  </si>
  <si>
    <t>10 ianuarie 20:21</t>
  </si>
  <si>
    <t>IJERP, International Journal of Environmental Research and Public HealthHhttps://www.mdpi.com/journal/ijerph</t>
  </si>
  <si>
    <t>ijerph-2151236</t>
  </si>
  <si>
    <t>2 martie 12:11</t>
  </si>
  <si>
    <t>JPM, Journal of Personalized Medicine, https://www.mdpi.com/journal/jpm</t>
  </si>
  <si>
    <t>jpm-2209089</t>
  </si>
  <si>
    <t>1 februarie 21:15</t>
  </si>
  <si>
    <t>https://www.utcluj.ro/media/documents/2023/Final-Program-MTeM_2023_v3.pdf</t>
  </si>
  <si>
    <t>Mihai Neghina</t>
  </si>
  <si>
    <t>MDPI [Mathematics] Manuscript ID: mathematics-2163109 https://www.mdpi.com/2227-7390/11/3/654</t>
  </si>
  <si>
    <t>https://www.scopus.com/record/display.uri?eid=2-s2.0-85147817316&amp;origin=resultslist&amp;sort=plf-f&amp;src=s&amp;sid=697b3828954170a103f819eca976c2d2&amp;sot=b&amp;sdt=b&amp;s=TITLE-ABS-KEY%28Survey+of+Cross-Modal+Person+Re-Identification+from+a+Mathematical+Perspective%29&amp;sl=93&amp;sessionSearchId=697b3828954170a103f819eca976c2d2&amp;relpos=0</t>
  </si>
  <si>
    <t>28.01.2023</t>
  </si>
  <si>
    <t>Journal of Computational Design and Engineering, Manuscript ID JCDE-2022-559</t>
  </si>
  <si>
    <t>https://www.scopus.com/record/display.uri?eid=2-s2.0-85171186612&amp;origin=resultslist&amp;sort=plf-f&amp;src=s&amp;sid=cff66df10c8d331dbd7ba8da7eaccce9&amp;sot=b&amp;sdt=b&amp;s=TITLE-ABS-KEY%28Digital+twin-driven+dynamic+monitoring+system+of+the+upper+limb+force%29&amp;sl=84&amp;sessionSearchId=cff66df10c8d331dbd7ba8da7eaccce9&amp;relpos=0</t>
  </si>
  <si>
    <t>16.02.2023</t>
  </si>
  <si>
    <t>https://sciendo.com/journal/AUCTS?content-tab=editorial-board</t>
  </si>
  <si>
    <t>Neghină Cătălina</t>
  </si>
  <si>
    <t>Remote Sensing 
(ISSN 2072-4292)</t>
  </si>
  <si>
    <t xml:space="preserve">https://www.mdpi.com/journal/remotesensing </t>
  </si>
  <si>
    <t>Pitic Antoniu Gabriel</t>
  </si>
  <si>
    <t>ICDD 2023</t>
  </si>
  <si>
    <t>https://conferences.ulbsibiu.ro/icdd/2023/sc_committees.php</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</si>
  <si>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</si>
  <si>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</si>
  <si>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</si>
  <si>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</si>
  <si>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</si>
  <si>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</si>
  <si>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</si>
  <si>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</si>
  <si>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</si>
  <si>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</si>
  <si>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</si>
  <si>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</si>
  <si>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</si>
  <si>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</si>
  <si>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</si>
  <si>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</si>
  <si>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 xml:space="preserve">Noaptea Cercetărilor 2023 </t>
  </si>
  <si>
    <t>Națională</t>
  </si>
  <si>
    <t>Participant</t>
  </si>
  <si>
    <t>România</t>
  </si>
  <si>
    <t>&gt;200</t>
  </si>
  <si>
    <t>https://noapteacercetatorilor.ulbsibiu.ro/ro/</t>
  </si>
  <si>
    <t>Participare</t>
  </si>
  <si>
    <t>29 septembrie 2023</t>
  </si>
  <si>
    <t>IFAC World Congress 2023</t>
  </si>
  <si>
    <t>Internatională</t>
  </si>
  <si>
    <t>Organizator</t>
  </si>
  <si>
    <t>Yokohama, Japonia</t>
  </si>
  <si>
    <t>peste 200 de participanți (https://www.sciencedirect.com/journal/ifac-papersonline/vol/56/issue/2)</t>
  </si>
  <si>
    <t>https://www.ifac2023.org/</t>
  </si>
  <si>
    <t>Recenzor (Integration of Robotic Vision and Automatic Tool Changer Based on Sequential Motion Primitive for Performing Assembly Tasks)</t>
  </si>
  <si>
    <t>8-9 iulie 2023</t>
  </si>
  <si>
    <t>International Conference on Manufacturing Systems</t>
  </si>
  <si>
    <t>http://conference.icmas.eu/2017/01/06/international-scientific-committee/</t>
  </si>
  <si>
    <t>Membru in comitetul stiintific</t>
  </si>
  <si>
    <t>9-10 noiembrie 2023</t>
  </si>
  <si>
    <t>Noaptea cercetătorilor</t>
  </si>
  <si>
    <t>Natională</t>
  </si>
  <si>
    <t>Romania, Sibiu</t>
  </si>
  <si>
    <t xml:space="preserve">peste 200 de participanți </t>
  </si>
  <si>
    <t>https://noapteacercetatorilor.ulbsibiu.ro/ro/program/facultatea-de-inginerie/</t>
  </si>
  <si>
    <t>Coordonator activitate</t>
  </si>
  <si>
    <t xml:space="preserve">Noaptea cercetatorilor </t>
  </si>
  <si>
    <t>Coordonator activitate  “Roboti in Actiune"</t>
  </si>
  <si>
    <t>Noaptea Cercetătorilor 2023</t>
  </si>
  <si>
    <t>Participant: ”Micul capTHOR”</t>
  </si>
  <si>
    <t>peste 200 de participanți</t>
  </si>
  <si>
    <t>Membru ”Noaptea Cercetătorilor”</t>
  </si>
  <si>
    <t>29.09.2023</t>
  </si>
  <si>
    <t>Florea Marian</t>
  </si>
  <si>
    <t>Noaptea Cercetătorilor</t>
  </si>
  <si>
    <t>Romănia</t>
  </si>
  <si>
    <t>Marosan Iosif Adrian (ULBS)</t>
  </si>
  <si>
    <t xml:space="preserve">Noaptea Cercetărilor 2022 </t>
  </si>
  <si>
    <t xml:space="preserve">The 32nd Edition – ICMaS 2023 </t>
  </si>
  <si>
    <t>Internațională</t>
  </si>
  <si>
    <t>&gt;100</t>
  </si>
  <si>
    <t>http://conference.icmas.eu/</t>
  </si>
  <si>
    <t>Prezentare de lucrare</t>
  </si>
  <si>
    <t>30*1.5</t>
  </si>
  <si>
    <t>națională</t>
  </si>
  <si>
    <t>participant</t>
  </si>
  <si>
    <t>Membru</t>
  </si>
  <si>
    <t>39th Danubia-Adria Symposium on Advances in Experimental Mechanics</t>
  </si>
  <si>
    <t>Siofok, Ungaria</t>
  </si>
  <si>
    <t>https://das2023.hu/</t>
  </si>
  <si>
    <t>Prezentare lucrare</t>
  </si>
  <si>
    <t>26-29.09.2023</t>
  </si>
  <si>
    <t>30*2</t>
  </si>
  <si>
    <t>Noaptea Cercetatorilor 2023</t>
  </si>
  <si>
    <t>nationala</t>
  </si>
  <si>
    <t>organizator</t>
  </si>
  <si>
    <t>Romania</t>
  </si>
  <si>
    <t>peste 200</t>
  </si>
  <si>
    <t>20/5*2</t>
  </si>
  <si>
    <t>Simpozion Științific Studențesc, HD-53-STUD</t>
  </si>
  <si>
    <t>peste  100</t>
  </si>
  <si>
    <t>HD-53-STUD</t>
  </si>
  <si>
    <t>12-13 mai 2023</t>
  </si>
  <si>
    <t>30/2</t>
  </si>
  <si>
    <t>Coldea Alina Mihaela</t>
  </si>
  <si>
    <t>FING$</t>
  </si>
  <si>
    <t>Noaptea cercetatorilor</t>
  </si>
  <si>
    <t>peste 200 participanti</t>
  </si>
  <si>
    <t>membru</t>
  </si>
  <si>
    <t>Innovative Manufacturing
Engineering &amp; Energy</t>
  </si>
  <si>
    <t>Iasi, Romania</t>
  </si>
  <si>
    <t>https://imane.utm.md/</t>
  </si>
  <si>
    <t>octombrie, 2023</t>
  </si>
  <si>
    <t>THE INTERNATIONAL STUDENT INNOVATION
AND SCIENTIFIC RESEARCH EXHIBITION
– “Cadet INOVA’22” -
“Nicolae Bălcescu” Land Forces Academy of Sibiu</t>
  </si>
  <si>
    <t>https://www.cadetinova.ro/index.php/ro/organizare/comitet-stiintific-de-recenzare</t>
  </si>
  <si>
    <t>aprile 2023</t>
  </si>
  <si>
    <t xml:space="preserve">Bârsan Alexandru </t>
  </si>
  <si>
    <t>Siófok (Ungaria)</t>
  </si>
  <si>
    <t xml:space="preserve">https://das2023.hu/ </t>
  </si>
  <si>
    <t>26-29 septembrie 2023</t>
  </si>
  <si>
    <t>Prezentare de poster</t>
  </si>
  <si>
    <t>20*2</t>
  </si>
  <si>
    <t>Noaptea Cercetărilor 2023</t>
  </si>
  <si>
    <t>VLAD DORIN</t>
  </si>
  <si>
    <t>NOAPTEA CERCETĂTORILOR</t>
  </si>
  <si>
    <t>NATIONALA</t>
  </si>
  <si>
    <t>ROMÂNIA</t>
  </si>
  <si>
    <t>MEMBRU</t>
  </si>
  <si>
    <t>MIHAELA LAURA BRATU, LUCIAN-IONEL CIOCA, MIHAELA ROTARU, DORIN 
VLAD, CAROLINA TIMBALARI, BIANCA BUTA</t>
  </si>
  <si>
    <t xml:space="preserve">ICMEA 2023 </t>
  </si>
  <si>
    <t>INTERNATIONALA</t>
  </si>
  <si>
    <t>PARTICIPANT</t>
  </si>
  <si>
    <t>http://dime.uab.ro/sites/icmea2020/wp-content/uploads/sites/12/2023/05/Agenda-ICMEA-2023-UPDATE-08.05.2023.pdf</t>
  </si>
  <si>
    <t>Coautor</t>
  </si>
  <si>
    <t>10-13.05.2023</t>
  </si>
  <si>
    <t>(30*1.5)/5</t>
  </si>
  <si>
    <t>Noaptea Cercetatorilor ULBS, 29.09.2023 standuri mecatronice demonstrative</t>
  </si>
  <si>
    <t>Băiașu-Petrașcu Olivia-Laura</t>
  </si>
  <si>
    <t>Noaptea Cercetătorilor 2022</t>
  </si>
  <si>
    <t xml:space="preserve">https://noapteacercetatorilor.ulbsibiu.ro/ro/ </t>
  </si>
  <si>
    <t xml:space="preserve">30 septembrie </t>
  </si>
  <si>
    <t>Petrașcu Olivia-Laura</t>
  </si>
  <si>
    <t>39th DANUBIA – ADRIA Symposium on Advances in Experimental Mechanics 2023</t>
  </si>
  <si>
    <t>Participant
(Comparative analysis regarding the influence of 3D-printing strategies on the
compressibility of elastomeric materials)</t>
  </si>
  <si>
    <t>Străinătate (Siofok-Hungary)</t>
  </si>
  <si>
    <t>peste 100 de participanți</t>
  </si>
  <si>
    <t>https://www.das2023.hu/assets/images/BOA_39th_DAS.pdf</t>
  </si>
  <si>
    <t>26-29 sept. 2023</t>
  </si>
  <si>
    <t>Participant
(Analysis on the impact of industrial agents on 3D-printed polymeric materials in
soft robotics)</t>
  </si>
  <si>
    <t>https://www.das2023.hu/</t>
  </si>
  <si>
    <t>Participant
(Study strain rate impact into the stress and strain values at break of the PA6-GF30 reinforced poliamyde)</t>
  </si>
  <si>
    <t>Participant: „Micul capTHOR” &amp; „Fascinația luminii polarizate”</t>
  </si>
  <si>
    <t>peste 100</t>
  </si>
  <si>
    <t>Prezentare poster</t>
  </si>
  <si>
    <t xml:space="preserve">Morariu Fineas </t>
  </si>
  <si>
    <t xml:space="preserve">Coordonator activitate </t>
  </si>
  <si>
    <t>Gîrjob Claudia</t>
  </si>
  <si>
    <t>Chicea Anca Lucia</t>
  </si>
  <si>
    <t>Participant: ”Fabrica de mase plastice”</t>
  </si>
  <si>
    <t xml:space="preserve">Biris Cristina </t>
  </si>
  <si>
    <t>Coordonator activitate  “Fabrica de mase plastice"</t>
  </si>
  <si>
    <t>Bleotu Robert</t>
  </si>
  <si>
    <t>Noapte cercetătorilor 2023</t>
  </si>
  <si>
    <t xml:space="preserve"> Coman Diana</t>
  </si>
  <si>
    <t xml:space="preserve">“Current Trends in Natural Sciences” International Scientific Symposium </t>
  </si>
  <si>
    <t>https://www.natsci.upit.ro/international-symposium/</t>
  </si>
  <si>
    <t>18 -20.05.2023</t>
  </si>
  <si>
    <t>Prodea Laurențiu</t>
  </si>
  <si>
    <t>peste 100 participanţi</t>
  </si>
  <si>
    <t>sept, 2023</t>
  </si>
  <si>
    <t>Nitoi, D.F, Chivu, O., Fălădău A. Modeling of the Thermal Field in the Case of Automated Welding in a Protective Gas Environment</t>
  </si>
  <si>
    <t>The 10th International Conference on Structural Analysis of Advanced Materials</t>
  </si>
  <si>
    <t>internationala</t>
  </si>
  <si>
    <t>participant cu poster</t>
  </si>
  <si>
    <t xml:space="preserve">Zakynthos, Greece
</t>
  </si>
  <si>
    <t xml:space="preserve">peste 100 </t>
  </si>
  <si>
    <t>https://icsaam2023.upatras.gr/wp-content/uploads/sites/22/2023/09/ICSAAM-2023-detailed-program-2.pdf</t>
  </si>
  <si>
    <t>10-14 septembrie 2023</t>
  </si>
  <si>
    <t>2x20</t>
  </si>
  <si>
    <t>Faladau Alina</t>
  </si>
  <si>
    <t>SIM</t>
  </si>
  <si>
    <t>membru in comitetul stiintific</t>
  </si>
  <si>
    <t>https://www.sim2023.eu/committees.html</t>
  </si>
  <si>
    <t>membru in Comitetul stiintific</t>
  </si>
  <si>
    <t>20-21.10.2023</t>
  </si>
  <si>
    <t>112,5=50x1,5</t>
  </si>
  <si>
    <t>10 International Conference Modern Technologies in Industrial Engineering</t>
  </si>
  <si>
    <t>ModTech 2023, 11th International Conference Modern Technologies in Industrial Engineering</t>
  </si>
  <si>
    <t>international</t>
  </si>
  <si>
    <t>membru in comitetul de organizare</t>
  </si>
  <si>
    <t>Bucuresti</t>
  </si>
  <si>
    <t>https://modtech.ro/conference/docs/Call-for-Papers-ModTech2023.pdf</t>
  </si>
  <si>
    <t>Membru in comitetul de organizare</t>
  </si>
  <si>
    <t>14-17.06.2023</t>
  </si>
  <si>
    <t xml:space="preserve">112,5=50x1,5x1,5 </t>
  </si>
  <si>
    <t>Noaptea Cercetătorilor - Facultatea de Inginerie</t>
  </si>
  <si>
    <t>coordonator Facultatea de Inginerie</t>
  </si>
  <si>
    <t>The 16th International Conference on Knowledge Science, Engineering and Management (KSEM 2023)</t>
  </si>
  <si>
    <t>Internationala</t>
  </si>
  <si>
    <t>Organizator principal, membru in steering committee</t>
  </si>
  <si>
    <t>Guangzhou, China</t>
  </si>
  <si>
    <r>
      <rPr>
        <rFont val="Arial Narrow"/>
        <color theme="1"/>
        <sz val="10.0"/>
      </rPr>
      <t xml:space="preserve">Peste 200 participanti (26 de sesiuni)  https://ksem2023.conferences.academy/program </t>
    </r>
    <r>
      <rPr>
        <rFont val="Arial Narrow"/>
        <color rgb="FFFF0000"/>
        <sz val="10.0"/>
      </rPr>
      <t>(a se vedea si captura - calitatea de recenzor, care nu s-a mai raportat)</t>
    </r>
  </si>
  <si>
    <t>https://ksem2023.conferences.academy/</t>
  </si>
  <si>
    <t>Organizator principal</t>
  </si>
  <si>
    <t>16-18 August 2023</t>
  </si>
  <si>
    <t>100 (organizator principal) x 2 (organizata in strainatate) x 2 (peste 200 de participanti)</t>
  </si>
  <si>
    <t>10 International Conference
Modern Technologies in Industrial Engineering</t>
  </si>
  <si>
    <t>22-25.06.2022</t>
  </si>
  <si>
    <t>75 = 50 x 1,5 (conferinta internationala)</t>
  </si>
  <si>
    <t>Zerbes Mihai-Victor</t>
  </si>
  <si>
    <t>ModTech International Conference - Modern Technologies in Industrial Engineering X, 2022</t>
  </si>
  <si>
    <t>membru în comitetul de organizare</t>
  </si>
  <si>
    <t>https://modtech.ro/conference/ModTech2023_Presentation.php#gsc.tab</t>
  </si>
  <si>
    <t>organizator principal</t>
  </si>
  <si>
    <t>June 14 -17 , 2023</t>
  </si>
  <si>
    <t>Antropology of Communication International Conference Sibiu 2023</t>
  </si>
  <si>
    <t>BioReMed 2023 - Conferință Internațională de Biomateriale și Medicină Regenerativă de la Sibiu</t>
  </si>
  <si>
    <t>keynote speaker</t>
  </si>
  <si>
    <t>sub 100 de participanti</t>
  </si>
  <si>
    <t>https://bioremed.ro https://bioremed.ro/keynote-speakers/</t>
  </si>
  <si>
    <t>19-21 Iulie, 2023</t>
  </si>
  <si>
    <t>membru comitet stiintific</t>
  </si>
  <si>
    <t>THE KNOWLEDGE-BASED ORGANIZATION INTERNATIONAL SCIENTIFIC CONFERENCE</t>
  </si>
  <si>
    <t>Sibiu</t>
  </si>
  <si>
    <t>https://www.armyacademy.ro/engleza/conference.php</t>
  </si>
  <si>
    <t>June 15-17, 2023</t>
  </si>
  <si>
    <t>International Conference INTER-ENG 2023 Interdisciplinarity in Engineering 5 - 6 October 2023</t>
  </si>
  <si>
    <t>Targu Mures</t>
  </si>
  <si>
    <t>https://inter-eng.umfst.ro/2023/committees.html</t>
  </si>
  <si>
    <t>5 - 6 October 2023</t>
  </si>
  <si>
    <t>Simpozionul International de Securitate si Sanatate in Munca, 2023</t>
  </si>
  <si>
    <t>Petrosani</t>
  </si>
  <si>
    <t>https://sesam2023.insemex.ro/wp-content/uploads/2023/10/SESAM-2023_Preliminary-Agenda.pdf</t>
  </si>
  <si>
    <t>Isarie Claudiu</t>
  </si>
  <si>
    <t>FING03</t>
  </si>
  <si>
    <t>Noaptea Cercetatorilor</t>
  </si>
  <si>
    <t>27th International Conference on Production Research
Cluj-Napoca, Romania, 23-28 July 2023</t>
  </si>
  <si>
    <t>internațională</t>
  </si>
  <si>
    <t>https://www.icpr2023.org/</t>
  </si>
  <si>
    <t>23-28 Iulie 2023</t>
  </si>
  <si>
    <t>Moraru Gina-Maria</t>
  </si>
  <si>
    <t>INTED2023 - 17th International Technology, Education and Development Conference</t>
  </si>
  <si>
    <t>Participant prezentare lucrare APPLYING THE PRODUCT LIFECYCLE MANAGEMENT METHOD IN THE PROJECTS OF ENGINEERING STUDENTS (autor Moraru G.M.)</t>
  </si>
  <si>
    <t>Spania</t>
  </si>
  <si>
    <t>https://iated.org/archive/inted2023</t>
  </si>
  <si>
    <t>6-8 martie 2023</t>
  </si>
  <si>
    <t>Participant prezentare lucrare THE OPINIONS OF ENGINEERING STUDENTS REGARDING SUSTAINABILITY (autor Moraru G.M.)</t>
  </si>
  <si>
    <t>ICERI2023 - 16th annual International Conference of Education, Research and Innovation</t>
  </si>
  <si>
    <t>Participant prezentare lucrare VALUES THAT CAN DISTURB THE ORGANIZATIONAL CULTURE OF THE UNIVERSITY (autor Moraru G.M.)</t>
  </si>
  <si>
    <t>https://iated.org/archive/iceri2023</t>
  </si>
  <si>
    <t>13-15 noiembrie 2023</t>
  </si>
  <si>
    <t>Participant prezentare lucrare ACTIVE LEARNING FOR FIRST-YEAR ENGINEERING STUDENTS (autor Moraru G.M.)</t>
  </si>
  <si>
    <t>CONFERENG 2023</t>
  </si>
  <si>
    <t>națională cu participare internațională</t>
  </si>
  <si>
    <t>Participant prezentare lucrare STUDENT COMPETITIONS AND SKILLS DEVELOPMENT OF FUTURE ENGINEERS (autor Moraru G.M.)</t>
  </si>
  <si>
    <t>https://ing.utgjiu.ro/wp-content/conferinte/confereng2023/index.html</t>
  </si>
  <si>
    <t>Prezentare lucrare (30 x 1,5 puncte)</t>
  </si>
  <si>
    <t>24-25 noiembrie 2023</t>
  </si>
  <si>
    <t>Moraru Gina-Maria, Butănescu-Volanin Remus-Constantin</t>
  </si>
  <si>
    <t>Participant prezentare lucrare ISSUES FACING THE ENVIRONMENTAL ENGINEERING FIELD OF STUDY (autorI Moraru G.M., Butănescu-Volanin R.C.)</t>
  </si>
  <si>
    <t>Zilele Medicinii Dentare Sibiene editia VIII</t>
  </si>
  <si>
    <t>participant - prezentare lucrare</t>
  </si>
  <si>
    <t>Sibiu, Romania</t>
  </si>
  <si>
    <t>https://conferences.ulbsibiu.ro/zmds/</t>
  </si>
  <si>
    <t>perezentare lucrare stiinfica - METODA ELEMENTULUI FINIT IN MEDICINA DENTARA</t>
  </si>
  <si>
    <t>23-25.11.2023</t>
  </si>
  <si>
    <t>perezentare lucrare stiinfica - PREPROCESARE IN ANALIZA FEM A UNITĂŢILOR MASTICATORII</t>
  </si>
  <si>
    <t>BIOREMED 2023</t>
  </si>
  <si>
    <t>&gt; 200</t>
  </si>
  <si>
    <t>https://bioremed.ro/</t>
  </si>
  <si>
    <t>ocomitet organizare</t>
  </si>
  <si>
    <t>19-21.07.2023</t>
  </si>
  <si>
    <t>Țîțu Aurel Mihail</t>
  </si>
  <si>
    <t>ICNCT 2023</t>
  </si>
  <si>
    <t>Organizator Principal</t>
  </si>
  <si>
    <t>Romania, Bistrita</t>
  </si>
  <si>
    <t>Peste 100 de participanță</t>
  </si>
  <si>
    <t>http://artn.ro/conference2023/</t>
  </si>
  <si>
    <t>16-18.11.2023</t>
  </si>
  <si>
    <t>ICE-USV 2023</t>
  </si>
  <si>
    <t>Romania, Suceava</t>
  </si>
  <si>
    <t>Sub 100 de participanti</t>
  </si>
  <si>
    <t>https://ice-usv44.webnode.ro/current-edition/</t>
  </si>
  <si>
    <t>7-9 iulie 2024</t>
  </si>
  <si>
    <t>Radu Emanuil PETRUSE (ULBS), Andrei-Dorin TRIFU and Ioan BONDREA (ULBS)</t>
  </si>
  <si>
    <t>Special Issue of the Journal Acta Technica Napocensis (Series: APPLIED MATHEMATICS, MECHANICS, and ENGINEERING)</t>
  </si>
  <si>
    <t xml:space="preserve">https://mtem.utcluj.ro/program/ </t>
  </si>
  <si>
    <t>18-20  Oct. 2023</t>
  </si>
  <si>
    <t>30th International Economic Conference of Sibiu IECS 2023</t>
  </si>
  <si>
    <t>peste 100 de participanti</t>
  </si>
  <si>
    <t>https://iecs.ro/conference2023/</t>
  </si>
  <si>
    <t>25-27 mai 2023</t>
  </si>
  <si>
    <t>Conferinta de Ordine si Siguranta Nationala</t>
  </si>
  <si>
    <t>https://drept.ulbsibiu.ro/stiri/conferinta-nationala-de-ordine-si-siguranta-publica-2023/</t>
  </si>
  <si>
    <t>8-9 iunie 2023</t>
  </si>
  <si>
    <t>participan cu lucrare</t>
  </si>
  <si>
    <t>participant cu lucrare</t>
  </si>
  <si>
    <t>The 8th INTERNATIONAL SCIENTIFIC CONFERENCE, ECONOMICS, MANAGEMENT &amp; BUSINESS 2023, CONTEMPORARY ISSUES, INSIGHTS AND NEW CHALLENGES</t>
  </si>
  <si>
    <t>Strainatate</t>
  </si>
  <si>
    <t>https://managerconf.com/</t>
  </si>
  <si>
    <t>28th to 29th of September 2023.</t>
  </si>
  <si>
    <t>The 3rd Global Conference on Entrepreneurship and Economy in an Era of Uncertainty</t>
  </si>
  <si>
    <t>https://eeeu23.gjem.press/</t>
  </si>
  <si>
    <t>15-17 NOVEMBER, 2023</t>
  </si>
  <si>
    <t>The 11th International Conference on Thermal Equipment, Renewable Energy and Rural Development TE-RE-RD 2023</t>
  </si>
  <si>
    <t>https://www.tererd.upb.ro/index.php/committees/</t>
  </si>
  <si>
    <t>08 – 10 JUNE 2023</t>
  </si>
  <si>
    <t>The 17th International Conference INTER-ENG 2023, Interdisciplinarity in Engineering</t>
  </si>
  <si>
    <t>5-6 OCTOMBRIE 2023</t>
  </si>
  <si>
    <t>The International Conference on Management Economics and Accounting, ICMEA 2023</t>
  </si>
  <si>
    <t>10-13 MAI 2023</t>
  </si>
  <si>
    <t>The 29th Knowledge-Based Organization – KBO 2023</t>
  </si>
  <si>
    <t>https://www.armyacademy.ro/engleza/conference_scientific_committee.php</t>
  </si>
  <si>
    <t>15-17 IUNIE 2023</t>
  </si>
  <si>
    <t>The 11th Edition of the International Symposium on Occupational Health and Safety – SESAM 2023</t>
  </si>
  <si>
    <t>https://sesam2023.insemex.ro/committees/</t>
  </si>
  <si>
    <t>19 COTOMBRIE 2023</t>
  </si>
  <si>
    <t>The 17th International Symposium in Management, SIM 2023</t>
  </si>
  <si>
    <t>20-12 OCTOMBRIE 2023</t>
  </si>
  <si>
    <t>ATINER 2023 - Marketing Unit</t>
  </si>
  <si>
    <t>Atena, Grecia</t>
  </si>
  <si>
    <t> https://www.atiner.gr/branding</t>
  </si>
  <si>
    <t>iiul.2023</t>
  </si>
  <si>
    <t>Popescu L.G.</t>
  </si>
  <si>
    <t>internaţională</t>
  </si>
  <si>
    <t>membru al Comitetului Ştiinţific</t>
  </si>
  <si>
    <t>membru comitet ştiinţific</t>
  </si>
  <si>
    <t xml:space="preserve">participant cu stand </t>
  </si>
  <si>
    <t>Rares Ştefan Teodorescu, Mihai Neghină (ULBS), Radu Emanuil Petruse (ULBS), Saša Ćuković</t>
  </si>
  <si>
    <t>IFMBE Proceedings Series, SpringerLink database of Springer Nature Publishing House</t>
  </si>
  <si>
    <t>https://link.springer.com/book/9783031625190</t>
  </si>
  <si>
    <t>9-10 Nov. 2023</t>
  </si>
  <si>
    <t>Brănescu Andrei-Horia</t>
  </si>
  <si>
    <t>International Conference on e-Health and Bioengineering, EHB 2023 - 11-th Edition, 9-10 November 2023, Hybrid Conference, Bucharest - Romania</t>
  </si>
  <si>
    <t>http://www.ehbconference.ro</t>
  </si>
  <si>
    <t>9-10 noiembrie, 2023</t>
  </si>
  <si>
    <t>MTEM - Modern technologies in manufacturing,  Cluj Napoca – Romania</t>
  </si>
  <si>
    <t>https://mtem.utcluj.ro</t>
  </si>
  <si>
    <t>18-20 oct. 2023</t>
  </si>
  <si>
    <t>Antropology of Communication International Conference Sibiu 2022</t>
  </si>
  <si>
    <t>naționala</t>
  </si>
  <si>
    <t>2023 Workshop on AI-Inspired Agriculture, Ecology and Environment</t>
  </si>
  <si>
    <t>Comitet științific</t>
  </si>
  <si>
    <t>străinătate</t>
  </si>
  <si>
    <t>peste 100 participanți</t>
  </si>
  <si>
    <t>http://www.ai-aee.com/committee.html</t>
  </si>
  <si>
    <t>24-26 Martie 2023</t>
  </si>
  <si>
    <t>3rd Global Congress and Expo on Magnetism and Magnetic Materials (GCEMMM-2023) in Milan, Italy</t>
  </si>
  <si>
    <t>https://scientificfederation.org/2023/gcemmm/index.php#Committee</t>
  </si>
  <si>
    <t>25-23 Septembrie 2023</t>
  </si>
  <si>
    <t>International Conference on Biodiversity and Waste Management at Dubai, UAE</t>
  </si>
  <si>
    <t>https://unitedscientificforum.com/biodiversity/2023/committee.php</t>
  </si>
  <si>
    <t>07-08 Decembrie 2023</t>
  </si>
  <si>
    <t>2023 4th International Conference on Green Energy, Environment and Sustainable Development, GEESD 2023</t>
  </si>
  <si>
    <t>https://www.icgeesd.cn/committee</t>
  </si>
  <si>
    <t>28-30 iunie 2023</t>
  </si>
  <si>
    <t xml:space="preserve">4th 2023 International Conference on Intelligent Computing, Automation and Applications (ICAA2022) </t>
  </si>
  <si>
    <t>http://www.icaa2023.org/?op=committee</t>
  </si>
  <si>
    <t>23-25 iunie 2023</t>
  </si>
  <si>
    <t>4th International Conference on Green Energy, Environment and Sustainable Development, 2023</t>
  </si>
  <si>
    <t>15-17 iunie 2023</t>
  </si>
  <si>
    <t>8th International Conference on Mechatronics and Electrical Systems (ICMES 2023) will be held in Kuala Lumpur, Malaysia during August 4-6</t>
  </si>
  <si>
    <t>http://www.icmes.org/committee.html</t>
  </si>
  <si>
    <t>4-6 August 2023</t>
  </si>
  <si>
    <t>9th Annual International Conference on Network and Information Systems for Computers [ICNISC 2023] will be held from October 27-29, 2023, Wuhan, China</t>
  </si>
  <si>
    <t>http://www.icnisc2023.com/?op=committee</t>
  </si>
  <si>
    <t>27-29 octombrie 2023</t>
  </si>
  <si>
    <t>3rd International Conference on Applied Mathematics, Modelling and Statistics Application (AMMSA 2023) to be held in Changsha, China from July 29-30th, 2023.</t>
  </si>
  <si>
    <t>https://www.ammsamath.com/committee</t>
  </si>
  <si>
    <t>Program Co-Chairs</t>
  </si>
  <si>
    <t>29-30 iulie 2023</t>
  </si>
  <si>
    <t>XII INTERNATIONAL CONFERENCE ON ECONOMIC
DEVELOPMENT AND SOCIAL SUSTAINABILITY
(EDaSS 2023)
September 28 to 30th, 2023</t>
  </si>
  <si>
    <t>https://www.edass.org/</t>
  </si>
  <si>
    <t>28-30 septembrie 2023</t>
  </si>
  <si>
    <t>Asia Conference on Artificial Intelligence, Machine Learning and Robotics (AIMLR 2023) will be held in Bangkok, Thailand</t>
  </si>
  <si>
    <t>http://www.aimlr.net/committee.html</t>
  </si>
  <si>
    <t>15-17 Septembrie 2023</t>
  </si>
  <si>
    <t>11th annual International Conference on Material Science and Environmental Engineering [MSEE2023]</t>
  </si>
  <si>
    <t>http://www.msee2023.com/?op=committees</t>
  </si>
  <si>
    <t>16th Symposium,  Durability and Reliability, of Mechanical Systems, SYMECH 2023, RÂNCA, Gorj, 19-20 may 2023</t>
  </si>
  <si>
    <t>sub 100 participanți</t>
  </si>
  <si>
    <t>https://www.utgjiu.ro/docs/SYMECH_2023/Comitet%20stiintific.html</t>
  </si>
  <si>
    <t>19-20 mai 2023</t>
  </si>
  <si>
    <t>11th Annual International Conference on Material Science and Engineering (ICMSE 2023)</t>
  </si>
  <si>
    <t>http://www.icmse2023.com/?op=committee</t>
  </si>
  <si>
    <t>28-30 iulie 2023</t>
  </si>
  <si>
    <t>2023 IEEE International Conference on Electronics, Automation and Computer Science, Dalian, China</t>
  </si>
  <si>
    <t>http://www.iceacs.org/committee.html</t>
  </si>
  <si>
    <t>29-31 Decembrie</t>
  </si>
  <si>
    <t>International Conference on Blockchain, Cybersecurity and Internet of Things (BCYIoT 2023)</t>
  </si>
  <si>
    <t>https://bcyiot2023.org/committee</t>
  </si>
  <si>
    <t>07-08 octombrie 2023</t>
  </si>
  <si>
    <t>ICMEM 2023 - 2023 4th International Conference on Mechanical Engineering and Materials, Wuhan, China</t>
  </si>
  <si>
    <t>https://www.icmem.cn/com</t>
  </si>
  <si>
    <t>2-4 November 2023</t>
  </si>
  <si>
    <t>10th Annual International Conference on Information Technology and Applications, Shenzhen, China from December 29th-31st, 2023</t>
  </si>
  <si>
    <t>http://www.ita2023.com/?op=committee</t>
  </si>
  <si>
    <t>December 29th-31st, 2023</t>
  </si>
  <si>
    <t>XII INTERNATIONAL CONFERENCE ON ECONOMIC
DEVELOPMENT AND SOCIAL SUSTAINABILITY
(EDaSS 2023)</t>
  </si>
  <si>
    <t>https://www.edass.org/#scientific-comitee</t>
  </si>
  <si>
    <t>September 28 to 30th</t>
  </si>
  <si>
    <t>National Scientific Conference with International Participation, "CONFERENG 2023", Targu-Jiu, Romania</t>
  </si>
  <si>
    <t>https://ing.utgjiu.ro/wp-content/conferinte/confereng2023/commitee.html</t>
  </si>
  <si>
    <t>November 24-25, 2023</t>
  </si>
  <si>
    <t>International Conference on Information Theory and Machine Learning (ITEORY 2023)</t>
  </si>
  <si>
    <t>https://www.iteory2023.org/committee#</t>
  </si>
  <si>
    <t>December 30th-31st, 2023, Virtual Conference</t>
  </si>
  <si>
    <t>4th International Conference on New Computational Social Science</t>
  </si>
  <si>
    <t>http://www.icncss2023.com/?op=committee</t>
  </si>
  <si>
    <t>December 29th-30st, 2023, Virtual Conference</t>
  </si>
  <si>
    <t>22nd International Conference on Perspectives in Business Informatics Research
September 13-15, 2023 | University of Camerino - Ascoli Piceno, Italy</t>
  </si>
  <si>
    <t>Ascoli, Italia</t>
  </si>
  <si>
    <t>https://bir2023.unicam.it/</t>
  </si>
  <si>
    <t>Recenzor, articolele BIR 2023 submission 94 si submission 86</t>
  </si>
  <si>
    <t>13-15 Septembrie, 2023</t>
  </si>
  <si>
    <t>Sibiu Innovation Days</t>
  </si>
  <si>
    <t>Peste 200</t>
  </si>
  <si>
    <t>https://events.ulbsibiu.ro/innovationdays/</t>
  </si>
  <si>
    <t>05-06.10.2023</t>
  </si>
  <si>
    <t>PRO-VE 2023, 24th IFIP / Socolnet Working Conference on Virtual Enterprises</t>
  </si>
  <si>
    <t>Membru în comitetul stiintific de program</t>
  </si>
  <si>
    <t>Valencia, Spania</t>
  </si>
  <si>
    <t>https://pro-ve2023.webs.upv.es/index.php/committees/</t>
  </si>
  <si>
    <t>27-29.09.2023</t>
  </si>
  <si>
    <t>14th Advanced Doctoral Conference On Computing, Electrical And Industrial Systems, 
Caparica, Portugal</t>
  </si>
  <si>
    <t xml:space="preserve"> Membru în comitetul stiintific de program </t>
  </si>
  <si>
    <t>Monte Caparica, Portugal</t>
  </si>
  <si>
    <t>https://doceis.dee.fct.unl.pt/programCommittee.html</t>
  </si>
  <si>
    <t>05.07-07.07.2023</t>
  </si>
  <si>
    <t>12th International Conference on Smart Cities and Green ICT Systems - Smartgreens 2023</t>
  </si>
  <si>
    <t>Praga, Cehia</t>
  </si>
  <si>
    <t>https://smartgreens.scitevents.org/ProgramCommittee.aspx?y=2023</t>
  </si>
  <si>
    <t>26-28.04.2023</t>
  </si>
  <si>
    <t>IWEMB 2023 : Sixth International Workshop on Entrepreneurship, Electronic and Mobile Business</t>
  </si>
  <si>
    <t>Bangkok, Thailand</t>
  </si>
  <si>
    <t>https://www.iwemb.org/2023/committee.html</t>
  </si>
  <si>
    <t>The 2023 IARIA Annual Congress on Frontiers in Science, Technology, Services, and Applications</t>
  </si>
  <si>
    <t>https://www.iaria.org/conferences2023/ComIARIACongress23.html</t>
  </si>
  <si>
    <t>13-17.11.2023</t>
  </si>
  <si>
    <t>he 16th International Conference on Knowledge Science, Engineering and Management (KSEM 2023)</t>
  </si>
  <si>
    <t>China</t>
  </si>
  <si>
    <t>https://www.ksem2023.conferences.academy/committee</t>
  </si>
  <si>
    <t>membru în comitetul științific</t>
  </si>
  <si>
    <t>August 16-18, 2023</t>
  </si>
  <si>
    <t>50x2x2</t>
  </si>
  <si>
    <t>Sibiu Innovation Days (SID 2023)</t>
  </si>
  <si>
    <t>https://events.ulbsibiu.ro/innovationdays/2023.php</t>
  </si>
  <si>
    <t xml:space="preserve">5th - 6th October 2023 </t>
  </si>
  <si>
    <t xml:space="preserve">IEEE 19th International Conference on Intelligent Computer Communication and Processing </t>
  </si>
  <si>
    <t>https://www.iccp.ro/iccp2023/program-committee</t>
  </si>
  <si>
    <t>October 26-28, 2023</t>
  </si>
  <si>
    <t>50x1.5x2</t>
  </si>
  <si>
    <t>7th International Conference on Advances in Computing and Data Sciences (ICACDS)</t>
  </si>
  <si>
    <t>India</t>
  </si>
  <si>
    <t>https://www.icacds.com/icacds2023/index.php#coms</t>
  </si>
  <si>
    <t>April 27-28, 2023</t>
  </si>
  <si>
    <t>SIBIU INNOVATION DAYS</t>
  </si>
  <si>
    <t>guest speaker</t>
  </si>
  <si>
    <t>&lt;100</t>
  </si>
  <si>
    <t>International Conference on Information Technology and Quantitative Management</t>
  </si>
  <si>
    <t>Oxford (UK)</t>
  </si>
  <si>
    <t>http://itqm-meeting.org/2023/</t>
  </si>
  <si>
    <t>http://itqm-meeting.org/2023/session.html</t>
  </si>
  <si>
    <t>12-14 august</t>
  </si>
  <si>
    <t>International Symposium on Intelligent Distributed Computing</t>
  </si>
  <si>
    <t>IPC</t>
  </si>
  <si>
    <t>Hamburg (DE)</t>
  </si>
  <si>
    <t>http://idc2023.cc4e.de/</t>
  </si>
  <si>
    <t>Membru comitetul stiintific</t>
  </si>
  <si>
    <t>13-15 septembrie</t>
  </si>
  <si>
    <t>15th International Conference on Computational Collective Intelligence</t>
  </si>
  <si>
    <t>Budapest (HU)</t>
  </si>
  <si>
    <t>https://iccci.pwr.edu.pl/2023/index.php</t>
  </si>
  <si>
    <t>Membru comitetul de program</t>
  </si>
  <si>
    <t>27-29 septembrie</t>
  </si>
  <si>
    <t>5th International Conference on Industry 4.0 and Smart Manufacturing (ISM 2023)</t>
  </si>
  <si>
    <t>Lisbon, Portugal</t>
  </si>
  <si>
    <t>https://www.msc-les.org/ism2023/</t>
  </si>
  <si>
    <t>membru (recenzor, certificat anexat)</t>
  </si>
  <si>
    <t>22-24.11.2023</t>
  </si>
  <si>
    <t>Ciurea Stelian</t>
  </si>
  <si>
    <t>Olimpiada Naționala de Informatica – Faza judeteana</t>
  </si>
  <si>
    <t>Naționala</t>
  </si>
  <si>
    <t>membru comitetul stiintific</t>
  </si>
  <si>
    <t>Peste 200 participanti</t>
  </si>
  <si>
    <t>https://sepi.ro/page/oni2022</t>
  </si>
  <si>
    <t>19/03/2023</t>
  </si>
  <si>
    <t>50*2</t>
  </si>
  <si>
    <t>Olimpiada Naționala de Informatica – Faza naționala</t>
  </si>
  <si>
    <t>Peste 100 participanti</t>
  </si>
  <si>
    <t>https://www.edums.ro/onigim2023/ro/comisia-centrala.php</t>
  </si>
  <si>
    <t>50*1,5</t>
  </si>
  <si>
    <t>Pitic Antoniu</t>
  </si>
  <si>
    <t>https://conferences.ulbsibiu.ro/icdd/2023/org_committees.php</t>
  </si>
  <si>
    <t>Membru comitet de organizare</t>
  </si>
  <si>
    <t>11-13 Mai 2023</t>
  </si>
  <si>
    <t>Membru comitet stiintific</t>
  </si>
  <si>
    <t xml:space="preserve">Mihai Neghina </t>
  </si>
  <si>
    <t>ULBS, Sibiu, Romania</t>
  </si>
  <si>
    <t>Stanescu Dorel Mircea</t>
  </si>
  <si>
    <t>Sibiu Inovations Days</t>
  </si>
  <si>
    <t>Romania Sibiu</t>
  </si>
  <si>
    <t>05-06 oct 2023</t>
  </si>
  <si>
    <t>STANESCU Dorel Mircea</t>
  </si>
  <si>
    <t>Modern Power Systems</t>
  </si>
  <si>
    <t>Romania Cluj Napoca</t>
  </si>
  <si>
    <t>https://et.utcluj.ro/mps/</t>
  </si>
  <si>
    <t>21-23 iunie 2023</t>
  </si>
  <si>
    <t>RSEEC 2022</t>
  </si>
  <si>
    <t>participant lucrarea #107</t>
  </si>
  <si>
    <t>Romania Iasi</t>
  </si>
  <si>
    <t>www.cigre.org.ro</t>
  </si>
  <si>
    <t>18-20 oct 2022</t>
  </si>
  <si>
    <t>participant lucrarea #512</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</si>
  <si>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</si>
  <si>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</si>
  <si>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</si>
  <si>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</si>
  <si>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</si>
  <si>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</si>
  <si>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</si>
  <si>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</si>
  <si>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</si>
  <si>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</si>
  <si>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</si>
  <si>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</si>
  <si>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</si>
  <si>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</si>
  <si>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</si>
  <si>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</si>
  <si>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</si>
  <si>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</si>
  <si>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IRIDON Anca-Mădălina</t>
  </si>
  <si>
    <t>Cupa de ski si snowboard a ULBS</t>
  </si>
  <si>
    <t>Competiție locală</t>
  </si>
  <si>
    <t>https://www.ulbsibiu.ro/news/cupa-de-schi-si-snowboard-a-ulbs-4/</t>
  </si>
  <si>
    <t>Cupa ULBS la ski</t>
  </si>
  <si>
    <t>sportiv</t>
  </si>
  <si>
    <t>https://events.ulbsibiu.ro/event.cupadeschi/</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</si>
  <si>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</si>
  <si>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</si>
  <si>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</si>
  <si>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</si>
  <si>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</si>
  <si>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</si>
  <si>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</si>
  <si>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</si>
  <si>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</si>
  <si>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</si>
  <si>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</si>
  <si>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</si>
  <si>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</si>
  <si>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Pascu Arian Marius</t>
  </si>
  <si>
    <t>Transformarea digitală a ULBS în procesul de tranziție către o universitate sustenabilă (TRADISMART)</t>
  </si>
  <si>
    <t xml:space="preserve">Proiectul, finanțat prin Planul Național de Redresare și Reziliență (PNRR), </t>
  </si>
  <si>
    <t>Beneficiar / coordonator</t>
  </si>
  <si>
    <t>Sorin RADU</t>
  </si>
  <si>
    <t>28.701.539,56 lei</t>
  </si>
  <si>
    <t>Renewable energy and energy efficiency - for sustainable development in Sibiu County</t>
  </si>
  <si>
    <t>Mecanism Financiar Norvegian
2014‐2021
Program pentru Energie în România</t>
  </si>
  <si>
    <t>www.cjsibiu.ro/proiecte/energie-verde/</t>
  </si>
  <si>
    <t>366.340 LEI.</t>
  </si>
  <si>
    <t>Fălădău Alina</t>
  </si>
  <si>
    <t>Stoica Augustin</t>
  </si>
  <si>
    <t>336 340 lei</t>
  </si>
  <si>
    <t>Energie regenerabilă și eficiență energetică pentru dezvoltare durabilă 
în județul Sibiu</t>
  </si>
  <si>
    <t>Proiectul este finanțat cu sprijinul granturilor acordate de Islanda, Liechtenstein și Norvegia prin mecanismele financiare SEE și Norvegian 2014 – 2021, în cadrul „Programului de Energie din România”.</t>
  </si>
  <si>
    <t>Claudiu Isarie</t>
  </si>
  <si>
    <t>https://energieverde.cjsibiu.ro/</t>
  </si>
  <si>
    <t>Prof.dr.ing. Florea Adrian</t>
  </si>
  <si>
    <t>Co-Creative Decision-Makers for 5.0 Organizations - CODEMO, Erasmus+ Project: Alliances for Education and Enterprises (Oct 2023 - Sept 2026), project number 101104819</t>
  </si>
  <si>
    <t>Erasmus+ Project: Alliances for Education and Enterprises, Erasmus+ ERASMUS-EDU-2022-PI-ALL-INNO-EDU-ENTERP</t>
  </si>
  <si>
    <t>https://ec.europa.eu/research/participants/grants/101104819?ticket=ST-1851224-ltK4admwLGdkqxbSyMRiIdnAYHiwTIT4IMrMkSK2TroNjMVQxL0fQt7lzscxuMKxybV0yUbwZc7aMNmlycLlAK-jpJZscgsw0KGMndzlOtklL-FmzSbSzpvDGXiEN6zkevHlAqeWwQZzIAvUMUHQn1TfXmYb3hY5ScTeuiy5GzNEKuDzxoEShnpyCqlvdN6oMIyqGG#!/processes</t>
  </si>
  <si>
    <t>175067 euro</t>
  </si>
  <si>
    <t>„Transformarea digitala SMART prin procesul de tranzitie verde in cadrul ULBS (TRADISMART)" Crearea Centrului integrat de date al ULBS</t>
  </si>
  <si>
    <t>Planul Național de Redresare și Reziliență (PNRR)</t>
  </si>
  <si>
    <t xml:space="preserve"> Radu Sorin</t>
  </si>
  <si>
    <t>14.10.2022 - 31.12.2025</t>
  </si>
  <si>
    <t xml:space="preserve">8.971.969,56 </t>
  </si>
  <si>
    <t xml:space="preserve">400  /2  </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</si>
  <si>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</si>
  <si>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</si>
  <si>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</si>
  <si>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</si>
  <si>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</si>
  <si>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</si>
  <si>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</si>
  <si>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</si>
  <si>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</si>
  <si>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</si>
  <si>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</si>
  <si>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Licența</t>
  </si>
  <si>
    <t>Responsabil</t>
  </si>
  <si>
    <t xml:space="preserve">MEC Eng </t>
  </si>
  <si>
    <t>LICENȚĂ</t>
  </si>
  <si>
    <t>responsabil</t>
  </si>
  <si>
    <t>Inginerie Economică Industrială</t>
  </si>
  <si>
    <t>Tehnologia Tricotajelor și Confecțiilor</t>
  </si>
  <si>
    <t>Doctorat</t>
  </si>
  <si>
    <t>Membru CSUD / coordonator de domeniu</t>
  </si>
  <si>
    <t>Inginerie Industriala</t>
  </si>
  <si>
    <t>Responsabil / coordonator de domeniu de doctorat</t>
  </si>
  <si>
    <t>Inginerie Mecanică</t>
  </si>
  <si>
    <t>Mecatronică</t>
  </si>
  <si>
    <t>Robotică</t>
  </si>
  <si>
    <t>Master</t>
  </si>
  <si>
    <t>SMA</t>
  </si>
  <si>
    <t xml:space="preserve">Sisteme de producție digitale </t>
  </si>
  <si>
    <t xml:space="preserve">Mater </t>
  </si>
  <si>
    <t>Sisteme CAD CAM CAE in deformare plastică</t>
  </si>
  <si>
    <t>Master Managementul Calitatii</t>
  </si>
  <si>
    <t>Domeniu de doctorat Inginerie si Management</t>
  </si>
  <si>
    <t>COFARU NICOLAE</t>
  </si>
  <si>
    <t>MASTERAT</t>
  </si>
  <si>
    <t xml:space="preserve">SISTENE SI TEHNOLOGII INTELIGENTE DE FABRICATIE </t>
  </si>
  <si>
    <t>Masterat</t>
  </si>
  <si>
    <t>Ingineria si Managementul Gazelor Naturale</t>
  </si>
  <si>
    <t>Licenta</t>
  </si>
  <si>
    <t>Ingineria si protectia medului in industrie</t>
  </si>
  <si>
    <t>licență</t>
  </si>
  <si>
    <t>director/responsabil</t>
  </si>
  <si>
    <t>Ingineria Transporturilor și a Traficului</t>
  </si>
  <si>
    <t>Licență</t>
  </si>
  <si>
    <t>Tehnologia construcțiilor de mașini</t>
  </si>
  <si>
    <t>licenţă</t>
  </si>
  <si>
    <t>Responsabil program</t>
  </si>
  <si>
    <t>IEDM</t>
  </si>
  <si>
    <t>master</t>
  </si>
  <si>
    <t>MAI</t>
  </si>
  <si>
    <t>Managementul proiectelor</t>
  </si>
  <si>
    <t>Ință Marinela</t>
  </si>
  <si>
    <t>masterat</t>
  </si>
  <si>
    <t>joiint</t>
  </si>
  <si>
    <t xml:space="preserve">responsabil </t>
  </si>
  <si>
    <t>Logistică Industrială</t>
  </si>
  <si>
    <t>Prof.dr.ing. FLOREA Adrian</t>
  </si>
  <si>
    <t>Advanced Computing Systems</t>
  </si>
  <si>
    <t xml:space="preserve">Baciu Rodica </t>
  </si>
  <si>
    <t>ICAI</t>
  </si>
  <si>
    <t>Electromecanică</t>
  </si>
  <si>
    <t>Zamfirescu Bălă-Constantin</t>
  </si>
  <si>
    <t>IOSUD Calculatoare și Tehnologia Informației</t>
  </si>
  <si>
    <t>Crețulescu Radu</t>
  </si>
  <si>
    <t>Tehnologia Informației</t>
  </si>
  <si>
    <t>licenta</t>
  </si>
  <si>
    <t>director</t>
  </si>
  <si>
    <t>Calculatoare(evaluare 14 martie 2023)</t>
  </si>
  <si>
    <t>Masterat (în engleză)</t>
  </si>
  <si>
    <t>Embedded Systems</t>
  </si>
  <si>
    <t>Nu</t>
  </si>
  <si>
    <t>Ingineria sistemelor multimedia</t>
  </si>
  <si>
    <t>Electronica Aplicata</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</si>
  <si>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</si>
  <si>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</si>
  <si>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</si>
  <si>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</si>
  <si>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</si>
  <si>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</si>
  <si>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Olimpiada Națională de Mecatronică / Zilele Educației Mecatronice (ZEM 2023), Cluj-Napoca, Locul 1 la secțiunea Sisteme mecatronice industriale – programarea automatelor programabile, echipă 3 studenți</t>
  </si>
  <si>
    <t>23-26 Mai 2023</t>
  </si>
  <si>
    <t>https://zem.utcluj.ro/</t>
  </si>
  <si>
    <t xml:space="preserve">Zilele Educației Mecatronice , sectiunea, Realizări în domeniul mecatronicii – Aplicații Matlab - locul 1 </t>
  </si>
  <si>
    <t>Stiințifice</t>
  </si>
  <si>
    <t>23-26. 05.2023</t>
  </si>
  <si>
    <t>https://zem.utcluj.ro/informatii-participanti/rezultate-finale-zem-2023/</t>
  </si>
  <si>
    <t xml:space="preserve">Zilele Educației Mecatronice , sectiunea, Realizări în domeniul mecatronicii – Aplicații Matlab - locul 3 </t>
  </si>
  <si>
    <t>Zilele Educației Mecatronice , sectiunea, Roboți Mobili – Line-Follower locul 2</t>
  </si>
  <si>
    <t>Zilele Educatiei Mecatronice</t>
  </si>
  <si>
    <t>Competitie nationala</t>
  </si>
  <si>
    <t xml:space="preserve">Racz Sever Gabriel </t>
  </si>
  <si>
    <t>Zilele Educației Mecatronice</t>
  </si>
  <si>
    <t>naționale</t>
  </si>
  <si>
    <t>23-26 mai 2023</t>
  </si>
  <si>
    <t>Olimpiada Nationala de Mecatronica 2023, Sectiunea "Sisteme mecatronice de zbor fara pilot"</t>
  </si>
  <si>
    <t>Nationala</t>
  </si>
  <si>
    <t xml:space="preserve">https://zem.utcluj.ro/ </t>
  </si>
  <si>
    <t>Zilele Educației Mecatronice , sectiunea Sisteme Mecatronice de Zbor Fără Pilot, locul 3</t>
  </si>
  <si>
    <t>Zilele Educației Mecatronice , sectiunea, Realizări în domeniul mecatronicii – locul 3</t>
  </si>
  <si>
    <t>Diana Banciu, Teodora Maria Cazan</t>
  </si>
  <si>
    <t>AntreprenorIng 5.0, concurs national pe echipe, organizat de Universitatea din Oradea</t>
  </si>
  <si>
    <t>competiție științifică nationala</t>
  </si>
  <si>
    <t>30.06.2023-2.07.2023</t>
  </si>
  <si>
    <t>https://inginerie.ulbsibiu.ro/dep.iim/?p=1295</t>
  </si>
  <si>
    <t>M. V. Zerbes</t>
  </si>
  <si>
    <t>International Fair of Innovation an Creative Eucation for Youth (ICE-USV)</t>
  </si>
  <si>
    <t>internaţional</t>
  </si>
  <si>
    <t>7-9 iulie 2023</t>
  </si>
  <si>
    <t>https://fiesc.usv.ro/ice-usv/#1675682957806-affbdefd-cd97</t>
  </si>
  <si>
    <t>2*60</t>
  </si>
  <si>
    <t>7-9  iulie 2023</t>
  </si>
  <si>
    <t>https://fiesc.usv.ro/ice-usv/#1675682957806-affbdefd-cd98</t>
  </si>
  <si>
    <t>2*80</t>
  </si>
  <si>
    <t>https://fiesc.usv.ro/ice-usv/#1675682957806-affbdefd-cd99</t>
  </si>
  <si>
    <t>2*100</t>
  </si>
  <si>
    <t>Salonul Internaţional al Inovării şi Cercetării Ştiinţifice Studenţeşti
”Cadet INOVA’23”, Academia Forţelor Terestre “Nicolae Bălcescu”
Sibiu, 04-06 Mai 2023</t>
  </si>
  <si>
    <t>4-6 mai 2023</t>
  </si>
  <si>
    <t>https://www.cadetinova.ro/documente/Premii_Inova_23.pdf</t>
  </si>
  <si>
    <t>Cornea Gabriela, Cisteian Silvana Denisa, Bitea Alexandru Paul - STUDENTI  COORDONATI  DE  TITU AUREL  MIHAIL</t>
  </si>
  <si>
    <t>The 15th Edition of EUROINVENT – European Exhibition of Creativity and Innovation 2023</t>
  </si>
  <si>
    <t>Salon de Invenții, International, Medal of Excellence in Inovation - Gold</t>
  </si>
  <si>
    <t>https://www.euroinvent.org/archive/catalogues/</t>
  </si>
  <si>
    <t>Capatina Alexandru Ionut, Ciuntu Sebastian Gabriel - STUDENTI  COORDONATI  DE  TITU AUREL  MIHAIL</t>
  </si>
  <si>
    <t>Marcu Donna Elena - STUDENTĂ  COORDONATĂ  DE  TITU AUREL  MIHAIL</t>
  </si>
  <si>
    <t>Cernea Daniela Elena, Florea Toader Denisa, Gliga Paul, Gresoiu Nicolae Claudiu - STUDENTI  COORDONATI  DE  TITU AUREL  MIHAIL</t>
  </si>
  <si>
    <t>Cosmin Preda și Robert Marian Bleotu - drd COORDONATI  DE  TITU AUREL  MIHAIL</t>
  </si>
  <si>
    <t>Robert Marian Bleotu și Cosmin Preda - drd COORDONATI  DE  TITU AUREL  MIHAIL</t>
  </si>
  <si>
    <t>Preda Cosmin, Bleotu Robert-Marian - drd COORDONATI  DE  TITU AUREL  MIHAIL</t>
  </si>
  <si>
    <t>2nd edition of the International Exhibition of Innovation and Technology Transfer EXCELLENT IDEA - 2023; https://excellentidea.ase.md/anunturi/</t>
  </si>
  <si>
    <t>Salon de Invenții, International, Silver Medal</t>
  </si>
  <si>
    <t>19-21 Septembrie 2023</t>
  </si>
  <si>
    <t>https://excellentidea.ase.md/program-pentru-doritorii-de-prezentari-ale-inovatiilor-inventiilor/</t>
  </si>
  <si>
    <t xml:space="preserve">Florea-Toader Denisa-Gabriela, Cernea Daniela-Elena, Paul Gliga, Gresoiu Nicolae-Claudiu - STUDENTI  COORDONATI  DE  TITU AUREL  MIHAIL </t>
  </si>
  <si>
    <t>Ciuntu Sebastian Gabriel - STUDENT COORDONAT DE TITU AUREL MIHAIL</t>
  </si>
  <si>
    <t>Cisteian Silvana Denisa, Cornea Gabriela, Bitea Alexandru Paul - STUDENTI  COORDONATI  DE  TITU AUREL  MIHAIL</t>
  </si>
  <si>
    <t>Bleotu Robert-Marian, Preda Cosmin - drd  COORDONATI  DE  TITU AUREL  MIHAIL</t>
  </si>
  <si>
    <t>International Exhibition INVENTCOR 4th Edition, DEVA, ROMANIA, https://www.centrulculturaldeva.ro/evenimente/salonul-international-inventcor/</t>
  </si>
  <si>
    <t>Salon de Invenții, International, GOLD Medal</t>
  </si>
  <si>
    <t>14-16.09.2023</t>
  </si>
  <si>
    <t>https://www.facebook.com/events/centrul-cultural-drăgan-muntean-deva/inventcor-2023/5939350789506488/</t>
  </si>
  <si>
    <t>Bleotu Robert-Marian, Preda Cosmin - drd COORDONATI  DE  TITU AUREL  MIHAIL</t>
  </si>
  <si>
    <t>International Exhibition of Invention UGAL INVENT 6th Edition, Galați, Romania</t>
  </si>
  <si>
    <t>9-10 Noiembrie 2023</t>
  </si>
  <si>
    <t>http://www.invent.ugal.ro</t>
  </si>
  <si>
    <t>Salon de Invenții, International, SILVER Medal</t>
  </si>
  <si>
    <t>Camelia PINCA-BRETOTEAN, Cosmin PREDA, Robert-Marian BLEOTU - drd COORDONATI  DE  TITU AUREL  MIHAIL</t>
  </si>
  <si>
    <t>Salonul Internațional de Inventii și Inovatii "Traian Vuia" Timișoara</t>
  </si>
  <si>
    <t>https://news.usab-tm.ro/2023/05/09/salonul-international-de-inventii-si-inovatii-traian-vuia-timisoara-15-17-iunie-2023/</t>
  </si>
  <si>
    <t>International Student Innovation and Scientific research Exhibition CADET INOVA 2023, Nicolae Balcescu Land Force Academy of Sibiu Romania</t>
  </si>
  <si>
    <t xml:space="preserve">Salon de Invenții, International, SPECIAL PRIZE - SILVER - </t>
  </si>
  <si>
    <t>4-6 Mai 2023</t>
  </si>
  <si>
    <t>https://www.cadetinova.ro/index.php/ro/</t>
  </si>
  <si>
    <t xml:space="preserve">The VII-th International Fair of Innovation and Creative
Education for Youth (ICE-USV), Suceava, Universitatea Stefan Cel Mare din Suceava </t>
  </si>
  <si>
    <t>https://ice-usv44.webnode.ro/copie-a-current-edition2/</t>
  </si>
  <si>
    <t>CODREANU Tudor-Cătălin,  TOPA lonut-Cristian - STUDENTI  COORDONATI  DE  TITU AUREL  MIHAIL</t>
  </si>
  <si>
    <t>Preda Cosmin - drd COORDONAT  DE  TITU AUREL  MIHAIL</t>
  </si>
  <si>
    <t>Universitatea Politehnica Timisoara, Facultatea de Inginerie Hunedoara, Simpozionul Stiintific StudentescHD-53-STUD Sectiunile SI-06 International si Studii Doctorale Hunedoara</t>
  </si>
  <si>
    <t>Conferinta studentească Internationala, Premiul II</t>
  </si>
  <si>
    <t>12-13 Mai 2023</t>
  </si>
  <si>
    <t>https://simpozion.fih.upt.ro/images/templates/programul_hd-53-stud_2023_final2.pdf</t>
  </si>
  <si>
    <t>Bleotu Robert-Marian - drd COORDONAT  DE  TITU AUREL  MIHAIL</t>
  </si>
  <si>
    <t>L.G. Popescu</t>
  </si>
  <si>
    <t>https://fiesc.usv.ro/ice-usv/#1675682957806-affbdefd-cd96</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</si>
  <si>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</si>
  <si>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</si>
  <si>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</si>
  <si>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</si>
  <si>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</si>
  <si>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</si>
  <si>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</si>
  <si>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</si>
  <si>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</si>
  <si>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</si>
  <si>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</si>
  <si>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</si>
  <si>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</si>
  <si>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</si>
  <si>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</si>
  <si>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</si>
  <si>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</si>
  <si>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</si>
  <si>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</si>
  <si>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</si>
  <si>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</si>
  <si>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</si>
  <si>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Comisia 16 – CNATDCU – Inginerie Industrială și Management</t>
  </si>
  <si>
    <t>http://www.cnatdcu.ro/paneluri-cnatdcu/incepand-cu-data-de-7-septembrie-2012/stiinte-ingineresti/comisia-de-inginerie-industriala-si-management/</t>
  </si>
  <si>
    <t>CNATDCU, Comisia 16, Ingineria si managementul productiei</t>
  </si>
  <si>
    <t>http://www.cnatdcu.ro/paneluri-cnatdcu/</t>
  </si>
  <si>
    <t>CNATDCU</t>
  </si>
  <si>
    <t>CCCDI</t>
  </si>
  <si>
    <t>ARACIS</t>
  </si>
  <si>
    <t>https://www.aracis.ro/registrul-national-al-evaluatorilor-cadre-didactice/</t>
  </si>
  <si>
    <t>Comisia Specializată de acreditare (MEN)</t>
  </si>
  <si>
    <t>https://cdn.edupedu.ro/wp-content/uploads/2022/11/ordin_component%CC%A6a-comisiei-specializate-de-acreditare.pdf</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</si>
  <si>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</si>
  <si>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</si>
  <si>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</si>
  <si>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</si>
  <si>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</si>
  <si>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</si>
  <si>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</si>
  <si>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</si>
  <si>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</si>
  <si>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22-26 mai 2023 - International Week – ULBS – responsabil din partea Facultății de Inginerie pentru: stabilire program profesori invitați, creare de Meet-uri, trimitere invitații către cadre didactice / studenți, asistență în timpul prelegerilor pe Meet.</t>
  </si>
  <si>
    <t>contributor</t>
  </si>
  <si>
    <t>Consortiul de Inginerie Economica din Romania (CIER)</t>
  </si>
  <si>
    <t>Consorțiul Universitaria</t>
  </si>
  <si>
    <t>Asociația facultăților de inginerie și management</t>
  </si>
  <si>
    <t>ForThem</t>
  </si>
  <si>
    <t>responsabil WP 9.6 și WP 5.7</t>
  </si>
  <si>
    <t>Consorţiul de Inginerie Economică din România - CIER</t>
  </si>
  <si>
    <t>Coordonator pentru programele din domeniul Inginerie şi Management la nivel ULBS</t>
  </si>
  <si>
    <t>FORTHEM</t>
  </si>
  <si>
    <t>Responsabil IT Officer: coordonarea la nivelul aliantei a sarcinii referitoare la realizarea unei identitati digitale comune + contributia la realizarea White paper "Towards an integrated European Higher Education Area digital space"</t>
  </si>
  <si>
    <t>Forthem</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</si>
  <si>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</si>
  <si>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</si>
  <si>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</si>
  <si>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</si>
  <si>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</si>
  <si>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8*28</t>
  </si>
  <si>
    <t>10*28</t>
  </si>
  <si>
    <t xml:space="preserve"> Florea Marin</t>
  </si>
  <si>
    <t>16^28</t>
  </si>
  <si>
    <t xml:space="preserve">Brad Raluca </t>
  </si>
  <si>
    <t>12*28</t>
  </si>
  <si>
    <t>Chiliban Marius-Bogdan</t>
  </si>
  <si>
    <t>15*28</t>
  </si>
  <si>
    <t>Maroșan Iosif-Adrian</t>
  </si>
  <si>
    <t>12.97*28</t>
  </si>
  <si>
    <t>13*28</t>
  </si>
  <si>
    <t>16*28</t>
  </si>
  <si>
    <t>IRIDON ANCA-MĂDĂLINA</t>
  </si>
  <si>
    <t>16 x 28</t>
  </si>
  <si>
    <t>7*28</t>
  </si>
  <si>
    <t>11*28</t>
  </si>
  <si>
    <t>12x28</t>
  </si>
  <si>
    <t>NB post conf. poz. 16 - 13 ore conv.</t>
  </si>
  <si>
    <r>
      <rPr>
        <rFont val="Arial Narrow"/>
        <color theme="1"/>
        <sz val="10.0"/>
      </rPr>
      <t>13</t>
    </r>
    <r>
      <rPr>
        <rFont val="Arial Narrow"/>
        <color theme="1"/>
        <sz val="8.0"/>
      </rPr>
      <t>X</t>
    </r>
    <r>
      <rPr>
        <rFont val="Arial Narrow"/>
        <color theme="1"/>
        <sz val="10.0"/>
      </rPr>
      <t>28</t>
    </r>
  </si>
  <si>
    <t>13,25*28</t>
  </si>
  <si>
    <t>Pascu Adrian Marius</t>
  </si>
  <si>
    <t>Moarariu Fineas</t>
  </si>
  <si>
    <t>Activități de predare conform norma de bază, Stat funcții departament MEI, poz. 19, Conferentiar, an univ. 2022-2023</t>
  </si>
  <si>
    <t>10x28</t>
  </si>
  <si>
    <t>MATRAN CRISTIAN</t>
  </si>
  <si>
    <t>Bleotu Robert-Marian</t>
  </si>
  <si>
    <t>10x28=280</t>
  </si>
  <si>
    <t>Florea Viorel Radu</t>
  </si>
  <si>
    <t>8^28</t>
  </si>
  <si>
    <t>Bădescu Mircea</t>
  </si>
  <si>
    <t>13x28</t>
  </si>
  <si>
    <t>Hidraulică subterană - Curs</t>
  </si>
  <si>
    <t>Comprimarea și lichefierea gazelor naturale - Curs</t>
  </si>
  <si>
    <t>Comprimarea și lichefierea gazelor naturale - Seminar</t>
  </si>
  <si>
    <t>Comprimarea și lichefierea gazelor naturale - Proiect</t>
  </si>
  <si>
    <t>Mecanica fluidelor - Curs</t>
  </si>
  <si>
    <t>Mecanica fluidelor - Seminar</t>
  </si>
  <si>
    <t>FING5</t>
  </si>
  <si>
    <t>Mecanica fluidelor - Laborator</t>
  </si>
  <si>
    <t>FING6</t>
  </si>
  <si>
    <t xml:space="preserve">Politici și strategii in ingineria gazelor naturale - Curs </t>
  </si>
  <si>
    <t>Protecția mediului - Seminar</t>
  </si>
  <si>
    <t>Protecția mediului - Laborator</t>
  </si>
  <si>
    <t>Fălădău Maria Alina</t>
  </si>
  <si>
    <t>predare cursuri si aplicatii, post 7. profesor = 7 ore</t>
  </si>
  <si>
    <t>Activități conform Statului de funcții poziția 50 (șef lucrări)</t>
  </si>
  <si>
    <t>Activitati predare din norma de baza</t>
  </si>
  <si>
    <t>POST 57</t>
  </si>
  <si>
    <t>12X28</t>
  </si>
  <si>
    <t>28 săptămâni</t>
  </si>
  <si>
    <t>Dan Maria Nicoleta</t>
  </si>
  <si>
    <t>28 saptamani</t>
  </si>
  <si>
    <t>Predare</t>
  </si>
  <si>
    <t>12 x 28 = 336</t>
  </si>
  <si>
    <t xml:space="preserve">Isarie Claudiu </t>
  </si>
  <si>
    <t>13.50</t>
  </si>
  <si>
    <t xml:space="preserve"> Beju Livia dana</t>
  </si>
  <si>
    <t>Roșca Nicolae</t>
  </si>
  <si>
    <t>Tehnologia fabricarii masinilor si utilajelor SPD - C, Fabricarea si repararea autovehiculelor ITT - C, Tehnologii de fabricare -IEDM  2L, TCM 1 - TCM - 2 L,TCM 2 - TCM - 2 L, TCM 3 - TCM - 2 L Tehnologia fabricarii masinilor si utilajelor SPD - 1 L , Fabricarea si repararea autovehiculelor ITT - L,  Fabricarea si repararea autovehiculelor ITT - P</t>
  </si>
  <si>
    <t>Butănescu-Volanin Remus Constantin</t>
  </si>
  <si>
    <t>NB 2022/2023 - Dispozitive pentru masini unelte IV SPD (curs + 1 gr Lp); Dispozitive tehnologice IV IEDM (curs + 3 sgr Pr); Dispozitive tehnologice 1 III TCM (1 sgr Lp); Programare calc si limbaje de programare I ITT (1+2 curs) = 11 ore conv</t>
  </si>
  <si>
    <t>12 x 28 = 336 (conform stat functii IIM 2022-2023)</t>
  </si>
  <si>
    <t>196 (7 x 28 saptamani)</t>
  </si>
  <si>
    <t>Sisteme informatice de gestiune - Curs IEDM si IEI</t>
  </si>
  <si>
    <t>Sisteme informatice in management - Curs</t>
  </si>
  <si>
    <t>Comunicare si negociere in afaceri- Curs</t>
  </si>
  <si>
    <t>Comunicare si negociere in afaceri - Aplicatii</t>
  </si>
  <si>
    <t>Sisteme informatice pentru suport managerial - Curs</t>
  </si>
  <si>
    <t>Sisteme informatice in proiecte - Curs</t>
  </si>
  <si>
    <t>Stiinta si ingineria materialelor - 1h</t>
  </si>
  <si>
    <t>Tehnologia materialelor - 0,5h</t>
  </si>
  <si>
    <t>Tehnologia materialelor - 1h</t>
  </si>
  <si>
    <t>Analiza si sinteza proceselor tehnologice - 2h</t>
  </si>
  <si>
    <t>Analiza si sinteza proceselor tehnologice - 1h</t>
  </si>
  <si>
    <t>Tehnologii si echipamente de epurare a aerului 1 - 2h</t>
  </si>
  <si>
    <t>Tehnologii si echipamente de epurare a aerului 1 - 1h</t>
  </si>
  <si>
    <t>Tehnologii si echipamente de epurare a aerului 2 - 2h</t>
  </si>
  <si>
    <t>Tehnologii si echipamente de epurare a aerului 2 - 1h</t>
  </si>
  <si>
    <t>FING</t>
  </si>
  <si>
    <t>POST 54</t>
  </si>
  <si>
    <t>10 X 28</t>
  </si>
  <si>
    <t>Foidas Ion</t>
  </si>
  <si>
    <t>Activitati norma de bază 9 ore
poz. 15 prof. Dep IIM</t>
  </si>
  <si>
    <t>9 ore * 28 sapt.</t>
  </si>
  <si>
    <t>DENEŞ Călin</t>
  </si>
  <si>
    <t>Mihaela Rotaru</t>
  </si>
  <si>
    <t>10 x 28</t>
  </si>
  <si>
    <t xml:space="preserve">Tehnologia Materialelor TCM+SPD - 2C, Tratamente termice TCM - 2C, Tehnologia Materialelor TCM - 2L, Tratamente Termice - TCM - 2 L, Tratamente termice SPD - 1 C </t>
  </si>
  <si>
    <t>7x28</t>
  </si>
  <si>
    <t>Curs+Proiect la disciplinele Logistică, Logistica transporturilor, Trafic rutier</t>
  </si>
  <si>
    <t>LUPU DIANA</t>
  </si>
  <si>
    <t>Dumitrașcu-Băldău Iulia</t>
  </si>
  <si>
    <t>Managementul proiectelor complexe (mAAIE; mMP, mMC), Antreprenoriat și dezvoltarea afacerilor (mMP), Management operațional (mMPA),Managementul proiectelor (IEI), Managementul proiectelor de mediu (IPMI), Managementul investițiilor (IEDM)</t>
  </si>
  <si>
    <t xml:space="preserve">Brad Remus </t>
  </si>
  <si>
    <t>9 * 28</t>
  </si>
  <si>
    <t>Breazu Macarie</t>
  </si>
  <si>
    <t>8 ore convenționale în norma de bază</t>
  </si>
  <si>
    <t>Baze de date, Interactiune om calculator</t>
  </si>
  <si>
    <t>8X28</t>
  </si>
  <si>
    <t>ILIE Beriliu</t>
  </si>
  <si>
    <t>16x28</t>
  </si>
  <si>
    <t>Craciunas Gabriela</t>
  </si>
  <si>
    <t>15*28=420</t>
  </si>
  <si>
    <t>Viorel Alina Cristina</t>
  </si>
  <si>
    <t>16 X 28</t>
  </si>
  <si>
    <t>10 ore conv. Post 39: MS (EA IV, C 2h/sapt); MN (EA EM III, C 2h/sapt; L 2h/sapt); PDS (EA III, C 2h/sapt); MIS (ISM IV, C 3h/sapt)</t>
  </si>
  <si>
    <t>Neghina Catalina</t>
  </si>
  <si>
    <t>Asist. Univ. dr. ing. Chis Radu</t>
  </si>
  <si>
    <t>DOROBANȚIU Alexandru</t>
  </si>
  <si>
    <t>Craciunean Daniel-Cristian</t>
  </si>
  <si>
    <t>Barglazan Adrian</t>
  </si>
  <si>
    <t>Constantinescu Constantin</t>
  </si>
  <si>
    <t>SPATARI OVIDIU</t>
  </si>
  <si>
    <t>SPATARI Ovidiu Nicolae</t>
  </si>
  <si>
    <t>Diodiu Ioan Lucian</t>
  </si>
  <si>
    <t>Tehnologii electrice, Materiale electrotehnice, Echipamente electrice</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</si>
  <si>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</si>
  <si>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</si>
  <si>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</si>
  <si>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8*2*28</t>
  </si>
  <si>
    <t>10*2*28</t>
  </si>
  <si>
    <t>16*2*28</t>
  </si>
  <si>
    <t>12*2*28</t>
  </si>
  <si>
    <t>15*2*28</t>
  </si>
  <si>
    <t>12.97*28*2</t>
  </si>
  <si>
    <t>13*2*28</t>
  </si>
  <si>
    <t>16 x 2 x 28</t>
  </si>
  <si>
    <t>7*2*28</t>
  </si>
  <si>
    <t>11*2*28</t>
  </si>
  <si>
    <t>12x2x28</t>
  </si>
  <si>
    <r>
      <rPr>
        <rFont val="Arial Narrow"/>
        <color theme="1"/>
        <sz val="10.0"/>
      </rPr>
      <t>13</t>
    </r>
    <r>
      <rPr>
        <rFont val="Arial Narrow"/>
        <color theme="1"/>
        <sz val="8.0"/>
      </rPr>
      <t>x</t>
    </r>
    <r>
      <rPr>
        <rFont val="Arial Narrow"/>
        <color theme="1"/>
        <sz val="10.0"/>
      </rPr>
      <t>2</t>
    </r>
    <r>
      <rPr>
        <rFont val="Arial Narrow"/>
        <color theme="1"/>
        <sz val="8.0"/>
      </rPr>
      <t>x</t>
    </r>
    <r>
      <rPr>
        <rFont val="Arial Narrow"/>
        <color theme="1"/>
        <sz val="10.0"/>
      </rPr>
      <t>28</t>
    </r>
  </si>
  <si>
    <t>13,25*2*28</t>
  </si>
  <si>
    <t>13*28*2</t>
  </si>
  <si>
    <t>28*2</t>
  </si>
  <si>
    <t>10x2x28</t>
  </si>
  <si>
    <t>10x2x28=560</t>
  </si>
  <si>
    <t>Fing 3</t>
  </si>
  <si>
    <t>13x2x28</t>
  </si>
  <si>
    <t>12x2x28 saptamani</t>
  </si>
  <si>
    <t>activitati de predare cursuri si aplicatii, post nr.7, profesor = 7 ore</t>
  </si>
  <si>
    <t>Pregatirea activitatii de predare</t>
  </si>
  <si>
    <t>12X2X28</t>
  </si>
  <si>
    <t>2x28 săptămâni</t>
  </si>
  <si>
    <t>12 x 2 x 28 = 672</t>
  </si>
  <si>
    <t>280x2</t>
  </si>
  <si>
    <t>2x12x28</t>
  </si>
  <si>
    <t>12 x 2 x 28 = 336 (conform stat functii IIM 2022-2023)</t>
  </si>
  <si>
    <t>Tehnologia materialelor 1 - 1h</t>
  </si>
  <si>
    <t>Tanu Lucian</t>
  </si>
  <si>
    <t>10 X 2 X 28</t>
  </si>
  <si>
    <t>9 ore x 2 x 28 sapt.</t>
  </si>
  <si>
    <t>10 x 2 x 28</t>
  </si>
  <si>
    <t>2x7x28</t>
  </si>
  <si>
    <t>Curs+Proiect la disciplinele Logistică, Logistica transporturilor, Trafic rutier.</t>
  </si>
  <si>
    <t>9*2*28</t>
  </si>
  <si>
    <t>8X2X28</t>
  </si>
  <si>
    <t>16x2x28</t>
  </si>
  <si>
    <t xml:space="preserve">Cofaru Ileana Ioana </t>
  </si>
  <si>
    <t>15*2*28=840</t>
  </si>
  <si>
    <t>16 X 2 X 28</t>
  </si>
  <si>
    <t>16x28x2</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</si>
  <si>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</si>
  <si>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</si>
  <si>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</si>
  <si>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</si>
  <si>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</si>
  <si>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Turcu Ioan, Microcontroller-based access authorization system – Smart Lock, Licenta</t>
  </si>
  <si>
    <t>Constandache Ioana Roxana. Mihai, Studiul și proiectarea unui sistem automat de orientare și fixare a pieselor pe mașina de frezat cu comndă numericăa, licenta SPD</t>
  </si>
  <si>
    <t>Catana Ioana, Studiul și proiectarea unui sistem de evacuare a șpanului de pe mașina de 
frezat HAAS Mini Mill,  licenta SPD</t>
  </si>
  <si>
    <t>Herciu Denisa, Studiul și proiectarea unui sistem de alimentare cu semifabricat pe strungul cu comandă numericăStudiul și proiectarea unui sistem de alimentare cu semifabricat pe strungul cu comandă numerică, licenta SPD</t>
  </si>
  <si>
    <t>Ittu Marius NicolaeTestarea funcționalității și anduranței pompelor din sistemele de frânare din industria auto, Disertatie SMA</t>
  </si>
  <si>
    <t>Bădila Radu-Ilie, Studiul și proiectarea unui echipament automatizat de manipulare cu acționare pneumatică, Mecatronică, licență</t>
  </si>
  <si>
    <t xml:space="preserve">Fărcaciu Darius Bogdan, Studiul și proiectarea unui element efector final pentru o structură robotică serială, Mecatronică, licență
</t>
  </si>
  <si>
    <t>Iagăru Fanuel-MihaiStudiul și proiectarea unui robot pentru rezolvarea cubului Rubik, Mecatronică, licență</t>
  </si>
  <si>
    <t>Kovacs Ștefania Andrada, Dezvoltarea unui modul de detectare a metalelor, Mecatronică, licență</t>
  </si>
  <si>
    <t xml:space="preserve">Lazar Bogdan Florian, Sistem de asistenta la parcarea in garaj, Mecatronică, licență
</t>
  </si>
  <si>
    <t>Moca Sebastian, Studiul și proiectarea unui manipulator în coordonate carteziene, Mecatronică, licență</t>
  </si>
  <si>
    <t>Onofrei Ioan, Studiul și proiectarea unui sistem de parcare automatizată, Mecatronică, licență</t>
  </si>
  <si>
    <t>Trușcă Ovidiu Ioan, Studiul și proiectarea unui echipament de tip router CNC cu 5 axe comandate numeric, Mecatronică, licență</t>
  </si>
  <si>
    <t>Bunescu Andrei, Studiul si proiectarea unei platforme mobile de securitate, Robotică, licență</t>
  </si>
  <si>
    <t>Năcreală Nicolae, Proiectarea și realizarea unui automat de închiriat baterii externe, Robotică, licență</t>
  </si>
  <si>
    <t>Constantinescu Gabriel, Studiul și proiectarea unui vehicul ghidat automat, Sisteme de producție digitală, licență</t>
  </si>
  <si>
    <t>Fuciu Daniel, Proiectarea unei matrite pentru executia prin deformare plastica la rece a reperului "CAPAC PROTECTIE" cilindru utilizand sisteme CAD-CAM-CAE, SCCCDP, disertație</t>
  </si>
  <si>
    <t>Cerceja Gianina, Studiul si proiectarea unui sistem de pozitionare a componentelor electrice pe placile de circuite imprimate, SPMSCNC, disertație</t>
  </si>
  <si>
    <t xml:space="preserve">Crenganiș Mihai </t>
  </si>
  <si>
    <t>Iacob Stefan- Lucian, Studiul si proiectarea unui robot mobil autonom pentru semănat SMA</t>
  </si>
  <si>
    <t>Ghiorghe Cristina- Studiul si proiectarea unei platforme mobile autonome cu patru roti motoare - SMA</t>
  </si>
  <si>
    <t>Raulea Robert - Construcția unei masini cu comandă numerică în 3 axe cu suprafața de lucru 2mx3m pentru prelucrat mobil - SCCCDP</t>
  </si>
  <si>
    <t>Beza Codruta - Studiul si proiectarea unui robot mobil utilizat pentru curățenie - SMA</t>
  </si>
  <si>
    <t>Herbert Alexandru - Studiul și proiectarea unui echipament de manipulare cu prindere prin vacum - Mec</t>
  </si>
  <si>
    <t>Opris Ana Maria - Studiul și proiectarea unui robot mobil autonom pentru diverse aplicații Mec</t>
  </si>
  <si>
    <t>Popa Madalin  - Studiul și proiectarea unui sistem pentru protecția  autoturismului împotriva factorilor externi - Mec</t>
  </si>
  <si>
    <t>Postei Roxana - Studiul și realizarea unui robot mobil cu șenile - Mec</t>
  </si>
  <si>
    <t>Tamas timotei Studiul si proiectarea unui echipament pentru testarea andurantei sistemului CAirS - Mec</t>
  </si>
  <si>
    <t>Vacar Andreea Studiul si proiectarea unui echipament de frezat in trei axe - Mec</t>
  </si>
  <si>
    <t xml:space="preserve">Bunea Alexandru Antigravity Levitation System with Sliding Capability  - Mec engl </t>
  </si>
  <si>
    <t>Bondoc Maria Studiul și proiectarea unui robot cartezian pentru debitare cu fir cald - Robotica</t>
  </si>
  <si>
    <t xml:space="preserve"> Trif Dragos Studiul și proiectarea unui robot mobil autonom cu patru roți motoare pentru agricultură Robotica</t>
  </si>
  <si>
    <t>Neamtu Alin Studiul și proiectarea unui sistem de testare și calibrare a traductoarelor ultrasonice - Robotica</t>
  </si>
  <si>
    <t>Comsa Paul STUDIUL ȘI PROIECTAREA UNUI CENTRU DE PRELUCRARE PRIN
FREZARE DE GABARIT REDUS - Robotica</t>
  </si>
  <si>
    <t>Lelutiu Studiul și proiectarea unei platforme mobile autonome pentru deplasare pe teren accidentat  - Robotica</t>
  </si>
  <si>
    <t>Andrasel Marian Studiul și proiectarea unui echipament pentru testarea unității de afișaj a senzorilor - Robotica</t>
  </si>
  <si>
    <t>Vladaia Marian Proiectarea și realizarea unui aparat de zbor pentru diverse aplicații - Robotica</t>
  </si>
  <si>
    <t>Saratean Calin Studiul și proiectarea unui manipulator cartezian cu acționare hidraulica - SPD</t>
  </si>
  <si>
    <t>Limbasan Mihai Modelarea și acționarea unui manipulator electro-pneumatic - SPD</t>
  </si>
  <si>
    <t>Bucea Nicolae STUDIUL ȘI PROIECTAREA UNUI ECHIPAMENTDE GRAVAT CU UNITATE LASER - SPD</t>
  </si>
  <si>
    <t>Proiectarea procesului tehnologic de prelucrare prin așchiere și a SDV-urilor aferente necesare realizării reperului ”Placă suport”.
Echilibrul educație - muncă - viață personală în rândul studenților, studentă TĂVALĂ Elena, licență IEDM, iulie 2023, în cotutelă cu Conf. dr. ec. Roxana SĂVESCU</t>
  </si>
  <si>
    <t>Proiectarea procesului tehnologic de prelucrare prin deformare plastică și a unei ștanțe aferente realizării reperului "Camă profilată". Proiectarea procesului de fabricație prin așchiere pentru un reper din construcția ștanței.  Studiu privind oportunitatea înființării unei microîntreprinderi în județul Sibiu., student PETRESE Sorin Nicolae, licență IEDM, iulie 2023, în cotutelă cu Lector dr. ec. Nicoleta DAN</t>
  </si>
  <si>
    <t>Proiectarea procesului tehnologic de prelucrare prin deformare plastică și a unei ștanțe aferente realizării reperului "Suport zăvor". Proiectarea procesului de fabricație prin așchiere pentru un reper din construcția ștanței. Analiza strategică la S.C. HARTING S.C.S. în vederea identificării posibilităților de îmbunătățire a activității, studentă VAIDA Teodora, licență IEDM, iulie 2023, în cotutelă cu Lector dr. ec. Nicoleta DAN</t>
  </si>
  <si>
    <t>Studii și cercetări privind deformabilitatea la îndoire alternantă a diferitelor tipuri de oțeluri. Proiectarea procesului tehnologic și a unei matrițe aferente realizării reperului "Clemă prindere", studentă BELEA Iulia Alina, licență TCM, iulie 2023.</t>
  </si>
  <si>
    <t>Studii privind mărimea bavurii la piesele decupate-perforate. Proiectarea tehnologiei de fabricație prin presare la rece și a unei ștanțe pentru reperul ”Placă perforată”, student DRĂGUȘIN Alexandru Eduard, licență TCM, iulie 2023.</t>
  </si>
  <si>
    <t>Studii privind optimizarea topologică a reperului ”axe skateboard”, student DRAGOMIR Ioan Sebastian, licență TCM, iulie 2023, cotutelă Șef lucrări dr. ing. Radu Emanoil PETRUSE.</t>
  </si>
  <si>
    <t>Studii privind optimizarea topologică a reperului ”bell crank”, student ENE Vasile Alexandru, licență TCM, iulie 2023, cotutelă Șef lucrări dr. ing. Radu Emanoil PETRUSE.</t>
  </si>
  <si>
    <t>Studiul, proiectarea si analiza unui ansamblu de auto-fixare in domeniul automotive, student ANDRONIC Francesco, master SCCCDP, iulie 2023</t>
  </si>
  <si>
    <t>Tehnici CAD-CAE utilizate în proiectarea unei matrițe de îndoire, studentă CIOROGARU Andrada-Florinela, master SCCCDP, iulie 2023</t>
  </si>
  <si>
    <t>Studiul si proiectarea unei linii de transfer automate si de selectie a pieselor, BĂLTEANU Alin, master SCCCDP, iulie 2023</t>
  </si>
  <si>
    <t>Proiectarea asistată a unei matrițe de îndoire necesare realizării reperului în "Element suport", studentă DĂNILĂ Mădălina-Raluca, master SCCCDP, iulie 2023</t>
  </si>
  <si>
    <t>Proiectarea unei matrițe combinate de ștanțare și ambutisare pentru reperul “apărătoare telescop, student DRAGOȘ Bogdan Andrei, master SCCCDP, iulie 2023</t>
  </si>
  <si>
    <t>Proiectarea asistata de calculator a unei matrite de injectie pentru realizare reperului "cutie de medicamente", studentul LAUFCEAC Radu, master SCCCDP, iulie 2023</t>
  </si>
  <si>
    <t>Proiectarea asistată de calculator a unei matrițe de îndoire a unei platbande, studentă LAZĂR Maria Cristina, master SCCCDP, iulie 2023</t>
  </si>
  <si>
    <t>Analiza frecvențelor proprii ale elementului de fixare din componența testelor la vibrații în industria automotive conform ISO 16750-3, student SOARE Bogdan Constantin, master SCCCDP, iulie 2023</t>
  </si>
  <si>
    <t>Studiul si proiectarea unui amortizor cu ajustaj pe ambele sensuri, student ROMAN Ionel, master SMA, iulie 2023</t>
  </si>
  <si>
    <t>Proiectarea asistată de calculator a unei matrițe aferente reperului ”Corp protecție", studentă CÂRCEANU Diana, master STIF, iulie 2023</t>
  </si>
  <si>
    <t>Proiectarea asistată de calculator a unei matrițe de îndoire necesare realizării reperului “Suport cabluri electrice”. Verificarea folosind metoda elementului finit a unui reper din componența matriței., studentă GREAVU Maria Florina, master STIF, iulie 2023</t>
  </si>
  <si>
    <t>Proiectarea asistată de calculator a unei matrițe aferente reperului ”Apărătoare praf", studentă PASCU Diana Maria, master STIF, iulie 2023</t>
  </si>
  <si>
    <t>Proiectarea asistată de calculator a unui cadru de bicicletă. Simularea comportării mecanice a acestuia folosind metoda elementului finit, studentă MÂNZAT Amelia Camelia, master STIF, iulie 2023</t>
  </si>
  <si>
    <t>DOBRESCU ALINA-TEODORA, Crearea și proiectarea constructivă a unei familii de modele pentru produsul „bluză pentru femei cu închidere asimetrică”, licenta IEI</t>
  </si>
  <si>
    <t>MURĂRESCU SORINA-MARIA, Crearea și proiectarea tehnologică a unei familii de modele pentru produsul „fustă de blugi pentru femei” în cantitate zilnică, totală, de 540 buc., licenta IEI</t>
  </si>
  <si>
    <t>Baluta Marius, Întocmirea documentatiei de proiectare a unei firme de confectii marochinărie în care să se realizeze o cantitate de 480 de bucăti/zi portofele din piele naturală, licenta TTC</t>
  </si>
  <si>
    <t>Tudoroiu Iuliana, Elaborarea documentatiei de proiectare necesare realizării a 48 perechi / 8 ore, pantofi pentru bărbati din piele naturală, licenta TTC</t>
  </si>
  <si>
    <t>Cristea Simona Georgiana,Proiectarea constructiv-tehnologică a unui articol de încăltaminte sport pentru bărbati
în cantitatea de 250 buc/8 ore, Licenta TTC</t>
  </si>
  <si>
    <t>Drută Iulian Florin, Realizarea documenta iei tehnice necesară producerii lunare a 5500 bucăti veste pentru bărbati, Licenta TTC</t>
  </si>
  <si>
    <t>CHIRCULESCU Flavius-Aurelian, Elaborarea documentației tehnice necesară realizării lunare a 5880 perechi bocanci pentru jandarmi, licență TTC</t>
  </si>
  <si>
    <t>POP Andreea-Lorena, Proiectarea constructiv-tehnologică a 300 buc/8 ore sacouri necăptușite pentru bărbați, licență TTC</t>
  </si>
  <si>
    <t>STANI Maria, Proiectarea constructiv-tehnologică a unui compleu pentru bărbați format din vestă și pantaloni, în cantitate totală de 1020 buc./săptămână, licență TTC</t>
  </si>
  <si>
    <t>VLAD Iulia-Măriuca, Proiectarea constructiv-tehnologică a 7308 buc./lună pantaloni pentru bărbați, destinați sezonului de iarnă, licență TTC</t>
  </si>
  <si>
    <t>BODEA Vasile-Marius, Proiectarea constructiv-tehnologică a hanoracului de traning pentru bărbați, în cantitate zilnică de 240 buc, licență IEI</t>
  </si>
  <si>
    <t>DORCA Bianca-Gabriela, Proiectarea constructiv-tehnologică a  rochiei pentru femei din imitație de piele,  în cantitate zilnică de 100 buc., licență IEI</t>
  </si>
  <si>
    <t>DUMITRU Adriana-Patricia, Proiectarea tehnologică a unei comenzi de 1000 bucăți/săptămână veste pentru bărbați cu motive tradiționale brodate, licență IEI</t>
  </si>
  <si>
    <t>MĂRCULESCU Cristian, Proiectarea tehnologică a trei modele de pantaloni de trening pentru bărbați, în cantitate totală de 192 buc/8h, licență IEI</t>
  </si>
  <si>
    <t>INCZEFI Eva, Obținerea suprafețelor optime ale broderiilor, disertație OTT</t>
  </si>
  <si>
    <t>Soluții privind cresterea productivitatii produsului led ambiental.Frunza Stefana, master</t>
  </si>
  <si>
    <t>Pădure Alin Mihai, Study, design and optimization of an automatic sorting station with electropneumatic actuation, Mec eng</t>
  </si>
  <si>
    <t>Îmbunătățirea parametrilor tehnico-economici ai standului pentru testarea motoarelor electrice din unitățile de frânare, Mec</t>
  </si>
  <si>
    <t>Cîrstea Amalia-Diana, Studiul și proiectarea unei stații de sortare comandată prin automat programabil, Mec</t>
  </si>
  <si>
    <t>Dorobete Ioana-Bianca, Îmbunătățirea parametrilor tehnico-economici ai standului pentru testarea valvelor pneumatice, Mec</t>
  </si>
  <si>
    <t>Nicodin George Cătălin, Studiul și proiectarea unui sistem pentru gravarea pieselor din materiale plastice, Mec</t>
  </si>
  <si>
    <t>PARAU IONUT-VALENTIN, Studiul și proiectarea sistemelor de automatizare  pentru “Casa inteligentă”, Mec</t>
  </si>
  <si>
    <t>Bobocea Catalin-Cristian, Proiectarea constructivă a unei matrițe combinate de ambutisare, îndoire și decupare, mSCCDP</t>
  </si>
  <si>
    <t>Morariu Timotei, Studiul și proiectarea unui sistem integrat pentru automatizarea procesului de sortare cu ajutorul unui robot Fanuc, mSMA</t>
  </si>
  <si>
    <t>Bâlc Daniel, Studiul privind îmbunătățirea unităților de frânare, mSMA</t>
  </si>
  <si>
    <t>Albăstroiu Elana-Alexandra, Să se proiecteze tehnologic husa pentru scaunul din față stânga, șezut (CAV), în cantitate totală de 6720 buc./lună, pentru modelul de autoturism AUDI A4 B9 -IEI- Licenta iulie_ 2023</t>
  </si>
  <si>
    <t>Comsulea Ana Maria, Să se realizeze documentația tehnologică de realizare a spătarului scaunului din față stânga pentru Volkswagen Touareg în cantitate de 4200 de buc/lună. -IEI- Licenta iulie_ 2023</t>
  </si>
  <si>
    <t>Floroiu Elena - Narcisa,Realizarea documentației tehnice de proiectare constructivă și tehnologică, pentru obținerea a 9108 buc / lună, rochii tricotate pentru femei. -IEI- Licenta iulie_ 2023</t>
  </si>
  <si>
    <t>Muntiu Andreea-Maria,Să se proiecteze o secție de tricotat utilată cu 6 mașini circulare de tricotat „TERROT UCC 594-M” care să realizeze tricot tubular metraj. -IEI- Licenta iulie_ 2023</t>
  </si>
  <si>
    <t>Otoiu Elena - Iulia,Întocmirea documentației de proiectare constructivă și tehnologică pentru un model de rochie tricotată, în cantitate totală de 3528 bucăți / lună -IEI- Licenta iulie_ 2023</t>
  </si>
  <si>
    <t>Răvasi Milena-Maria,Proiectarea constructiv-tehnologică a vestei tricotate pentru bărbați în cantitate totală de 7434 bucăți / lună  -IEI- Licenta iulie_ 2023</t>
  </si>
  <si>
    <t>Apostolescu Marian-Cosmin, Elaborarea documentaţiei de proiectare constructivă şi tehnologică necesară pentru realizarea într-o lună, a 69300 perne de airbag, pentru modelul de autoturism BMW 35 UP ECE -TTC- Licenta iulie_ 2023</t>
  </si>
  <si>
    <t>Spiridon Ionut Alexandru, Întocmirea documentației de proiectare, în vederea realizării a două modele
de pulovere pentru bărbați în cantitate de 2940 buc / lună. -IEI_Licenta martie 2023</t>
  </si>
  <si>
    <t>CĂLĂU S. RALUCA-ALEXANDRA, Axa numerica de translație pentru un strung CNC de tip OMAP, licenta SPD</t>
  </si>
  <si>
    <t>Udrea Dumitru-Eduard, Optimizarea constructiva a unui sistem de deformare cu bacuri plane, disertatie mSCCC</t>
  </si>
  <si>
    <t>ARMĂŞOIU D. M. ANDREI-NICOLAE, Dezvoltarea și implementarea unui robot autonom pentru curățarea eficientă a panourilor fotovoltaice, licenta ROB</t>
  </si>
  <si>
    <t>Ienciu Andrei, Studiul proiectarea si realizarea unui robot urmaritor de linie, licenta MEC</t>
  </si>
  <si>
    <t>Vogel Carol, The study and development of a robotic arm with pneumatic cleaning, licenta MECE</t>
  </si>
  <si>
    <t>RAMBELA Georgiana Iuliana,Studiu cu privire la îmbunătățirea calității unui proces din cadrul unei organizații industriale. Proiectarea tehnologiei de fabricație și a SDV-urilor necesare execuției unui reper din cadrul organizației alese, licenta TCM.</t>
  </si>
  <si>
    <t>MIHĂESCU Maria Timeea, Îmbunătățirea calității procesului de evaluare a riscurilor într-un departament din cadrul unei organizații industriale. Proiectarea tehnologiei de fabricație și a SDV-urilor necesare execuției unui reper din cadrul organizației alese, licenta TCM</t>
  </si>
  <si>
    <t>NEMEȘ Andrei Ștefan, Studiul și proiectarea unui proces tehnologic de fabricație a reperului ”bucșă”, licenta TCM</t>
  </si>
  <si>
    <r>
      <rPr>
        <rFont val="Arial Narrow"/>
        <color theme="1"/>
        <sz val="10.0"/>
      </rPr>
      <t xml:space="preserve">Banciu I.V. Ioan Teodor - </t>
    </r>
    <r>
      <rPr>
        <rFont val="Arial Narrow"/>
        <i/>
        <color theme="1"/>
        <sz val="10.0"/>
      </rPr>
      <t>Studiul și modelarea unui sistem de suspensie hidraulică</t>
    </r>
    <r>
      <rPr>
        <rFont val="Arial Narrow"/>
        <color theme="1"/>
        <sz val="10.0"/>
      </rPr>
      <t xml:space="preserve"> - Licență (SPD)</t>
    </r>
  </si>
  <si>
    <r>
      <rPr>
        <rFont val="Arial Narrow"/>
        <color theme="1"/>
        <sz val="10.0"/>
      </rPr>
      <t xml:space="preserve">Scorțaru M. Diana Maria - </t>
    </r>
    <r>
      <rPr>
        <rFont val="Arial Narrow"/>
        <i/>
        <color theme="1"/>
        <sz val="10.0"/>
      </rPr>
      <t>Studiul și proiectarea unui dispozitiv de îndoit țevi</t>
    </r>
    <r>
      <rPr>
        <rFont val="Arial Narrow"/>
        <color theme="1"/>
        <sz val="10.0"/>
      </rPr>
      <t xml:space="preserve"> - Licență (SPD)</t>
    </r>
  </si>
  <si>
    <t>Micu Alexis-Andrei, Study and Design of a Smart Vacuum Cleaner Robot, Licenta Mec eng</t>
  </si>
  <si>
    <t>Cirstoiu David Samuel, Studiul si proiectarea unui sistem de tip "Pick and Place", Licenta Mec</t>
  </si>
  <si>
    <t>Cretu Emilia,Studiul si proiectarea unui sistem automat de sortare, Licenta Mec</t>
  </si>
  <si>
    <t>Opriș Gheorghe Florin, PStudiul și proiectarea unui robot pentru monitorizarea mediului înconjurător, Licenta Mec</t>
  </si>
  <si>
    <t>BALTEŞ D. CRISTIAN, Studiul si proiectarea a două sisteme utilizând actuatoare musculare, Licenta Rob</t>
  </si>
  <si>
    <t>POPESCU I. M. IOANA-ALEXANDRA, Studiul si proiectarea sistemului de măsurare Schlagtest, Licenta Rob</t>
  </si>
  <si>
    <t>PREOTEASA N. CONSTANTIN-ROBERTO, Studiul și proiectarea unui robot autonom pentru tuns gazonuli, Licenta Rob</t>
  </si>
  <si>
    <t>RITIVOIU N. I. NICOLAE-SILVIU, Studiul, proiectarea si realizarea unui sistem flexibil pentru testarea unor senzori de presiune, Licenta Rob</t>
  </si>
  <si>
    <t>Istrate-Pătru Adela, SStudiul fluxului de fabricație pentru o piesă vulcanizată, Master SCCCDP</t>
  </si>
  <si>
    <t>Morar Nadia-Maria,Utilizarea tehnicilor CAD-CAE la proiectarea unui tocător pentru deșeuri de plastic,  Master SCCCDP</t>
  </si>
  <si>
    <t>Popa O. Ilie Marian, Studiul privind evaluarea riscurilor la introducerea unui robot într-o celula flexibila de fabricație, Master SMA</t>
  </si>
  <si>
    <t>Bleoca Lucia Marian, Proiectarea si realizarea unei imprimante 3D, Master SMA</t>
  </si>
  <si>
    <t>BORZEA Sorina Georgiana, STUDIUL ȘI PROIECTAREA UNUEI MATRIȚE DE INJECȚIE, Master SMA</t>
  </si>
  <si>
    <t>Cherciu Iulia Maria, STUDIUL UNUI DISPOZITIV DE PRINDERE si ORIENTARE A REPERELOR ASAMBLATE PRIN SUDARE, Master SMA</t>
  </si>
  <si>
    <t>Cretu Catalin, Studiul unui dispozitiv pentru asamblarea finala a sistemului de prindere pe caroserie a senzorului de reglare pe nivel al farurilor, Master SMA</t>
  </si>
  <si>
    <t>Gîlea Ioan Sebastian, Studiul si proiectarea unui sistem flexibil de sortare cu robot colaborativ, Master SMA</t>
  </si>
  <si>
    <t>Muntean Maria Nicoleta, Studiul sistemului de fabricație utilizat pentru un reper de tip arbore, Master SMA</t>
  </si>
  <si>
    <t>Pridie Ceridian-Atanasie, Studiul unui controller de tip 6dct250 pentru transmisia automata a autovehiculului, Master SMA</t>
  </si>
  <si>
    <t>Vasiu Adrian, Proiectarea și automatizarea unui sistem de colectare a energiei solare cu ajutorul panourilor fotovoltaice, Master SMA</t>
  </si>
  <si>
    <t>BĂROIU V. VASILE-ILIE, Studiul și proiectarea  matrițe de injecție a padelelor auto, Licenta SPD</t>
  </si>
  <si>
    <t>CIOROGARIU D. A. RAREŞ-IULIAN, Proiectarea unei mașinii de îndreptat și debitat bare, Licenta SPD</t>
  </si>
  <si>
    <t>CIUN M. M. DRAGOŞ, Proiectarea unei prese pentru îndoit table, Licenta SPD</t>
  </si>
  <si>
    <t>Iordache Andrei, Proiectarea unei matrițe de injecție pentru reperul Suport și îmbunătățirea acesteia prin modificarea sistemului de injecție, Licenta TCM</t>
  </si>
  <si>
    <t>Dan Alexandru, Proiectarea și dezvoltarea unui braț robotic în domeniul proteticii biomedicale, Licenta MR</t>
  </si>
  <si>
    <t>Grovu Radu Dumitru, Dispozitiv de reabilitare a mâinii utilizând actuatori soft, Licenta MR</t>
  </si>
  <si>
    <t>Ienciu Fabian, Proiectarea unei matrițe de injecție cu senzori pentru canal cabluri, Licenta MR</t>
  </si>
  <si>
    <t>Pătrașcu Dumitru-Mădălin, Studiul si proiectarea unui stand de asamblare pentru componentele pneumatice, Licenta MR</t>
  </si>
  <si>
    <t>Boran Andrei, Automated plants watering and illuminating system, Licenta MREng</t>
  </si>
  <si>
    <t>Constantinescu Marius, Study and design of an automatic feeding and watering system for small animals, Licenta MREng</t>
  </si>
  <si>
    <t>Murat HorozStage and design of a tyre handling device, Licenta MREngl</t>
  </si>
  <si>
    <t>Muntean Adrian-Nicolae, Artificial joint reproducing hand movement, MREng</t>
  </si>
  <si>
    <t>Ciungu Andrei-Florin, Studiul si proiectarea unui stand de extrudare hidrostatica, Master SCCCDP</t>
  </si>
  <si>
    <t>Dumitru Dan-Andrei, Sisteme inteligente de fabricație- mașini, unelte cu comandă numerică,  Master SCCCDP</t>
  </si>
  <si>
    <t>Miron Vasile-Adrian, Studiul și modelarea unui stand pentru rularea cu bacuri plane, Master SCCCDP</t>
  </si>
  <si>
    <t>Ţăranu Liviu- Lucian, Modelarea unui mecanism de deformare plastica avand
la baza acestuia miscarea principala radial rotativa, Master SCCCDP</t>
  </si>
  <si>
    <t>Prof.dr.ing. Nicolae COFARU, Ș.l.dr.ec.ing.Oana DUMITRAŞCU</t>
  </si>
  <si>
    <t>Mitoc Maria-Daniela, Proiectarea tehnologiei de execuție și a unor SDV-uri aferente reperului suport port rulment. Fezabilitatea unei investiții în producție. Licenta IEDM</t>
  </si>
  <si>
    <t>Andreescu Dragoș Florian - Elaborarea documentației tehnice pentru realizarea produsului airbag lateral (side-airbag) destinat modelului de autoturism BMW i20, producție lunară de 66150 bucăți , licență TTC</t>
  </si>
  <si>
    <t>Nicolaescu Robert C-tin - Realizarea documentației tehnice necesară producerii lunare în trei schimburi a 19530 bucăți perne airbag pentru șofer destinate autoturismului marca PEUGEOT, model PSA K0 41 NEW , licență TTC</t>
  </si>
  <si>
    <t>Scutariu Raluca Elena - Realizarea documentației tehnice necesară producerii de articole de marochinărie tip geantă pentru femei, în cantitate de 680 bucați/lună, licență TTC</t>
  </si>
  <si>
    <t>Vlad Iulia Măriuca - Proiectarea constructiv-tehnologică a 7308 buc./lună pantaloni pentru bărbați, destinați sezonului de iarnă, licență TTC</t>
  </si>
  <si>
    <t>Lupoaica Florina-Bianca - Proiectarea unei secții de producție specializată în confecționarea rochiilor pentru femei,  licență IEI martie</t>
  </si>
  <si>
    <t>Vitioanu Patricia Elena - Elaborarea documentației de proiectare tehnologică pentru realizarea unui model de pantaloni clasici masculini, licență IEI</t>
  </si>
  <si>
    <t>Pană Paul Vasile - Studiu cu privire la îmbunătățirea funcționării unui panou de climă utilizat pentru autoturisme din clasa medie de la Marquardt Schaltsysteme Sibiu. Proiectarea tehnologiei de fabricație și a SDV-urilor necesare execuției unui reper de la Marquardt Schaltsysteme Sibiu.</t>
  </si>
  <si>
    <t>Gaston Maria Cristina - Elemente de proiectare a protezelor de șold. Proiectarea tehnologiei de fabricație și a unor SDV-uri pentru reperul Flanșă GM 2023-00</t>
  </si>
  <si>
    <t>Mărginean Finias Lucian - Studiu de trafic în centrul Municipiului Sebeș. Probleme și soluții.</t>
  </si>
  <si>
    <t xml:space="preserve"> Donea Marcel - Studiu de trafic pe Transalpina. Probleme și soluții.</t>
  </si>
  <si>
    <t>Vasiu Rluca Ioana - Imbunătățirea activității unui depozit in cadrul companiei Fritzmeier Engineering Sibiu. Optimizarea sistemului informatic.</t>
  </si>
  <si>
    <t>CHIȘIU I. VALENTIN NELUȚU - Analia privind reabilitarea conductelor si bransamentelor din sistemul de distributie gaze naturale</t>
  </si>
  <si>
    <t>DAVID A. ALEXANDRU - ALIN - Analiza privind sistemul de transport gaze naturale</t>
  </si>
  <si>
    <t>MOTOTOLEA T. ANDREI -Analiza privind conditionarea gazelor naturale</t>
  </si>
  <si>
    <t>Prodea Laurențiu, Isarie Claudiu</t>
  </si>
  <si>
    <t>PRUNEAN C. I. RAREȘ-CIPRIAN - Analiza privind utilizarea compresoarelor in activitatea de inmagazinare</t>
  </si>
  <si>
    <t>VLAD ALEXANDRA MARIA -Proiectarea unei conducte de transport gaze naturale in regim godevilabil</t>
  </si>
  <si>
    <t>Prodea Laurențiu, Lupu Diana</t>
  </si>
  <si>
    <t>BLEAHU DENIS MARIUS - Proiectarea unei lucrări geologo-tehnologice într-o sondă de extracție în vederea optimizării producției de gaze naturale</t>
  </si>
  <si>
    <t>ROȘCA Nicolae-Adrian , Proiectarea unei stații de reglare măsurare gaze naturale,/licenta TDDH</t>
  </si>
  <si>
    <t>Miclea Paul Antonio, an IV TDDH, FR , Proiectarea unei stații de uscare a gazelor naturale,/licenta TDDH- FR</t>
  </si>
  <si>
    <t>Ciolac Claudiu Ciprian, an IV TDDH, FR , Proiectarea unei stații de reglare măsurare a gazelor naturale,/licenta TDDH- FR</t>
  </si>
  <si>
    <t>Prof.univ.dr. Dănuț DUMITRAȘCU</t>
  </si>
  <si>
    <t>MIHUCZ Annamaria, Tehnologia și SDV-urile necesare fabricației reperului ”Placă de fixare”. Managementul proiectului de îmbunătățire a unei linii de fabricație. Licenta, IEDM</t>
  </si>
  <si>
    <t>RADU Armina Ștefania, Proiectarea procesului tehnologic și a SDV-urilor necesare prelucrării piesei „BUCȘĂ”, desen nr. IEDM.441.1.12. 2. Îmbunătăţirea calităţii serviciilor furnizate de o firmă specializată în protezare, prin implementarea tehnologiei informaţiei. Licenta, IEDM</t>
  </si>
  <si>
    <t>Buica Cristian, Managementul proiectului de relocare a unor linii de producție. Master MAI</t>
  </si>
  <si>
    <t>Hera Daniel, Optimizarea consumurilor și creşterea eficienţei muncii într-o firmă de producție. Master MAI</t>
  </si>
  <si>
    <t>Pîrîeală Răzvan-Gabriel, Managementul proiectului de îmbunătățire calitativă a producției. Studiu de caz pentru o firmă specializată în debitarea cu laser. Master MC</t>
  </si>
  <si>
    <t>Stroia Adelina Ioana, Îmbunătăţirea calităţii unui produs fabricat într-o companie din domeniul automotive prin aplicarea Metodei 6 Sigma. Master MC</t>
  </si>
  <si>
    <t>Giurea Ramona, Îmbunătățirea procesului de evaluare a aspectelor de mediu generate de structurile agroturistice. Master MP</t>
  </si>
  <si>
    <t>Ciuca Ilie, Tehnologia și SDV-urile necesare fabricației reperului ”Niplu de reducție U16/U13”. Dezvoltarea unei noi linii de producție pentru conectori industriali în cadrul unei organizații din domeniul auto, licenta IEDM ID</t>
  </si>
  <si>
    <t>Botizan Dorotheea, Tehnologia si SDV-urile necesare executiei reperului ”ax pinion 11-43-083”. Managementul unui proiect de dezvoltare in domeniul logistic., licenta IEDM ID</t>
  </si>
  <si>
    <t>Serban Ancuta Mioara, Proiectarea procesului tehnologic și a SDV-urilor necesare executiei reperului ”Bucșa elastică”. Managementul proiectului de amenajare și punere în funcțiune a unui atelier specializat pentru operația de honuire., licenta IEDM ID</t>
  </si>
  <si>
    <t>Micu Ionela, Managementul proiectelor de imbunatatire a performantei sistemului educational, Master Management Educational</t>
  </si>
  <si>
    <t>Ivanescu Mihaela, Managementul proiectelor aplicat in perfectionarea resursei umane din invatamant., Master Management Educational</t>
  </si>
  <si>
    <r>
      <rPr>
        <rFont val="Arial Narrow"/>
        <color theme="1"/>
        <sz val="10.0"/>
      </rPr>
      <t xml:space="preserve">BUCȘĂ ALINA ANDREEA, Proiectarea tehnologiei de fabricație și a SDV-uri aferente reperului REPER - CAPAC. Studiu de oportunitate privind dezvoltarea societății comerciale BOSCH prin deschiderea unei secții de vopsitorie, </t>
    </r>
    <r>
      <rPr>
        <rFont val="Arial Narrow"/>
        <i/>
        <color theme="1"/>
        <sz val="10.0"/>
      </rPr>
      <t>licență, IV IEDM</t>
    </r>
  </si>
  <si>
    <r>
      <rPr>
        <rFont val="Arial Narrow"/>
        <color theme="1"/>
        <sz val="10.0"/>
      </rPr>
      <t xml:space="preserve">NEGULEIU NICOLETA IOANA, Proiectarea tehnologiei de fabricație și a unor SDV-uri aferente reperului PLACĂ. Studiu privind oportunitatea dezvoltării societății comerciale Harting Manufacturing SCS Sibiu prin crearea unei zone de audit în secția injecție mase plastice, </t>
    </r>
    <r>
      <rPr>
        <rFont val="Arial Narrow"/>
        <i/>
        <color theme="1"/>
        <sz val="10.0"/>
      </rPr>
      <t>licență, IV IEDM</t>
    </r>
  </si>
  <si>
    <r>
      <rPr>
        <rFont val="Arial Narrow"/>
        <color theme="1"/>
        <sz val="10.0"/>
      </rPr>
      <t xml:space="preserve">Socaci Andreea-Teodora, Proiectarea tehnologiei de fabricație și a unor SDV-uri aferente reperului BUCȘĂ. Studiu de oportunitate privind înființarea unei afaceri în județul Sibiu, </t>
    </r>
    <r>
      <rPr>
        <rFont val="Arial Narrow"/>
        <i/>
        <color theme="1"/>
        <sz val="10.0"/>
      </rPr>
      <t>licență, IV IEDM</t>
    </r>
  </si>
  <si>
    <r>
      <rPr>
        <rFont val="Arial Narrow"/>
        <color theme="1"/>
        <sz val="10.0"/>
      </rPr>
      <t xml:space="preserve">Vestemean Flavia-Maria, Proiectarea tehnologiei de fabricație și a unor SDV-uri aferente reperului PÂRGHIE. Studiu privind oportunitatea înființării unei afaceri în județul Sibiu, </t>
    </r>
    <r>
      <rPr>
        <rFont val="Arial Narrow"/>
        <i/>
        <color theme="1"/>
        <sz val="10.0"/>
      </rPr>
      <t>licență, IV IEDM</t>
    </r>
  </si>
  <si>
    <r>
      <rPr>
        <rFont val="Arial Narrow"/>
        <color theme="1"/>
        <sz val="10.0"/>
      </rPr>
      <t>Plesca Denisa-Maria, Proiectarea tehnologiei de fabricație și a unor SDV-uri aferente reperului ARBORE. Cercetare pe bază de chestionar în vederea identificării opiniei studenților și elevilor de liceu asupra specializării Inginerie economică în domeniul mecanic (IEDM) din cadrul Facultății de Inginerie, Sibiu, l</t>
    </r>
    <r>
      <rPr>
        <rFont val="Arial Narrow"/>
        <i/>
        <color theme="1"/>
        <sz val="10.0"/>
      </rPr>
      <t>icență, IV IEDM</t>
    </r>
  </si>
  <si>
    <r>
      <rPr>
        <rFont val="Arial Narrow"/>
        <color theme="1"/>
        <sz val="10.0"/>
      </rPr>
      <t xml:space="preserve">BÎLEA Andrea Florentina, Proiectarea tehnologiei de fabricație și a SDV-urilor aferente reperului ”PLACĂ DE GHIDARE”. Studiu privind oportunitatea înființării unei afaceri în domeniul serviciilor în orașul Blaj, </t>
    </r>
    <r>
      <rPr>
        <rFont val="Arial Narrow"/>
        <i/>
        <color theme="1"/>
        <sz val="10.0"/>
      </rPr>
      <t>licență, IV IEDM</t>
    </r>
  </si>
  <si>
    <r>
      <rPr>
        <rFont val="Arial Narrow"/>
        <color theme="1"/>
        <sz val="10.0"/>
      </rPr>
      <t xml:space="preserve">Albăstroiu Elena-Alexandra, Implementarea unui sistem de management al calității în SC Faurecia din Sibiu, </t>
    </r>
    <r>
      <rPr>
        <rFont val="Arial Narrow"/>
        <i/>
        <color theme="1"/>
        <sz val="10.0"/>
      </rPr>
      <t>licență, IV IEI</t>
    </r>
  </si>
  <si>
    <r>
      <rPr>
        <rFont val="Arial Narrow"/>
        <color theme="1"/>
        <sz val="10.0"/>
      </rPr>
      <t xml:space="preserve">BODEA Vasile-Marius, Studiu privind oportunitatea înființării unei afaceri în domeniul producției de hanorace pentru bărbați, </t>
    </r>
    <r>
      <rPr>
        <rFont val="Arial Narrow"/>
        <i/>
        <color theme="1"/>
        <sz val="10.0"/>
      </rPr>
      <t>licență, IV IEI</t>
    </r>
  </si>
  <si>
    <r>
      <rPr>
        <rFont val="Arial Narrow"/>
        <color theme="1"/>
        <sz val="10.0"/>
      </rPr>
      <t xml:space="preserve">COMŞULEA Ana-Maria, Managementul proiectului aplicat planificării înființării unei afaceri, </t>
    </r>
    <r>
      <rPr>
        <rFont val="Arial Narrow"/>
        <i/>
        <color theme="1"/>
        <sz val="10.0"/>
      </rPr>
      <t>licență, IV IEI</t>
    </r>
  </si>
  <si>
    <r>
      <rPr>
        <rFont val="Arial Narrow"/>
        <color theme="1"/>
        <sz val="10.0"/>
      </rPr>
      <t xml:space="preserve">DOBRESCU Alina-Teodora, Cercetare de marketing privind opinia consumatorilor asupra achiziționării de produse locale tradiționale în detrimentul celor industriale, </t>
    </r>
    <r>
      <rPr>
        <rFont val="Arial Narrow"/>
        <i/>
        <color theme="1"/>
        <sz val="10.0"/>
      </rPr>
      <t>licență, IV IEI</t>
    </r>
  </si>
  <si>
    <r>
      <rPr>
        <rFont val="Arial Narrow"/>
        <color theme="1"/>
        <sz val="10.0"/>
      </rPr>
      <t xml:space="preserve">FLOROIU Elena-Narcisa, Studiu privind oportunitatea înființării unei afaceri în domeniul tricotajelor în orașul Sibiu, </t>
    </r>
    <r>
      <rPr>
        <rFont val="Arial Narrow"/>
        <i/>
        <color theme="1"/>
        <sz val="10.0"/>
      </rPr>
      <t>licență, IV IEI</t>
    </r>
  </si>
  <si>
    <r>
      <rPr>
        <rFont val="Arial Narrow"/>
        <color theme="1"/>
        <sz val="10.0"/>
      </rPr>
      <t xml:space="preserve">MĂRCULESCU Cristian, Plan de afaceri privind înființarea unei firme în domeniul articolelor sportive – pantaloni de trening, </t>
    </r>
    <r>
      <rPr>
        <rFont val="Arial Narrow"/>
        <i/>
        <color theme="1"/>
        <sz val="10.0"/>
      </rPr>
      <t>licență, IV IEI</t>
    </r>
  </si>
  <si>
    <r>
      <rPr>
        <rFont val="Arial Narrow"/>
        <color theme="1"/>
        <sz val="10.0"/>
      </rPr>
      <t xml:space="preserve">MUNTIU Andreea-Maria, Studiu de oportunitate privind dezvoltarea firmei BekaertDeslee Romania SRL Miercurea Sibiului prind deschiderea unui depozit, </t>
    </r>
    <r>
      <rPr>
        <rFont val="Arial Narrow"/>
        <i/>
        <color theme="1"/>
        <sz val="10.0"/>
      </rPr>
      <t>licență, IV IEI</t>
    </r>
  </si>
  <si>
    <r>
      <rPr>
        <rFont val="Arial Narrow"/>
        <color theme="1"/>
        <sz val="10.0"/>
      </rPr>
      <t xml:space="preserve">MURĂRESCU Sorina-Maria, Plan de afaceri pentru înființarea unei pensiuni, </t>
    </r>
    <r>
      <rPr>
        <rFont val="Arial Narrow"/>
        <i/>
        <color theme="1"/>
        <sz val="10.0"/>
      </rPr>
      <t>licență, IV IEI</t>
    </r>
  </si>
  <si>
    <r>
      <rPr>
        <rFont val="Arial Narrow"/>
        <color theme="1"/>
        <sz val="10.0"/>
      </rPr>
      <t xml:space="preserve">Oțoiu Elena Iulia,  Studiu de fezabilitate privind oportunitatea înființării unei afaceri în domeniul zborurilor de agrement, </t>
    </r>
    <r>
      <rPr>
        <rFont val="Arial Narrow"/>
        <i/>
        <color theme="1"/>
        <sz val="10.0"/>
      </rPr>
      <t>licență IV IEI</t>
    </r>
  </si>
  <si>
    <r>
      <rPr>
        <rFont val="Arial Narrow"/>
        <color theme="1"/>
        <sz val="10.0"/>
      </rPr>
      <t>Răvași Milena-Maria Studiu de fezabilitate privind oportunitatea înființării unei afaceri în domeniul textil,</t>
    </r>
    <r>
      <rPr>
        <rFont val="Arial Narrow"/>
        <i/>
        <color theme="1"/>
        <sz val="10.0"/>
      </rPr>
      <t xml:space="preserve"> licență IV IEI</t>
    </r>
  </si>
  <si>
    <t>Pintilie Marinica / Îmbunătățirea calității în învățământul preuniversitar</t>
  </si>
  <si>
    <t>Hoadrea Codruta / Managementul calitatii in santierele de construcții - Studiu de caz in santierul de construcții civile și industriale</t>
  </si>
  <si>
    <t>IORDAN Milena Mariana/Reducerea costurilor aferente proceselor suport într-o organizație din domeniul auto. Proiectarea tehnologiei de execuție și a unor SDV-uri aferente reperului placă laterală./   licenta IEDM</t>
  </si>
  <si>
    <t xml:space="preserve">BÂSCĂ Gabriela/Dezvoltarea unui model de sistem energetic din surse regenerabile într-o pensiune agroturistică/ licenta IPMI </t>
  </si>
  <si>
    <t xml:space="preserve">ROTUNJANU Alexandra Georgiana/ Dezvoltarea unui model de ameliorare a aspectelor de mediu într-o companie din domeniu auto/ licenta IPMI </t>
  </si>
  <si>
    <t>Jabin Paula/ Studiu privind reducerea numărului de rebuturi pe o linie de producţie din domeniul automotive utilizând metode de management al calităţii/ disertatie MAI</t>
  </si>
  <si>
    <t>ANDREI-STEFAN OANCEA / ÎMBUNĂTĂȚIREA PROCESULUI DE GESTIUNE A RECLAMAȚIILOR
INTERNE DIN PRODUCȚIE/ disertatie MAI</t>
  </si>
  <si>
    <t>Macarie Ion Daniel/ Îmbunătățirea calității servicilor în domeniul transporturilor de persoane pe calea ferată/ disertatie MAI</t>
  </si>
  <si>
    <t>Buleci Alexandru Eduard/ Studiu cu privire îmbunătățirea calității unui proces de fabricație într-o organizatie din domeniul automotive/ disertatie MAI</t>
  </si>
  <si>
    <t>RANGA MARIA/ÎMBUNĂTĂȚIREA SISTEMULUI DE MANAGEMENT AL FURNIZORILOR/  disertatie MLI</t>
  </si>
  <si>
    <t>Guță Diana-Adriana/ Îmbunătățirea calității proceselor într-o organizație din domeniul auto/ disertatie MC</t>
  </si>
  <si>
    <t>Bolan Dragoș Iulian/ Ameliorarea amprentei de carbon într-o organizatie din domeniul auto/   disertatie MC</t>
  </si>
  <si>
    <t>Koinok Levente/Proiectarea tehnologiei de execuție și a unor SDV-uri aferente executiei reperului "Placă port-eliminatoare". Studiu privind îmbunătățirea relației cu clientul într-o organizație din domeniul auto./ licenta IEDM-ID</t>
  </si>
  <si>
    <t>Dovan Maria-Luciana/ Proiectarea tehnologiei de execuție și a unor SDV-uri aferente executiei reperului "Placă centrală". Studiu privind îmbunătățirea procesului de management al reclamațiilor de la client într-o organizație din domeniul marochinăriei./ licenta IEDM-ID</t>
  </si>
  <si>
    <t>Popa Roxana-Elena/ Proiectarea tehnologiei de execuție și a SDV-urilor aferente reperului “Arbore”, nr. desen 324.02.12. Studiu privind îmbunătățirea procesului de fabricație pe o linie de producție din cadrul unei organizații din domeniul auto./ licenta IEDM-ID</t>
  </si>
  <si>
    <t>Fuciu Cristina-Maria/ Proiectarea tehnologiei de execuție și a unor SDV-uri aferente reperului "Arbore". Studiu privind îmbunătățirea calității procesului de aprobare a noilor produse/ licenta IEDM-ID</t>
  </si>
  <si>
    <t>FRĂȚILĂ EMIL DANIEL (STIF): Analiza capabilității procesului de fabricație al produsului „Amortizor” din cadrul firmei Thyssenkrupp Bilstein Sibiu.</t>
  </si>
  <si>
    <t>POPESCU VASILE CRISTIAN (MC): C20Analiza comparativă a unor sisteme de inspecție optică automată în cadrul firmei  Continental Automotive Systems Sibiu</t>
  </si>
  <si>
    <t>GHEORGHE IOAN AUGUSTIN (MC): Aplicarea tehnicilor statistice în cadrul firmei HARTING România Manufacturing SCS în vederea îmbunătăţirii calității proceselor de fabricație.</t>
  </si>
  <si>
    <t>PLEȘCA DIANA ELENA (MC): Îmbunătățirea 6 Sigma în cadrul firmei S.C. JAEGGI Industries S.R.L.</t>
  </si>
  <si>
    <t>HORGA BOGDAN DUMITRU(TCM): Analiza statistică a rezultatelor unui proces de măsurare în cadrul firmei HARTING România Manufacturing SCS. Proiectarea tehnologiei de execuţie şi a unor SDV-uri necesare execuţiei reperului "Piston".</t>
  </si>
  <si>
    <t>ȘTEFAN MARIA GABRIELA (TCM): Evaluarea capabilității de măsurare a studenților în cadrul laboratorului de “Toleranțe și control dimensional”. Proiectarea tehnologiei de execuţie şi a unor SDV-uri necesare execuţiei reperului "Flanșă".</t>
  </si>
  <si>
    <t>RADU ANA MARIA (TCM): Analiza capabilității mijloacelor de măsurare în cadrul laboratorului de “Toleranțe și control dimensional”. Proiectarea tehnologiei de execuţie şi a unor SDV-uri necesare execuţiei reperului "Corp".</t>
  </si>
  <si>
    <t>VIRA ANDREI IULIAN (TCM): Evaluarea rugozității suprafețelor materialelor metalice prelucrate prin așchiere. Proiectarea tehnologiei de execuţie şi a unor SDV-uri necesare execuţiei reperului "Placă".</t>
  </si>
  <si>
    <t>UNGUREANU ALEXANDRU DANIEL (TCM): Indicarea și interpretarea toleranțelor de poziție conform ISO 1101:2017. Proiectarea tehnologiei de execuţie şi a unor SDV-uri necesare execuţiei reperului "Arbore"</t>
  </si>
  <si>
    <t>ŢERBEA Laura-Maria / Proiectarea tehnologiei de fabricaţie şi a SDV-urilor aferente execuției reperului ŞURUB CONDUCATOR.
Reproiectarea activităților extracurriculare pentru studenții din Facultatea de Inginerie Sibiu. / LICENTA</t>
  </si>
  <si>
    <t>TĂVALĂ Elena-Mădălina / Proiectarea procesului tehnologic de prelucrare prin așchiere și a SDV-urilor aferente necesare realizării reperului ”Placă suport”.
Echilibrul educație - muncă - viață personală în rândul studenților. / LICENTA</t>
  </si>
  <si>
    <t>URSU Maria-Adela / Proiectarea procesului tehnologic și a unor SDV-uri pentru fabricația a reperului PLACĂ DE BAZĂ.
Îmbunătățirea experienței la locul de muncă în cazul angajaților din industria automotive.. / LICENTA</t>
  </si>
  <si>
    <t>Adelina Puștea / Proiecte cu finanțare externă în România. Studiu de caz: Înființare pensiune agroturistică / DISERTATIE</t>
  </si>
  <si>
    <t>Gîță Maria / Finanțarea start-up-urilor din fonduri europene. Plan de afaceri pentru o firmă cu obiect de activitate “Decorațiuni din hârtie ecologică” / DISERTATIE</t>
  </si>
  <si>
    <t>POPA Maria - Roxana / Managementul proiectelor în domeniul serviciilor / DISERTATIE</t>
  </si>
  <si>
    <t>PETRESE Sorin-Nicolae-Studiu privind oportunitatea înființării unei microîntreprinderi în județul Sibiu</t>
  </si>
  <si>
    <t>VAIDA Teodora-Analiza strategică la S.C. HARTING S.C.S. în vederea identificării posibilităților de îmbunătățire a activității</t>
  </si>
  <si>
    <t>MICU Cristina-Studiu de oportunitate privind înființarea unei microîntreprinderi în domeniul serviciilor</t>
  </si>
  <si>
    <t>URSU Maria-Adela, Proiectarea procesului tehnologic și a unor SDV-uri pentru fabricația a reperului PLACĂ DE BAZĂ.
Îmbunătățirea experienței la locul de muncă în cazul angajaților din industria automotive.</t>
  </si>
  <si>
    <t>MARGA Andrei, Proiectarea procesului tehnologic de fabricație și a SDV-urilor aferente reperului ax cu flanșă. Opinia studentilor de la Facultatea de Inginerie privind oportunitatea implementării unor soft-uri în procesul educațional.</t>
  </si>
  <si>
    <t>MITOC Maria Daniela, Proiectarea tehnologiei de execuție și a unor SDV-uri aferente reperului bucșă port membrană. Fezabilitatea investiției în domeniul producției.</t>
  </si>
  <si>
    <t>CĂPRUCI Mihai Irinel, Proiectarea constructiv-functională a unui dispozitiv elevator pentru autmatizarea liniei de asamblare a comenzilor de volan. Proiectarea tehnologiei de execuție a reperului “Bucșă”</t>
  </si>
  <si>
    <t>UNGUREANU George Petrișor, Proiectarea constructiv-functionala a unui dispozitiv autocentrant utilizat la centrele de prelucrare CNC. Proiectarea tehnologiei de execuție a reperului “Placă intermediară”</t>
  </si>
  <si>
    <t>TOLBARU Constantin Sorin, Proiectarea constructiv-functională a unui dispozitiv de prindere la prelucrările pe strunguri CNC. Proiectarea tehnologiei de execuție a reperului “Corp”</t>
  </si>
  <si>
    <t>MARTIN Antonio, Proiectarea constructiv-funcțională a unui dispozitiv de sudare existent pe linia de asamblare a unui electromagnet auto. Proiectarea tehnologiei de execuție a reperului “Corp de bază”</t>
  </si>
  <si>
    <t>MIHĂESCU (GALMADI) DENISA, Proiectarea constructiva și funcționala a unui stand de asamblare a unor repere din material plastic. Sistem Poka-Yoke de control a asamblarii</t>
  </si>
  <si>
    <t>OPRICĂ ALISIA-ANDRA, Îmbunătățirea procesului de fabricare prin metodologia Six Sigma in fabricarea de cablaje și conectori.</t>
  </si>
  <si>
    <t xml:space="preserve">VLAD DRAGOȘ-MARCEL, Imbunatatirea sistemului de spalare a pieselor prelucrate prin electroeroziune pe linia de productie SERMATEC </t>
  </si>
  <si>
    <t>Cercetarea necesității de înființare a unui centru de colectare prin aport voluntar în zona localității Galicea, CERCEL Nicolae Valentin, Licenta</t>
  </si>
  <si>
    <t>Calculul amprentei de carbon pe durata ciclului de viață a sistemelor fotovoltaice, FLENTEA Răzvan Cătălin, Licenta</t>
  </si>
  <si>
    <t>Evaluarea impactului asupra mediului pentru o instalație de extragere a țițeiului în zona Drăgășani, DRĂGUȚ Ileana Maria, Licenta</t>
  </si>
  <si>
    <t>Eficientizarea consumului energetic pentru o societate comerciala utilizând sistemele automatizate pentru monitorizarea instalațiilor de gaz, Stoica Lavinia-Elena, Disertatie</t>
  </si>
  <si>
    <t>Beju Livia Dana</t>
  </si>
  <si>
    <t xml:space="preserve"> Badescu Mircea, licenta ,  Analiza tehnologiei de execuție și a SDV-urilor necesare execuției reperului „ Carcasă filtru”. Optimizarea tehnologiei prin utilizarea de scule complexe.</t>
  </si>
  <si>
    <t>NISTOR-STOIA Bogdan-Ioan,  licenta, TCM, Contributii privind  construcția și proiectarea sculelor așchietoare pentru retezare. Proiectarea tehnologiei și a SDV-urilor necesare obținerii reperului "Placă"</t>
  </si>
  <si>
    <t>Dragoiu Dorina, Adriana</t>
  </si>
  <si>
    <t>Drăgoiu Dorina Adriana, licenta, Analiza tehnologiei de execuție și a SDV-urilor necesare execuției reperului „capac”. Optimizarea tehnologiei prin utilizarea de scule complexe.</t>
  </si>
  <si>
    <t>Antal Sebastian, licenta,  Analiza tehnologiei de execuție și a SDV-urilor necesare execuției reperului „ Placa”. Analiza și optimizarea operației de frezare  frontală</t>
  </si>
  <si>
    <t xml:space="preserve"> Pretor Ioana, disertatie LI,  Analiza și îmbunătățirea unor fluxuri de documente din cadrul companiei CNCF „CFR”.</t>
  </si>
  <si>
    <t>Călărașu Mircea, disertatie LI, Analiza ș i eficientizarea activităților unei companii farmaceutice</t>
  </si>
  <si>
    <t>Moldovan Cătălin, disertatie LI,  Aspecte actuale legate de  aprovizionarea si prețul gazului metan. Analiza si îmbunătățirea activității unei stații de reglare si măsurare a gazului metan, destinat beneficiarilor finali.</t>
  </si>
  <si>
    <t>Oprișoi Cristian Horațiu, disertatie STIF, Analiza si îmbunătățirea intervențiilor profesioniste pentru stingerea incendiilor la fondul forestier</t>
  </si>
  <si>
    <t>Zoltan Constantin Alin, disertatie STIF, Analiza si îmbunătățirea unei linii de fabricație de la firma SC MATEC CNC TECHNIK SRL</t>
  </si>
  <si>
    <t>Bolovan Razvan Ionel, disertatie STIF, Analiza si îmbunătățirea unei linii de montaj de la firma SIEMENS- SIMEA Sibiu SRL</t>
  </si>
  <si>
    <r>
      <rPr>
        <rFont val="Arial Narrow"/>
        <color theme="1"/>
        <sz val="10.0"/>
      </rPr>
      <t xml:space="preserve">Ivan Melissa Antonia, </t>
    </r>
    <r>
      <rPr>
        <rFont val="Arial Narrow"/>
        <i/>
        <color theme="1"/>
        <sz val="10.0"/>
      </rPr>
      <t>Proiectarea procesului tehnologic de fabricaţie și a SDV-urilor aferente pentru reperul OPRITOR. Plan de afaceri pentru înființarea unei afaceri sustenabile în domeniul publicități</t>
    </r>
    <r>
      <rPr>
        <rFont val="Arial Narrow"/>
        <color theme="1"/>
        <sz val="10.0"/>
      </rPr>
      <t>, studii de licență</t>
    </r>
  </si>
  <si>
    <r>
      <rPr>
        <rFont val="Arial Narrow"/>
        <color theme="1"/>
        <sz val="10.0"/>
      </rPr>
      <t xml:space="preserve">Lupoaica Florina Bianca, </t>
    </r>
    <r>
      <rPr>
        <rFont val="Arial Narrow"/>
        <i/>
        <color theme="1"/>
        <sz val="10.0"/>
      </rPr>
      <t>Înființarea unui atelier de croitorie destinat realizării de rochii</t>
    </r>
    <r>
      <rPr>
        <rFont val="Arial Narrow"/>
        <color theme="1"/>
        <sz val="10.0"/>
      </rPr>
      <t>, studii de licență</t>
    </r>
  </si>
  <si>
    <t>TOMESCU Larisa-Elena, Analiza și optimizarea unor aspecte legate de protecția mediului și gestionarea deșeurilor la IFM EFECTOR SRL</t>
  </si>
  <si>
    <t>RACZ Ildiko-Gabriela, Proiectarea unui parc eolian în județul Argeș</t>
  </si>
  <si>
    <t>VREMEA Ana-Maria, Proiectarea unei stații de incinerare a deșeurilor din nordul regiunii de dezvoltare Nord-Vest</t>
  </si>
  <si>
    <t>MEREȘIU Maria, Proiectarea unei stații de sortare secundară a unor fluxuri de deșeuri la Odobești, județul Vrancea</t>
  </si>
  <si>
    <t xml:space="preserve">CREȚIU Mihaela-Ioana, Proiectarea unei stații de reciclare a deșeurilor de sticlă la Reghin, județul Mureș </t>
  </si>
  <si>
    <t>BUSUIOC Ion Adrian, Analize privind optimizarea traficului într-o zonă intens circulată, licență</t>
  </si>
  <si>
    <t>CLIPA Constantin Mihai, Proiectarea unui sistem de  livrare rapidă a mărfurilor în cadrul unei firme de comerț online, licență</t>
  </si>
  <si>
    <t>FLORESCU Cosmin Ștefan, Analize privind realizarea unei parcări inteligente într-o zonă aglomerată, licență</t>
  </si>
  <si>
    <t>HADĂR Ioan Rareș, Proiectarea unui transport de marfă și optimizarea activităților prin implementarea unui sistem de monitorizare a flotei de transport, licență</t>
  </si>
  <si>
    <t>VASILE Lucian Ionuț, Analize într-o rețea de transport urban în vederea îmbunătățirii unor parametri de mediu, licență</t>
  </si>
  <si>
    <t>Costea ( Dârjan) Ancuța Elena Analiza unui proces de injecție mase plastice prin intermediul indicilor de capabilitate, disertatie</t>
  </si>
  <si>
    <t>Badiu Adela Elena Utilizarea metodologiei 6 sigma în vederea îmbunătățirii activităților în cadrul unei stații de epurare, disertatie</t>
  </si>
  <si>
    <t>Popa Sorin Vasile Aplicarea metodologiei 6 sigma in vederea îmbunătățirii serviciilor de transport în cadrul unei societăți de transport urban, disertatie</t>
  </si>
  <si>
    <t>ARON Denisa-Nicole, Proiectarea tehnologiei de fabricație și a unor SDV-uri aferente reperului cap de cruce. Aspecte ale managementului calității într-o companie din industria automotive, licență Inginerie Economică în Domeniul Mecanic</t>
  </si>
  <si>
    <t>RĂVAȘ Flavia-Nicola, Proiectarea tehnologiei de fabricație și a unor SDV-uri aferente reperului cuțit răsturnare. Îmbunătățirea mixului de marketing la o companie din Sibiu, licență Inginerie Economică în Domeniul Mecanic</t>
  </si>
  <si>
    <t>BACIU Ioan-Robert, Proiectarea tehnologiei de fabricație și a unor SDV-uri aferente reperului bucșă specială. Cercetare de marketing privind opinia sibienilor legată de distribuția produselor la domiciliu, licență Inginerie Economică în Domeniul Mecanic</t>
  </si>
  <si>
    <t>PIȚU Bogdan Andrei, Proiectarea tehnologiei de fabricație și a unor SDV-uri aferente reperului bucșă. Oportunitatea înființării unei firme de prestări servicii pentru sisteme de încălzire moderne, licență Inginerie Economică în Domeniul Mecanic</t>
  </si>
  <si>
    <t>TERA Daniel Florin, Proiectarea tehnologiei de fabricație și a unor SDV-uri aferente reperului piston. Plan de afaceri pentru un atelier de personalizare a autovehiculelor, licență Inginerie Economică în Domeniul Mecanic</t>
  </si>
  <si>
    <t>Iridon Anca-Mădălina, Tema 1 (parte tehnică)
Moraru Gina-Maria, Tema 2 (parte economică)</t>
  </si>
  <si>
    <t>FING4
FING3</t>
  </si>
  <si>
    <t>DORCA Bianca-Gabriela, Tema2-Înființarea unui atelier de croitorie specializat în confecționarea perdelelor și draperiilor, licență Inginerie Economică Industrială</t>
  </si>
  <si>
    <t>DUMITRU Adriana Patricia, Tema2-Înființarea unui atelier de broderie pentru
veste bărbătești, licență Inginerie Economică Industrială</t>
  </si>
  <si>
    <t>Coman Diana, Tema 1 (parte tehnică)
Moraru Gina-Maria, Tema 2 (parte economică)</t>
  </si>
  <si>
    <t>VITIOANU Patricia-Elena, Tema 2-Cercetare de marketing privind opiniile românilor asupra articolelor de îmbrăcăminte din materiale reciclate</t>
  </si>
  <si>
    <t>CĂTANĂ Carla-Mihaela, Îmbunătățirea mixului de marketing la o firmă de distribuție, master Mng. Afacerilor Industriale</t>
  </si>
  <si>
    <t>CIOCA Chuy-Alexandru, Marketingul unei firme pentru modernizarea utilajelor agricole, master Mng. Afacerilor Industriale</t>
  </si>
  <si>
    <t>TOPOR Alina-Florina, Comportamentul consumatorului român la achiziția echipamentelor IT, master Mng. Afacerilor Industriale</t>
  </si>
  <si>
    <t>SIMA Silviu Andrei, Îmbunătățirea calității într-o firmă de asamblare din industria constructoare de mașini, master Mng. Afacerilor Industriale</t>
  </si>
  <si>
    <t>DEMETRESCU Dorian, Studiu privind oportunitatea înființării unei platforme pentru gestionarea programărilor în domeniul serviciilor, master Mng. Afacerilor Industriale</t>
  </si>
  <si>
    <t>CÂRDEI Crina Alexandra, Îmbunătăţirea calităţii într-o firmă din industria de automotive, master Mng. Calității</t>
  </si>
  <si>
    <t>Tănase Călin Alexandru, Proiectarea tehnologiei de fabricație și SDV-urilor aferente reperului freză detalonată. Studiu privind îmbunătățirea performanțelor în cadrul firmei SC Polycontact Hermannstadt SRL, licență IEDM-ID, 28 februarie 2023</t>
  </si>
  <si>
    <t>STĂNICĂ Flavius-Georgian, Proiectarea procesului tehnologic de fabricație a reperului placă laterală. Coordonarea proceselor de managementul calității într-o companie automotive, licență IEDM-ID</t>
  </si>
  <si>
    <t>POPA Alexandru-Nicolae, Proiectarea procesului tehnologic de fabricație a reperului arbore. Înființarea unui atelier pentru scule așchietoare, licență IEDM-ID</t>
  </si>
  <si>
    <t>DOBRE Nicolae-Dacian, Proiectarea procesului tehnologic de fabricație a reperului placă de bază. Managementul calității aplicat în domeniul industrial: studiu de caz, licență IEDM-ID</t>
  </si>
  <si>
    <t>LĂPOȘANU Gheorghe-Alexandru, Proiectarea procesului tehnologic de fabricație a reperului bucșă elastică. Aspecte ale managementului de producție dintr-o firmă, licență IEDM-ID</t>
  </si>
  <si>
    <t>GLIGOR Gheorghe-Octavian, Proiectarea tehnologiei și a unor SDV-uri necesare execuției reperului placă de uzură desen nr. 1-773-203/204. Dezvoltarea unei firme din Mediaș prin aplicarea metodelor specifice managementului strategic, licență IEDM-ID</t>
  </si>
  <si>
    <t>Butănescu-Volanin Remus Constantin (în cotutelă cu Ștețiu Mircea)</t>
  </si>
  <si>
    <t>IFRIM Cătălin-Constantin, IEDM. Proiectarea procesului tehnologic de fabricație a reperului „BRIDĂ DE GHIDARE” pentru o producție anuală de 2400 buc/an. Studiu privind percepția impactului muncii în timpul studiilor universitare asupra carierei profesionale postuniversitare a studenților de la specializarea IEDM a Facultății de Inginerie din Sibiu. Licență - cotutelă</t>
  </si>
  <si>
    <t>Butănescu-Volanin Remus Constantin (în cotutelă cu Bibu Marius)</t>
  </si>
  <si>
    <t>STRAVA Georgiana-Cosmina, IEDM. Proiectarea tehnologiei de fabricaţie şi a SDV-urilor aferente executiei reperului PLACA SUPERIOARA. Analiză economico-financiară a activității S.C. Emailul S.A. Mediaș în perioada 2018-2022. Licență - cotutelă</t>
  </si>
  <si>
    <t>IFRIM Cătălin Constantin - Proiectarea procesului tehnologic de fabricație a reperului ”Bridă de ghidare” pentru o producție anuală de 2400 buc/an.
Studiu privind percepția impactului muncii în timpul studiilor universitare asupra carierei profesionale postuniversitare a studenților de la specializarea IEDM a Facultății de Inginerie din Sibiu.</t>
  </si>
  <si>
    <t>STOICA AUGUSTIN</t>
  </si>
  <si>
    <t xml:space="preserve">Cimpean Dragos, Proiectarea si integrarea sistemului SCADA si automatizare intr-un SRM, licenta, TDDH </t>
  </si>
  <si>
    <t>Constantinescu Cristian, Proiectarea unei statii de reglare sector avand un debit de 3750 mc/h, licenta, TDDH IFR</t>
  </si>
  <si>
    <t>Nasatasa Adriana, Proiectarea unui SRM cu sistem de automatizare, licenta TDDH IFR</t>
  </si>
  <si>
    <t>VÎLCU Neluț Vasile, ITT, Lucrare de licență, "Proiectarea și implementarea unui sistem de transport călători pe ruta Sibiu-Brașov și retur utilizând două tipuri de locomotive diesel electrice"</t>
  </si>
  <si>
    <t>MĂTUȘA Gheorghe Traian, TCM, Lucrare de licență, "Studii și cercetări cu privire la îmbunătățirea calității unei piese TULLENGHEHAUSE obținute prin procesul de injectie în matrițe 3152728 la HARTING Romania Manufacturing. Proiectarea tehnologiei de fabricație și a SDV-urilor necesare execuției unui reper de la HARTING Romania Manufacturing"</t>
  </si>
  <si>
    <t>BOZDOGHINĂ Alexandru, TCM, Lucrare de licență, "Studiu cu privire la modelarea procesului de lipire a lentilei pentru camerele video care echipează autoturisme din clasa Premium Mercedes Benz de la Continental Automotive Systems Sibiu. Proiectarea tehnologiei de fabricație și a SDV-urilor necesare execuției unui reper de la Continental Automotive Systems Sibiu."</t>
  </si>
  <si>
    <t>Cornea eduard Petrisor, Studii privind optimizarea topologica a reperului ”Bieleta, 1.2023/1”, licenta TCM</t>
  </si>
  <si>
    <t xml:space="preserve">Bondrea Ioan </t>
  </si>
  <si>
    <t>Olteanu Radu Mihai, Utilizarea metodelor de digitalizare a schitelor 2D pentruobtinerea modelelor 3D, licenta TCM</t>
  </si>
  <si>
    <t>Nicoleta-Silvia Cebuc - Studiu privind utilizarea instrumentelor software pentru cercetări operaționale în universitatile din Romania, Licenta</t>
  </si>
  <si>
    <t>Elena-Denisa Străchinescu - Studiu privind utilizarea Fake News-urilor in campania de vaccinare impotriva SARs-COV2, Licenta</t>
  </si>
  <si>
    <t>Iulian-Bogdan Marcu - Aspecte ale comunicării în situații de criză cu referire la perioada pandemiei de coronavirus, Disertatie</t>
  </si>
  <si>
    <t>FRATILA IULIA-IOANA - Studiu comparativ privind utilizarea unor produse software pentru managementul de proiect. Disertatie</t>
  </si>
  <si>
    <t>Mioara Raveca Bratu - Instrumente software pentru managementul de proiect. Studiu comparativ între anul 2023 și anul 2017. Disertatie</t>
  </si>
  <si>
    <t>CIOLPAN Andreea Augustina, Studiul modalităților de gestionare şi utilizare a deșeurilor menajere, Licenta</t>
  </si>
  <si>
    <t>BORGHINĂ Cristina Ioana, Tehnici privind producerea compostului din deşeuri biodegradabile, Licenta</t>
  </si>
  <si>
    <t>RADU Maria Gabriela, Tehnici de monitorizare a calităţii apei la o staţie de epurare, Licenta</t>
  </si>
  <si>
    <t>CIUCĂ (ALEXE) Raluca Florina, Studii privind gestionarea emisiilor și deșeurilor la BAVARIA MEDIZIN TECHNOLOGIE SRL, licenta</t>
  </si>
  <si>
    <t>Licenta: CHIVU Maria Lucia - Proiectarea unei variante de proces tehnologic și a unor SDV-uri pentru realizarea reperului placă. Dezvoltarea resursei umane prin consultanță și soluții de optimizare</t>
  </si>
  <si>
    <t>Licenta: POPA Natalia Georgiana - Proiectarea unei variante de proces tehnologic și a unor SDV-uri pentru realizarea reperului bucșă. Studiu privind îmbunătățirea stării de bine a studenților facultății de inginerie</t>
  </si>
  <si>
    <t>Disertatie: David Patricia Ioana - Folosirea instrumentelor calității pentru atragerea și retenția angajaților într-o companie din domeniul automotive</t>
  </si>
  <si>
    <t>Roman Diana, Sistemele informatice și legătură lor cu procesele fizice, Master</t>
  </si>
  <si>
    <t>Bucur Catalin, Managementul unei linii de producție, Master</t>
  </si>
  <si>
    <t>Popa Daniel Constantin, Imbunatatirea calitatii serviciilor la firma SC Heliosoly SRL, Master</t>
  </si>
  <si>
    <t>STOICA Marius Claudiu, Evaluarea riscurilor la Staţia de apă (STAP) Dumbrava, Master</t>
  </si>
  <si>
    <t>OLEKSIK MIHAELA</t>
  </si>
  <si>
    <t>VIRA ANDREI IULIAN, Evaluarea rugozității suprafețelor materialelor metalice prelucrate prin așchiere. Proiectarea tehnologiei de execuţie şi a unor SDV-uri necesare execuţiei reperului "Placă". (cotutelă cu doamna Prof. Carmen Simion), IV TCM, licență iulie 2023</t>
  </si>
  <si>
    <t>STANCIU FLAVIUS, Aprecierea capacității de ambutisare a tablelor de ambutisare. Proiectarea procesului tehnologic și a unei matrițe aferente realizării reperului "Protecție praf", IV TCM, licență iulie 2023</t>
  </si>
  <si>
    <t>HALMAGHI Gabriel-Ioan,
Studiu privind îmbunătățirea activității de transport  la S.C. Rara Invest S.R.L., Licenţă ITT</t>
  </si>
  <si>
    <t>CERNĂTESCU Mihaela,
Analiza activității de expediție mărfuri în cadrul unei companii de mentenanță parc logistic, Licenţă ITT</t>
  </si>
  <si>
    <t>MOLDOVAN Alexandru-Mihai,
Studiu privind implementarea unui sistem computerizat în managementul transporurilor rutiere la o firmă de transport marfă- Licenţă ITT</t>
  </si>
  <si>
    <t>VIERESCU Marius-Ovidiu, Studiu privind reducerea accidentelor în intersecţia dintre strada Mihai Viteazul Şelimbăr şi DN1 - DN7 - Licenţă ITT</t>
  </si>
  <si>
    <t>ȚICHINDELEAN Radu Cristian 
Studiul și proiectarea unui proces tehnologic de fabricație a reperului ”veirteilerblock” Licenţă TCM</t>
  </si>
  <si>
    <t xml:space="preserve">Foidas Ion </t>
  </si>
  <si>
    <t>Cârtog Gabriel,  Studiu privind posibilitati de valorificare a zacamintelor de tip stranded gas, Disertatie IMGN</t>
  </si>
  <si>
    <t xml:space="preserve">Kendi Lorand,  Managementul exploatarii unui zacamant matur de gaze naturale, Disertatie IMGN </t>
  </si>
  <si>
    <t>Platon Vladut,  Studiu privind asigurarea calitatii gazelor naturale livrate la debite mici, Disertatie IMGN</t>
  </si>
  <si>
    <t>Hajdu Stefan, Reabilitarea sistemului de conducte colectoare si de aductie a sondelor de gaze naturale, Disertatie IMGN</t>
  </si>
  <si>
    <t>Diac Diana, Conversia unui zăcământ depletat de gaze naturale din bazinul Transilvaniei într-un depozit de înmagazinare gaze naturale de capacitate medie, Disertatie IMGN</t>
  </si>
  <si>
    <t>Boncut Elena Alexandra, Proiectarea lucrărilor de foraj la o sondă de gaze naturale, Licenta TDDH</t>
  </si>
  <si>
    <t>Naznean Laurentiu, Proiectarea operației de cimentare a coloanei de exploatare la o sondă de gaze naturale, Licenta TDDH</t>
  </si>
  <si>
    <t xml:space="preserve">Ivan Andreas, Prevenirea dificultăților și accidentelor tehnice la forajul sondelor pe o structur gazeiferă, licenta TDDH </t>
  </si>
  <si>
    <t>Moldovan Liviu -Cosmin, Studiul metodelor  de prevenire şi eliminare a apelor din sondele de gaze naturale , Licenta TDDH FR</t>
  </si>
  <si>
    <t xml:space="preserve">Manoilă Cătălin Vasile, Proiectarea exploatarii unui zacamant comercial, Licenta TDDH FR
de gaze naturale din bazinul Transilvaniei
</t>
  </si>
  <si>
    <t>Vlad Vasile, Proiectarea unei statii de comprimare pentru exploatarea unui zacamant de gaze naturale, Licenta TDDH FR</t>
  </si>
  <si>
    <t>DOLMER Beatrice -Proiectarea tehnologiei de fabricaţie şi a SDV-urilor aferente reperului "placa perforată". Analiză privind înfiinţarea unei fime pentru producerea unor echipamente de protecţie cu tehnologie airbag.. - licenţă IEDM</t>
  </si>
  <si>
    <t>TOPÎRCEANU Maria-Narcisa - Proiectarea tehnologiei de fabricaţie şi a SDV-urilor aferente reperului "corp robinet". Studiu privind înfiinţarea unei afaceri în domeniul serviciilor educaţionale..  - licenţă IEDM</t>
  </si>
  <si>
    <t>VULCU Remus - Proiectarea tehnologiei de fabricaţie şi a SDV-urilor aferente reperului "capac". Plan de afaceri privind înfiinţarea unei firme de proiectare şi execuţie învelitoare case. - licenţă IEDM</t>
  </si>
  <si>
    <t>VÎLCU Ana-Roxana - Proiectarea tehnologiei de fabricaţie şi a SDV-urilor aferente reperului "placă". Studiu privind oportunitatea dezvoltării unei afaceri prin lansarea produsului inovativ "Smart Mirror". - licenţă IEDM</t>
  </si>
  <si>
    <t>NISTOR (BÂRSAN) Iulia Adriana - Proiectarea tehnologiei de fabricație și a SDV-urilor aferente reperului "Dispozitiv suport gravare laser". Studiu privind înfiinţarea unei noi linii de debitare cabluri pentru firma Harting Ro Automotive. - licenţă IEDM</t>
  </si>
  <si>
    <t>DAMASCHIN Adrian-Ilie - Proiectarea tehnologiei de fabricație și a SDV-urilor aferente reperului "flanșă". Analiză pentru realizarea unui plan de afaceri în vederea înfiinţării unei firme în domeniul serviciilor. - licenţă IEDM</t>
  </si>
  <si>
    <t>CÎMPU Radu-Lucian - Analiză privind impactul acţiunilor leaderului asupra performanţelor echipelor de proiect într-o companie din domeniul automotive - master MP</t>
  </si>
  <si>
    <t>NAN Ioan-Alexandru - Studiu privind oportunitatea înființării unei firme de articole sportive  - master MP</t>
  </si>
  <si>
    <t>MICHI Diana Alina - Realizarea unui centru pentru susţinerea şi promovarea ativităţilor economice din zona rurală cu metode specifice de management de proiect  - master MPE</t>
  </si>
  <si>
    <t>Miricescu Dan, Moldovan Iosif</t>
  </si>
  <si>
    <t>RĂU Maria - Tipologii de leadership şi influenţa acestora asupra performanţelor echipelor - master MAI</t>
  </si>
  <si>
    <t>BUTĂNESCU Diana-Mihaela - Activităţile de promovare utilizând platforme de social media şi impactul acestora asupra comportamentului de cumpărare - master MAI</t>
  </si>
  <si>
    <t>DOBRESCU Alexandru-Cristian - Studiu privind implementarea unor solutii de imbunatatire pe o linie de fabricatie la o firma din industria de automotive - master MAI</t>
  </si>
  <si>
    <t>LAC Alexandra-Iulia - Stimularea creativitatii antreprenoriale prin intermediul unei platforme de crowdsourcing în Facultatea de Inginerie - master MAI</t>
  </si>
  <si>
    <t>ZBÎRCEA Ana-Diana - Studiu privind impactul activităţilor de tip "home office" asupra angajaţilor - master MAI</t>
  </si>
  <si>
    <t>GLIGA Bianca-Denisa - Analiză privind climatul organizațional și relația lider susținător în firmele din Sibiu- master MAI</t>
  </si>
  <si>
    <t>IAGĂRU Andra-Georgiana - Studiu privind reducerea timpului pe ciclu si a stocurilor din cadrul fluxurilor de fabricaţie la NTN Europe - master LI</t>
  </si>
  <si>
    <t>TERTEREANU Ioana-Alexandra - Analiza activităţilor de logistică externă la NTN Europe in vedrerea optimizării acestora  - master LI</t>
  </si>
  <si>
    <t>TĂTULEA Daniela- Tipologii de leadership şi influenţa acestora asupra performanţei departamentului de logistică din cadrul unei firme de producţie  - master LI</t>
  </si>
  <si>
    <t>ROMAN Alexandra - Analiză privind specificitatea leadershipului într-un departament de logistică dintr-o firmă de producţie  - master LI</t>
  </si>
  <si>
    <t>Miricescu Dan, Brănescu Horia</t>
  </si>
  <si>
    <t>BOTEZAN Gabriel-Dumitru- Proiectarea tehnologiei de execuție și a unor SDV-uri aferente reperului "Arbore", desen nr. 020-11-04- 00. Studiu privind implicaţiile utilizării unei aplicaţii de inteligenţă artificială în fluxul de comunicaţii al unei organizaţii. - licenţă IEDM ID</t>
  </si>
  <si>
    <t>ATODIRESEI Laurenţiu  - Proiectarea tehnologiei de execuție și a unor SDV-uri aferente reperului „Ax roata curea”, desen nr. C66-01-04. Studiu privind oportunitatea înfiinţării unui atelier de reparaţii utilaje agricole. - licenţă IEDM ID</t>
  </si>
  <si>
    <t>GURALIUC Răzvan-Marian - Proiectarea tehnologiei de execuție și a unor SDV-uri aferente reperului “Suport Dorn”, nr. desen 07B-R-11. Analiză privind extinderea capacităţii de producţie pentru implementarea unui produs nou. - licenţă IEDM ID</t>
  </si>
  <si>
    <t>Miricescu Dan, Oleksik Valentin</t>
  </si>
  <si>
    <t>MAN Camelia - Proiectarea procesului de fabricație prin deformare plastică la rece și a unei matrițe necesare realizării reperului CLEMĂ. Elaborarea tehnologiei de execuție pentru un reper din construcția matriței.  Cerceări de marketind privind transportul mărfii paletizate in Romania. - licenţă IEDM ID</t>
  </si>
  <si>
    <t>CĂMĂRAŞU Roxana - Proiectarea tehnologiei de executie si a unor SDV-urilor aferente reperului "Arbore conic". Analiza sistemului de recompensare a resurselor umane în firmele de producţie din zona Sibiu - licenţă IEDM ID</t>
  </si>
  <si>
    <t>MĂRIE Răzvan - Proiectarea tehnologiei de executie si a unor SDV-urilor aferente reperului "Placă de bază MR-22-11". Studiu privind evaluarea satisfacţiei angajaţilor la o firmă din domeniul automotive.- licenţă IEDM ID</t>
  </si>
  <si>
    <t>SOCACI Florin - Proiectarea tehnologiei de executie si a SDV- urilor aferente reperului„ CUPLAJ SERVO AXA LONGITUDINALĂ”.  Analiză privind una din dimensiunile lui Hofstedee din firmele romanesti.- licenţă IEDM ID</t>
  </si>
  <si>
    <t>FOFELZAN D. BOGDAN - ALEXANDRU -  Proiectarea tehnologiei de fabricație a „Pinului de susținere” a plăcii PCB  Analiza privind îmbunătățirea unor procese de producție într-o companie de componente auto.- licenţă IEDM ID</t>
  </si>
  <si>
    <t>Giurgiu Paul, PROIECTAREA ȘI FABRICAREA COMPONENTELOR 
ULTRAUȘOARE UTILIZÂND TEHNOLOGII DE FABRICARE ADITIVĂ , Master STIF</t>
  </si>
  <si>
    <t>Bradeanu Gabriel, Fabricația hibridă - identificarea regimului optim de așchiere pentru finisarea pieselor prismatice obținute prin procese de fabricație aditivă FDM, Licenta TCM</t>
  </si>
  <si>
    <t>Ene Alexandru, STUDII PRIVIND OPTIMIZAREA TOPOLOGICĂ A REPERULUI „BELL CRANK”
PROIECTAREA TEHNOLOGIEI DE EXECUŢIE SI A SDV-URILOR NECESARE REALIZĂRII UNEI PLĂCI DE BAZĂ, Licenta TCM</t>
  </si>
  <si>
    <t>Andrei Costin, Identificarea parametrilor care contribuie la imbunatatirea calitătii reperelor obtinute prin scanare 3D, Licenta TCM</t>
  </si>
  <si>
    <t>Dragomir Sebastian, Studii privind optimizarea topologică a reperului ”axe skateboard” și a unor SDV-uri pentru piesa de tip arbore DIS-01, Licenta TCM</t>
  </si>
  <si>
    <t>Hera Stefan, Fabricația hibridă - Identificarea regimului optim de așchiere pentru finisarea pieselor de revoluție obținute prin procese de fabricație aditivă FDM, Licenta TCM</t>
  </si>
  <si>
    <t>Brănescu Andrei Horia</t>
  </si>
  <si>
    <t>Atodiresei Laurentiu, PROIECTAREA PROCESULUI TEHNOLOGIC DE FABRICAŢIE ȘI A S.D.V.-URILOR NECESARE PENTRU REPERUL “AX ROATA CUREA” (număr desen C66-01-04)</t>
  </si>
  <si>
    <t>Popa Roxana Elena, PROIECTAREA TEHNOLOGIEI DE EXECUȚIE ȘI A SDV-URILOR AFERENTE REPERULUI “ARBORE” NR. DESEN 324.02.12</t>
  </si>
  <si>
    <t>Guraliuc Razvan Marian, PROIECTAREA PROCESULUI TEHNOLOGIC DE FABRICAŢIE ȘI A SDV-URILOR AFERENTE REPERULUI “SUPORT DORN” NR. DE
DESEN 07B-R-11.</t>
  </si>
  <si>
    <t>Botezan Gabriel, PROIECTAREA PROCESULUI TEHNOLOGIC DE FABRICAŢIE ȘI A SDV-URILOR AFERENTE REPERULUI “Arbore” desen nr. 020-11-04- 00,</t>
  </si>
  <si>
    <t>BĂLĂȘOIU Maria Cristina, Proiectarea tehnologiei și a unor SDV – uri necesare execuției reperului FLANȘĂ. Studiu privind demersurile firmelor pentru creșterea capacității de inovare, Licență</t>
  </si>
  <si>
    <t>BÎRSAN Alexandru, Proiectarea tehnologiei și a unor SDV – uri necesare execuției reperului BUCȘĂ. Studiu privind rezolvarea creativă a problemelor în domeniul transporturilor de mărfuri, Licență</t>
  </si>
  <si>
    <t>GROSU Ionuț, Proiectarea tehnologiei și a unor SDV – uri necesare execuției reperului ARBORE, desen nr. 52635596. Studiu privind modalitățile actuale de îmbunătățire a indicatorilor de performanță în cazul firmelor producătoare, Licență</t>
  </si>
  <si>
    <t>POPESCU Edvina-Elena, Proiectarea tehnologiei și a unor SDV – uri necesare execuției reperului PLACĂ DE BAZĂ. Studiu privind tendințele de dezvoltare a mentenanței industriale în contextul digitalizării afacerilor, Licență</t>
  </si>
  <si>
    <t xml:space="preserve">Bârzan Andreea-Elena, Studiu privind îmbunătățirea performanțelor SC Polycontact Hermannstadt SRL prin demersuri specifice managementului calității și mentenanței, Master </t>
  </si>
  <si>
    <t>Bănățean (Cojocariu) Anamaria - Nicoleta, Studiu privind elementele specifice managementului mentenanței în domeniul automotive, Master</t>
  </si>
  <si>
    <t>BUNEA Răzvan-Daniel, Îmbunătățirea OEE (Overall Equipment Effectiveness) prin practici specifice TPM (Total Productive Maintenance), Master</t>
  </si>
  <si>
    <t>Sora Maria-Adelina- Studiul traseului 13 al  transportului in comun din Sibiu- licenta</t>
  </si>
  <si>
    <t>Popescu Alexandru-Ioan- Proiectarea unui dispozitiv pentru răcirea acului mașinilor de cusut industriale la SC SOMARESR Avrig. Proiectarea tehnologiei de fabricație pentru un reper aferent</t>
  </si>
  <si>
    <t>Balaiban Adrian Ovidiu - Proiectarea unui dispozitiv de orientare pentru reperul Toron, la SC SOMARESR Avrig. Proiectarea tehnologiei de fabricație pentru un reper aferent</t>
  </si>
  <si>
    <t xml:space="preserve">
ARMEANU Iulia Adina , Proiectarea tehnologiei de fabricație și a unor SDV-uri aferente reperului ARBORE PLANETAR. Studiu privind oportunitatea de înființare a unei afaceri în județul Sibiu, licenta</t>
  </si>
  <si>
    <t xml:space="preserve">
POPA Ioana Alisa, Proiectarea tehnologiei de fabricație și a unor SDV-uri aferente reperului ARBORE. Plan de afaceri pentru înființarea unui atelier de restaurare și recondiționare mobilier, licenta</t>
  </si>
  <si>
    <t xml:space="preserve">
SĂRĂȘAN Roxana Maria, Proiectarea tehnologiei de fabricație și a unor SDV-uri aferente reperului Ax rolă de ghidare. Sondaj de opinie privind criteriile de alegerea ale unui program de master, licenta</t>
  </si>
  <si>
    <t>VOICU Maria-Izabela, Proiectarea tehnologiei de fabricație și a unor SDV-uri aferente reperului AX Principal. Plan de afaceri pentru înființarea unei firme de servicii educaționale prin ateliere STEM pentru copii, licenta</t>
  </si>
  <si>
    <t>Bâscă(Enache) Alina-Eleonora, Evaluarea și prevenirea riscurilor de securitate și sănătate în muncă în procesul de telemuncă, master</t>
  </si>
  <si>
    <t>Vîlvoi Ana Maria , Îmbunătățirea calității relației cu clienții în cadrul Serviciului Public Baia Populară, master</t>
  </si>
  <si>
    <t>Ivan Dragoș-Ioan, Îmbunătățirea procesului de fabricație într-o firmă producătoare de subansamble de mașini, master</t>
  </si>
  <si>
    <t>Contribuții privind îmbunătățirea tehnologiilor de injecție a pieselor din materiale plastice folosite în domeniul construcțiilor. Proiectarea tehnologiei de fabricatie si a unor SDV-uri pentru reperul “Bucșă” - licență</t>
  </si>
  <si>
    <t>Analiza posibilităților de creștere a durabilității sculelor așchietoare folosite la prelucrarea aliajelor de aluminiu. Proiectarea tehnologiei de fabricatie si a unor SDV-uri pentru reperul “Placă activă” - licență</t>
  </si>
  <si>
    <t>Proiectarea tehnologiei și a SDV-urilor aferente execuției reperului placă de bază. Bugetul de venituri și cheltuieli - instrument de asigurare a echilibrului financiar. - licență</t>
  </si>
  <si>
    <t>Proiectarea tehnologiei de execuție și a SDV-uri aferente reperului arbore pinion. Finanțarea IMM-urilor în România</t>
  </si>
  <si>
    <t>1. Managementul proiectelor din domeniul sănătății. Studiu de caz - soluții inovatoare ce pot fi aplicate în cabinetele de dermatologie - master</t>
  </si>
  <si>
    <t>TOMUȚA Răzvan George, Proiectarea tehnologiei de fabricație și a unor SDV-uri aferente reperului placă. Strategii de resurse umane orientate spre organizarea optimă a producției în compania . Nivel licență</t>
  </si>
  <si>
    <t>CHIVU Maria Lucia, Proiectarea unei variante de proces tehnologic și a unor SDV-uri pentru realizarea reperului placă. Dezvoltarea resursei umane prin consultanță și soluții de optimizare, Nivel licență</t>
  </si>
  <si>
    <t>Irina Floarea Linte, Neuroștiința și managementul comunicării în companiile IT. Nivel master</t>
  </si>
  <si>
    <t>Csilla-Emese PETER, EVALUAREA RISCULUI PENTRU POSTUL DE CONDUCATOR AUTOBUS DIN CADRUL SOCIETĂȚII S.C. TURSIB S.A. Nivel curs postuniversitar EVALUATOR DE RISC ŞI AUDITOR ÎN DOMENIUL SECURITĂŢII ŞI SĂNĂTĂŢII ÎN MUNCĂ</t>
  </si>
  <si>
    <t>Asoltanei Ana-Maria, EVALUAREA RISCULUI PENTRU POSTUL DE STIVUITORIST-MANIPULATOR DIN CADRUL SC WENGLOR ELECTRONIC INNOVATION LITO SCS DIN SIBIU, Nivel curs postuniversitar EVALUATOR DE RISC ŞI AUDITOR ÎN DOMENIUL SECURITĂŢII ŞI SĂNĂTĂŢII ÎN MUNCĂ</t>
  </si>
  <si>
    <t>Analiza și îmbunătățirea străzii Râului din municipiul Sibiu în vederea creșterii capacității de circulație, BĂDIȚĂ Constantin Eduard, licenta</t>
  </si>
  <si>
    <t>Analiza infrastructurii si a traficului rutier pe DN 67 RM Vâlcea - Horezu. Propuneri de îmbunătățire, CEBUC Vasile Daniel, licenta</t>
  </si>
  <si>
    <t xml:space="preserve">Analiza şi remodelarea intersecţiilor în vederea îmbunătăţirii performanţelor arterelor rutiere urbane. Studiu de caz strada Hennri Coandă din Sibiu. DUȚU Andreea Maria, licenta </t>
  </si>
  <si>
    <t>Verificarea concordanţei elementelor geometrice ale drumului E81 - str. Salzburg cu prevederile din standarde şi modelarea circulaţiei de pe această stradă, GĂMAN Alexandru Rafael, licenta</t>
  </si>
  <si>
    <t>Analiza și îmbunătățirea infrastructurii rutiere a drumului național Rm Vâlcea - Gorunu, PĂTRAȘCU Lucian Constantin, licenta</t>
  </si>
  <si>
    <t>Analiza și îmbunătățirea parametrilor traficului rutier pe bvd-ul Mihai Viteazu din Sibiu. VĂDUVA Constantin Robert, licenta</t>
  </si>
  <si>
    <t>Rolul sistemelor de siguranță în traficul rutier. Analiza și  îmbunătățirea traficului rutier pe tronsonul de drum Bretea Mureșana – Deva.CĂCI Marius Bogdan, licenta</t>
  </si>
  <si>
    <t>Studiu privind  managementul schimbărilor pentru produse si procese din cadrul companiei Robert Bosch SRL. Ionescu Narcisa, master</t>
  </si>
  <si>
    <t>Analiză privind specificitatea leadershipului într-un departament de logistică dintr-o firmă de producţie Roman Alexandral, master</t>
  </si>
  <si>
    <t>Analiza procesului de fabricatie a unui produs prin prisma cresterii productivitatii, Săceanu Andreea, master</t>
  </si>
  <si>
    <t>Studii privind implementarea unui nou produs pe o linie de producție existentă, Mateoi Raul, master</t>
  </si>
  <si>
    <t>Soluții privind cresterea productivitatii produsului led ambiental, Frunză Stefana, master</t>
  </si>
  <si>
    <t xml:space="preserve">Proiectarea unei lucrări geologo-tehnologice într-o sondă de extracție în vederea optimizării producției de gaze naturale/  
 BLEAHU Denis Marius/ LICENTA
</t>
  </si>
  <si>
    <t>Cucu Iulian Ionuț, master MAI</t>
  </si>
  <si>
    <t>Alexescu Miruna, master MP</t>
  </si>
  <si>
    <t>prof.dr.ing. Florea Adrian</t>
  </si>
  <si>
    <t>Bălteanu Andreea-Iuliana, Sistem de monitorizare și analizare ale opririlor robotilor mobili, Licenta</t>
  </si>
  <si>
    <t>Barb Ioan-Raul, Sistem de etichetare electronic folosind display-uri e-paper cu actualizare wireless în timp real, Licenta</t>
  </si>
  <si>
    <t>Buta Andra-Paraschiva, SISTEM PENTRU IRIGAREA PLANTELOR, Licenta</t>
  </si>
  <si>
    <t>David Alexandra-Nicoleta, Îmbunătățirea simulatorului GEM5 prin implementarea unor tehnici anticipative și predictive, Licenta</t>
  </si>
  <si>
    <t>Duțu Alexandru-Nicolae, Smart building automation, Licenta</t>
  </si>
  <si>
    <t>Girjoaba Constantin, Software educațional pentru profesori și elevi, Licenta</t>
  </si>
  <si>
    <t>Lazurca-Ciutacu P.A. Vlad-Teodor, Optimizarea multi-obiectiv a arhitecturilor de calcul, Licenta</t>
  </si>
  <si>
    <t>Oltean Iulia, Simularea sistemului de siguranță a unui autovehicul, Licenta</t>
  </si>
  <si>
    <t>Paraschiva M.G. Marius-Andrei, Compilator Device Tree, Licenta</t>
  </si>
  <si>
    <t>Săcășan Larisa, Control smart al suprafețelor folosind un slider capacitiv cu feedback haptic, Licenta</t>
  </si>
  <si>
    <t>Șăldorfean Cristina, Generator de cod pentru arhitecturi dedicate în industria automotive, Licenta</t>
  </si>
  <si>
    <t>Streanga George-Florentin, DEZVOLTAREA UNEI APLICAȚII DE REPROGRAMARE A SOFT-ULUI INTEGRAT DE PE COMPONENTELE AUTO, Licenta</t>
  </si>
  <si>
    <t>Velțan Bogdan Marian, Sistem de management al sarcinilor si componentelor de mentenanța post-vânzare, Licenta</t>
  </si>
  <si>
    <t>MANTA I. AIDA-MIHAELA, Sistem de monitorizare a ergonomiei si a mediului ambiant la birou, Licenta</t>
  </si>
  <si>
    <t>POPESCU N.M. ANDRA-GABRIELA, Metode de îmbunătățire a performanțelor microprocesoarelor superscalare și multithread, Licenta</t>
  </si>
  <si>
    <t>ȘTEFAN DALIA-EMILIA, IOT în Medical Asset Management, Licenta</t>
  </si>
  <si>
    <t>POPESCU RADU-ANDREI, Rezolvarea unei defecțiuni a unui “Mini-Semafor” folosind raport 8D, Licenta</t>
  </si>
  <si>
    <t>PĂUNESCU GEORGIANA-MALVINA, MICRO-FRONTENDS FOR WEB CONTENT MANAGEMENT  SYSTEMS, Master</t>
  </si>
  <si>
    <t>MĂRGĂRIT CRINA CARMEN, Verification Kit - a testing tool for embedded systems, Master</t>
  </si>
  <si>
    <t>PĂTRĂUȘANU ANDREI, Survey of multy-objectiveoptimization for cars suspension models, Master</t>
  </si>
  <si>
    <t>DINU DIANA-ELENA, Sistemul OnDuty, Master</t>
  </si>
  <si>
    <t>COSTEA I. IOANA MELISA, Joc educativ multimedia în limba germană, licenta Calculatoare, iulie 2023</t>
  </si>
  <si>
    <t>Solomon M. Adriana, Implementarea unui joc 3D în Unity, licență Calculatoare, iulie 2023</t>
  </si>
  <si>
    <t>Văcărescu Cristina-Ana, Implementarea unui joc 3D în Unity, licență Calculatoare, iulie 2023</t>
  </si>
  <si>
    <t>CARAGANCIU A ALEXANDRIN, Implementarea unui joc 3D în Unity, licenta TI, iulie 2023</t>
  </si>
  <si>
    <t>BARAC  ILEANA-ADRIANA, Aplicație de instruire în geografie, licenta TI, iulie 2023</t>
  </si>
  <si>
    <t>BUTA IULIA VIOLETA, Implementarea unui joc 3D în Unity, licenta ISM, iulie 2023</t>
  </si>
  <si>
    <t>ANGHEL RAREȘ-ANGELO, Aplicație multimedia interactivă pentru Muzeul Satului din Sibiu, disertație ICAI, iulie 2023</t>
  </si>
  <si>
    <t>David Cristina-Elena, Studiul și proiectarea unei surse de alimentare în comutație, Master</t>
  </si>
  <si>
    <t>Văcaru  Roberth Constantin, SISTEM ELECTRONIC INTELIGENT DE MONITORIZARE AL FACTORILOR DE MEDIU ÎNTR-O INCĂPERE, Master</t>
  </si>
  <si>
    <t>Manta Alexandru-Claudiu, Sistem de măsurare și control al nivelului de lichid, Master</t>
  </si>
  <si>
    <t>Halmaghi Sebastian-Ilie, SISTEME INTELIGENTE
DE AUTOMATIZARE A GOSPODĂRIILOR, Master</t>
  </si>
  <si>
    <t>Fieraru Andrea Ruxandra, SISTEM DE SECURITATE
ÎMPOTRIVA INCENDIILOR, Licență</t>
  </si>
  <si>
    <t>Faur Diana, Controlul unui motor de current continuu fara perii,  Licență</t>
  </si>
  <si>
    <t>Petrică Maria-Cristina, Sistem de monitorizare a poluării aerului, Licență</t>
  </si>
  <si>
    <t>Nedea Mihail-Adelin, Robot mobil autonom, Licență</t>
  </si>
  <si>
    <t>Rusu Radu-Cornel, Robot autonom pentru rezolvarea unui labirint, Licență</t>
  </si>
  <si>
    <t>Vasiloiu Ionuț-Marius, MULTIMETRU CU ARDUINO, Licență</t>
  </si>
  <si>
    <t>Cîrstina Alexandru, SISTEM DE IRIGAȚIE UTILIZÂND PLATFORMA ARDUINO, Licență</t>
  </si>
  <si>
    <t>Bogdan Ioan, Sistem inteligent de parcare
dezvoltat pe platforma Arduino, Licență</t>
  </si>
  <si>
    <t>Dancila I. Diana-Ileana, Segmentarea imaginilor Eco-Cardiografice, licenta</t>
  </si>
  <si>
    <t>Matei Florina-Bianca, Aplicație pentru detecția și recunoașterea numerelor de înmatriculare, licenta</t>
  </si>
  <si>
    <t>Știrbeț Ioan-Ștefan, Aplicație pentru recunoașterea locurilor de parcare prin procesare de imagini, licenta</t>
  </si>
  <si>
    <t>ȘPAN G.M. MATEI-MIHAI, Sistem informatic pentru verificarea istoricului unui autovehicul, licenta</t>
  </si>
  <si>
    <t>PRODEA V IOANA-ROXANA Aplicație pentru detecția pietonilor din imagini, licenta</t>
  </si>
  <si>
    <t>VASIU L TANIA-ANASTASIA Interfața om-mașina prin recunoașterea gesturilor, licenta</t>
  </si>
  <si>
    <t>BÎRZĂ IULIA ȘTEFANIA Block based feature techniques in image forgery detection, dizertatie</t>
  </si>
  <si>
    <t>CIOBOTEA EMANUEL-FLORIN Comparison of segmentation methods for brain tissue MRI scans, dizertatie</t>
  </si>
  <si>
    <t>FILIP S. V. CRISTIAN-GEORGE TRACKING AIRPLANES USING MODE S / ADS-B, dizertatie</t>
  </si>
  <si>
    <t>OPRIȚOIU DIANA Aplicație de procesare a imaginii în domeniul medical, dizertatie</t>
  </si>
  <si>
    <t>VASILAȘ IULIA A study of deep fake image detection, dizertatie</t>
  </si>
  <si>
    <t>Disertatie AAIE -DRUMAR RADU-DUMITRU- CERCETĂRI PRIVIND REGIMUL DEFORMANT ȘI EFECTELE POLUĂRII ARMONICE ÎN SISTEMELE ELECTROENERGETICE</t>
  </si>
  <si>
    <t>SULIȚĂ ȘTEFAN-RĂZVAN, Aplicație pentru gestiunea proiectelor și a task-urilor în cadrul unei echipe, licenta Calculatoare, iulie 2023</t>
  </si>
  <si>
    <t>FARCAȘ L CRISTIAN-GABRIEL, Aplicație pentru gestionarea proiectelor în cadrul unei companii, licenta Tehnologia Informatiei, iulie 2023</t>
  </si>
  <si>
    <t>PAŢANGHEL M. CRISTIAN-FLORIAN, Robotic arm for playing chess, disertatie ES, iulie 2023</t>
  </si>
  <si>
    <t>VATAMANU DAVID, Proiectarea, realizarea și testarea unei antene directive, în gama VHF, pentru recepția și identificarea semnalelor provenite de la comunicațiile mobile aeronautice civile, disertatie ICAI, iulie 2023</t>
  </si>
  <si>
    <t>Berghea Cristina,APLICAȚIE PENTRU CĂUTAREA COLEGULUI DE CĂMIN,Calculatoare,2022</t>
  </si>
  <si>
    <t>Dumitrascu P. Andreea-Luciana,Aplicatie pentru recunoasterea emotiilor,Calculatoare,2023</t>
  </si>
  <si>
    <t>Mircea G. Robert-Catalin,Aplicație de ghidare a aplicanților,Calculatoare,2023</t>
  </si>
  <si>
    <t>FLOROIU-BONDOC I. ORIANA-ALEXANDRA,Aplicație web pentru managementul unui restaurant de tip FAST-FOOD,TI,2023</t>
  </si>
  <si>
    <t>NICA I.D. RADU IOAN,Aplicatie web pentru rezervari online,TI,2023</t>
  </si>
  <si>
    <t>SUFANA A ADRIAN-DANIEL,APLICAȚIE ORGANIZARE PORTOFOLIU,TI,2023</t>
  </si>
  <si>
    <t>POPA F. V. ANDREI, promoția 2021,APPMUSIC - Aplicație pentru liste de redare,ISM, feb.,2021</t>
  </si>
  <si>
    <t>CAPĂTĂ EUGEN-IOAN,Sistem de control al unei lumini inteligente,ISM,2023</t>
  </si>
  <si>
    <t>FLORIAN TEODOR,Modul AI pentru stație meteo,ISM,2023</t>
  </si>
  <si>
    <t>GÂMFĂLEANU VLAD,Maparea automată a mediului înconjurător utilizând captura video,ISM,2023</t>
  </si>
  <si>
    <t>ȘOMFĂLEAN BOGDAN IOAN,Sistem antiplagiat,ISM,2023</t>
  </si>
  <si>
    <t>DORCA EMANUEL ILIE,Sentiment analysis using bert model,ACS,2023</t>
  </si>
  <si>
    <t>PLEŞA V. GEORGIANA-MARIA (CRĂCIUN),Aplicație web pentru gestionarea unui hotel,ICAI feb.,2023</t>
  </si>
  <si>
    <t>BAȘA EMIL-CONSTANTIN,Aplicație web pentru depunere și gestionare de cereri pentru documente,ICAI,2023</t>
  </si>
  <si>
    <t>Cuculea V. Teodor-Ioan,
STUDIU COMPARATIV ÎNTRE DIFERIȚI ALGORITMI DE CLASIFICARE, licenta Calculatoare</t>
  </si>
  <si>
    <t>Vecerdea Cristian, Predicționarea automată a valorilor acțiunilor unei companii. Licenta Calculatoare</t>
  </si>
  <si>
    <t>Veștemeanu Vlad-Alexandru, 
Sistem de detecție plagiat. Cod, licenta Calculatoare</t>
  </si>
  <si>
    <t>CHIRCIU G. ADRIAN-MARIAN, Recunoașterea cifrelor folosind rețeaua Hopfield, licenta TI</t>
  </si>
  <si>
    <t>Jurju I. Alexandru, Algoritmi de inteligenta artificiala pentru a invata jocul de Snake, licenta Calculatoare</t>
  </si>
  <si>
    <t>BÎZGAN G GHEORGHE-ALEXANDRU, Etichetarea automată a părților de vorbire, Licenta TI</t>
  </si>
  <si>
    <t>DINESCU E.F. DRAGOȘ, Reprezentarea documentelor ca și frecvențe de expresii de cuvinte, licenta TI</t>
  </si>
  <si>
    <t>LINTE F SERGIU-ADRIAN, Sistem de detecție plagiat, licenta TI</t>
  </si>
  <si>
    <t>CANCIU IOAN-BOGDAN, Source code plagiarism check system, disertatie ACS</t>
  </si>
  <si>
    <t>LOTREAN ELENA-DELIA, Adaptive E-learning, disertatie ACS</t>
  </si>
  <si>
    <t>POPLĂCENEL ANIȘOARA, Diabets detection using sand cat optimization algorithm, disertatie ACS</t>
  </si>
  <si>
    <t>ROȘU N. ROBERT, Integrating a Real-time Application in a Consumer Product, disertatie ES</t>
  </si>
  <si>
    <t>MODOIANU CONSTANTIN-RĂZVANBAȘA EMIL-CO, Dezvoltarea de aplicații folosind mediul de programare LabVIEW. Disertatie ICAI</t>
  </si>
  <si>
    <t>Oltean Alin, Detectarea știrilor false folosind metode de învățare automată, Licență C</t>
  </si>
  <si>
    <t>Neamțu Adrian, Estimarea duratei de deplasare a unui AGV prin metode de inteligenţă artificială, Licență C</t>
  </si>
  <si>
    <t>Rădescu Teodor, Detecție de ceață prin metode de procesare a imaginilor, Licență C</t>
  </si>
  <si>
    <t>Burghelea Zaharia, Machine Learning Methods for Monitoring and Controlling the Quality of PET Bottle Manufacturing Process, Master ACS</t>
  </si>
  <si>
    <t>Turbureanu Aida,Random-Valued Impulse Noise Detection in Images through Recurrent Neural Networks, Master ACS</t>
  </si>
  <si>
    <t>Rodean Cosmin, A study on detecting anomalies of wind turbines, Master ES</t>
  </si>
  <si>
    <t>Teodora Chialda, Platforma pentru monitorizarea caloriilor prin planuri alimentare și antrenamente
fizice, licenta</t>
  </si>
  <si>
    <t>Razvan Morariu, Aplicație pentru organizarea evenimentelor sportive, licenta</t>
  </si>
  <si>
    <t>Adina, Hanea, Aplicație de generare elemente aleatorii prin metode vizuale, licenta</t>
  </si>
  <si>
    <t>Cosmin Marcu, Aplicatie mobila de mesagerie, licenta
- NESUSTINUTA</t>
  </si>
  <si>
    <t>Mircea Stroila, Soluție pentru case inteligente - Sistem pentru luare a deciziilor care se bazează pe
măsurarea în timp real a valorilor de confort, licenta</t>
  </si>
  <si>
    <t>Horia Miron, Platformă pentru gestiunea și închirierea terenurilor de sport, licenta</t>
  </si>
  <si>
    <t>Cazila Maria,Studiu asupra unor lucrari practice de laborator cu MCU ST, Licenta</t>
  </si>
  <si>
    <t>Rebegel Cisar Iulia, Studiu asupra unui sistem de acces in laboratoare, Licenta</t>
  </si>
  <si>
    <t>HADĂR M. ANDRA TEODORA, Dezvoltarea unei aplicații web pentru înregistrarea/cumpărarea/vânzarea unei proprietăți imobiliare</t>
  </si>
  <si>
    <t>HODOROG C. V. RADU, Aplicație web-vânzare de cărți</t>
  </si>
  <si>
    <t>MÎTCĂ M. MARIUS MIHAI, Platformă de vânzări online</t>
  </si>
  <si>
    <t>Buducea Nour-George, Password Manager în limbajul de programare C#</t>
  </si>
  <si>
    <t>Lupu I. Mihaela-Diana, Aplicație WEB pentru o clinică medicală oftalmologică</t>
  </si>
  <si>
    <t>Menchiu P. Teodora-Artemisa, Movie Ticket Booking System</t>
  </si>
  <si>
    <t>Migea Andreea-Maria, APLICATIE WEB ADMINISTRARE PENSIUNE</t>
  </si>
  <si>
    <t>Oancea Paul, APLICATIE ESP32: MODUL SMART HOME</t>
  </si>
  <si>
    <t>Negrilă Cristina-Alexandra,Administrarea unei clinici medicale EXPERT-MEDICAL</t>
  </si>
  <si>
    <t>Pîrvu Andreea-Bianca, Aplicatie cerere/oferta cazari in JavaScript</t>
  </si>
  <si>
    <t>Părău Lorena-Ana, Aventura cu vaporul</t>
  </si>
  <si>
    <t>Șoaită S.D. Alin-Mihai, Automobile Service Management System</t>
  </si>
  <si>
    <t>Știrbu I. Denisa-Ana-Maria, Magazin online de cărți</t>
  </si>
  <si>
    <t>Vîrlan Bianca-Maria, Aplicație Abac Virtual</t>
  </si>
  <si>
    <t>BALAN-HERMAN M SANZIANA, Aplicatie WEB - adoptie animale</t>
  </si>
  <si>
    <t>BOBEŞIU V DENISA-MARIA, STUDENT INFO-SOLIDUS</t>
  </si>
  <si>
    <t>CĂPĂȚÎNĂ Ș.D. AMALIA-MARIA, Site web pentru recenzii de cărți</t>
  </si>
  <si>
    <t>GIBĂ L OANA-ANDRADA, Free Bookings For Students</t>
  </si>
  <si>
    <t>TABAN G MADALINA-MARIA, GHID DE CĂLĂTORIE ÎN EUROPA</t>
  </si>
  <si>
    <t>GAVRILĂ DENISA-MARIA, Planificare de evenimente</t>
  </si>
  <si>
    <t>MĂRGĂRIT DANIELA, JocX și O cu Raspberrry Pi</t>
  </si>
  <si>
    <t>NISTOR CLAUDIA, Aplicație aprofundare cunoștințe - preșcolari</t>
  </si>
  <si>
    <t>OLTEAN DENISA-MARIA, Aplicație WEB pentru unsalon de înfrumusețare</t>
  </si>
  <si>
    <t>GEORGESCU G. GEORGIANA-OANA, Aplicație de cursuri online de limbi străine</t>
  </si>
  <si>
    <t>COSTANDACHE ANDREI-ROBERT, Administrarea magazinului bisericesc</t>
  </si>
  <si>
    <t>BUICULESCU MIHAI, Modul de control programabil al echipamentelor de testare</t>
  </si>
  <si>
    <t>DÎRLEA MIHAI, Software, DevOps and Claud Technology Blog</t>
  </si>
  <si>
    <t>MACARIE CRISTINA-MARIA, Aplicație pentru vânzări online</t>
  </si>
  <si>
    <t>ȚIRICU ANDREEA-TEODORA-ANDRA, Aplicație WEB - Art Gallery</t>
  </si>
  <si>
    <t xml:space="preserve">Lucrare licenta - iulie 2023
Orosan G.G. Adrian (EA) - Sistem de reglare automată cu motor de curent continuu
</t>
  </si>
  <si>
    <t xml:space="preserve">Lucrare licenta - febr 2023
IGNAT P. ADRIAN(EM) - Comanada unui sistem de acționare cu motor pas cu pas
</t>
  </si>
  <si>
    <t xml:space="preserve">Lucrare licenta - iulie 2023
Turcu Andrei Constantin (EM) - Motorul de curent continuu utilizat într-o acționare electrică
</t>
  </si>
  <si>
    <t xml:space="preserve">Lucrare licenta - iulie 2023
Mihai Emanuel Valentin (EM) - Sistem automat de transport și selectare a deșeurilor utilizând un motor de curent continuu
</t>
  </si>
  <si>
    <t xml:space="preserve">Budreală V. Dănuț Constantin, Sursa de tensiune de putere, reglabilă, în comutație, licență </t>
  </si>
  <si>
    <t>Florea Constantin-Mihai, Senzor multiparametric cu transmisie Wi-Fi, licență</t>
  </si>
  <si>
    <t>Giurca I.Ion Cosmin, Sistem SDR pentru monitorizarea spectrului radio, licență</t>
  </si>
  <si>
    <t>Nicula Gh. Ionuț-Alexandru,  Monitorizarea și reglarea parametrilor de mediu pentru plantele din grădină, licență</t>
  </si>
  <si>
    <t>Ruiu I.Mihai-Alexandru, Calculul traficului în rețelele de telecomunicații, licență</t>
  </si>
  <si>
    <t>Surd N.Narcis-Nicolae, Studiu privind efectul zgomotului în comunicațiile radio cu modulații digitale, licență</t>
  </si>
  <si>
    <t>BULGARIU TEODORA-BIANCA, STUDIUL MOTOARELOR ELECTRICE FARA PERII, Licență</t>
  </si>
  <si>
    <t>MIHALY ANDRA-MIHAELA,
Motorul asincron trifazat alimentat prin convertor, licență</t>
  </si>
  <si>
    <t>MĂRGINEAN V.M. IULIAN IOAN ANDREI,Site web ”MONEDE VIRTUALE”,licenta</t>
  </si>
  <si>
    <t>Albu N. Elena-Cătălina,Aplicație pentru automatizarea injectării de erori prin scurtcircuitarea valvelor,licenta</t>
  </si>
  <si>
    <t>Barna V. Alin Vasile,Utilizarea limbajului de programare C# și Unity pentru realizarea unei aplicații de tip gaming,licenta</t>
  </si>
  <si>
    <t>Borcea N. Tudor-Nicolae,APLICATIE WEB CINEMATOGRAFIE,licenta</t>
  </si>
  <si>
    <t>Buliman D. Elis-Constantin,Platformă online de vânzare cumpărare a produselor reconditionate,licenta</t>
  </si>
  <si>
    <t>Cetean Sorin-Marian,Aplicatie WPF C# .NET Framework cu legaturi cu baze de date - Query Builder,licenta</t>
  </si>
  <si>
    <t>Chelariu Ionut,Top-down shooter 3D in Unity,licenta</t>
  </si>
  <si>
    <t>Chițiși A. Marius-Aurelian,Fotbal La Minut,licenta</t>
  </si>
  <si>
    <t>Frunză D.D. Andra-Maria,Aplicație pentru programări în cadrul unei clinici medicale,licenta</t>
  </si>
  <si>
    <t>Gavrilov F. Sabin Emanuel,Aplicatie web full stack,licenta</t>
  </si>
  <si>
    <t>Herciu Anamaria,APLICATIE MINI FACEBOOK,licenta</t>
  </si>
  <si>
    <t>Jibleanu Florin-Constantin,Aplicație web,licenta</t>
  </si>
  <si>
    <t>Lungu-Harca M.C. Roberto-Mihai,Task Manager în limbajul de programare C#,licenta</t>
  </si>
  <si>
    <t>Mihăluț C. Ovidiu-Cristian,Aplicație web furnizoare de servicii pentru evenimente utilizând java și angular,licenta</t>
  </si>
  <si>
    <t>Mitu Marian-Petre,"Aplicatie de tip ""Click&amp;Collect""",licenta</t>
  </si>
  <si>
    <t>Muntoiu G.F.  Maria-Larisa,Aplicație web pentru managementul unei întreprinderi,licenta</t>
  </si>
  <si>
    <t>Negoescu G. Vlad-Gheorghe,FitnessApplication-Android,licenta</t>
  </si>
  <si>
    <t>Pascu Vlad-Florin,Joc Memory Cards,licenta</t>
  </si>
  <si>
    <t>Petelează A. Darius,Algoritm de învățare automată pentru segmentare de imagini,licenta</t>
  </si>
  <si>
    <t>Piloiu H.S. Nicoleta-Denisa,TRACEABILITY APP  GESTIONAREA INTERNĂ A TICKETELOR,licenta</t>
  </si>
  <si>
    <t>Povar G. Raluca-Andreea,Aplicație gestionare voturi în perioada electorală,licenta</t>
  </si>
  <si>
    <t>Săftoiu Octavian-Ion,Aplicatie WEB,licenta</t>
  </si>
  <si>
    <t>Stelian Andrei-George,Aplicatie Web Fullstack .NET + Angular,licenta</t>
  </si>
  <si>
    <t>Tănase A.D. Raul-Ștefan,Aplicație C# .NET - Destinată domeniului medical,licenta</t>
  </si>
  <si>
    <t>Vale Monica-Valentina,Aplicație culinară,licenta</t>
  </si>
  <si>
    <t>ILOVAN O.I. ALEXANDRA-BIANCA,Aplicație pentru gestionarea cheltuielilor în .Net,licenta</t>
  </si>
  <si>
    <t>MUNTEAN I.O. SEBASTIAN-IOAN,Platforma de gestionare a angajaților (Employee Management),licenta</t>
  </si>
  <si>
    <t>BĂLTEANU N NICOLAE-JUSTINIAN,Aplicație bazată pe engine-ul Unity,licenta</t>
  </si>
  <si>
    <t>CONSTANTINESCU A ANDREI-GEORGE,Skid Racetrack Game,licenta</t>
  </si>
  <si>
    <t>DĂMIAN V VASILE-LAURENȚIU,Aplicație C: SteerTurnIllum,licenta</t>
  </si>
  <si>
    <t>DICU E ALEXANDRU-NICOLAE,Manager de Parole,licenta</t>
  </si>
  <si>
    <t>DINICĂ FA EDUARD-MIHAI,Game Engine,licenta</t>
  </si>
  <si>
    <t>DRAGOMIR I ANDREI IOAN,Aplicație programări online,licenta</t>
  </si>
  <si>
    <t>FRĂȚILĂ S ANDREEA-STELIANA,Aplicație web pentru creșterea conștientizării ecologice și reducerea amprentei de carbon,licenta</t>
  </si>
  <si>
    <t>ION V ADRIAN-GABRIEL, Aplicație de învățat limba Germană,licenta</t>
  </si>
  <si>
    <t>MIHAI M CORNELIU-ȘTEFAN,Aplicație cu scop didactic,licenta</t>
  </si>
  <si>
    <t>PETRUTA I.C. ALBERT,Aplicaţie web in domeniul automotive,licenta</t>
  </si>
  <si>
    <t>PREDOI G VLAD MARIUS,Platforma de invatare pentru limbajul C,licenta</t>
  </si>
  <si>
    <t>RĂDULESCU G ROBERT-VALENTIN,Aplicație de gestiune,licenta</t>
  </si>
  <si>
    <t>ȘEICAN B. CRISTIAN,Notector,licenta</t>
  </si>
  <si>
    <t>URZICĂ-PLATON C CASIAN,Aplicație web cu bază de date pentru educație,licenta</t>
  </si>
  <si>
    <t>BUTUNOIU T. VASILE,Magazin Online,licenta</t>
  </si>
  <si>
    <t>POPA D. DIANA-SALOMEEA,UpFront,licenta</t>
  </si>
  <si>
    <t>BIRJAR FLORIN ALEXANDRU,Servers Portofoliu,licenta</t>
  </si>
  <si>
    <t>CAZMA DENIS,Contiverse,licenta</t>
  </si>
  <si>
    <t>CLISERU ANDREEA,Treasure Hunt,licenta</t>
  </si>
  <si>
    <t>DINICĂ JUSTINIAN-MIHAI,Joc 3D în Unity,licenta</t>
  </si>
  <si>
    <t>DULCĂ PETRE,Joc 3D în Unity de tip RPG,licenta</t>
  </si>
  <si>
    <t>ILIE IOANA-DANIELA,Joc 3D în Unity,licenta</t>
  </si>
  <si>
    <t>MICU DELIA-MARIA,Aplicație web fullstack pentru organizareade evenimente,licenta</t>
  </si>
  <si>
    <t>OPRIȘ ALEXANDRU,Tehnologizarea cutiei poștale clasice,licenta</t>
  </si>
  <si>
    <t>PĂTRU GEORGIANA VANESSA,Dragons saviour - Unity 3D Puzzle Game,licenta</t>
  </si>
  <si>
    <t>BUDIN MIHAI,Monitoring tool,master</t>
  </si>
  <si>
    <t>BUTOI EMANUEL-SEBASTIAN,From strategy to practice: a blueprint for designing scalable and robust system,master</t>
  </si>
  <si>
    <t>IGNAT NICOLAE-LUCIAN,Mobile application,master</t>
  </si>
  <si>
    <t>PÎRJOLEA MELITTA,Web application for car eleet management,master</t>
  </si>
  <si>
    <t>NANU R. PAUL,Video and Photo Sharing Platform,master</t>
  </si>
  <si>
    <t>BEJU G. MARIA,Magazin de papetărie,master</t>
  </si>
  <si>
    <t>MOCANU I. CRISTINA,Aplicație mobilă cu baze de date pentru interpretarea datelor senzoriale colectate din mediul înconjurător,master</t>
  </si>
  <si>
    <t>VIERIU V. ANDREEA-MARIA (FURDUI),Aplicație de management a sistemelor de testare,master</t>
  </si>
  <si>
    <t>ISPAS ROBERT-SILVIU,Aplicație pentru restaurant,master</t>
  </si>
  <si>
    <t>POPA IONUȚ,Implementarea unui joc 2D în Unity,master</t>
  </si>
  <si>
    <t>POPESCU MIHAI-GABRIEL,Joc Bomberman în Unity,master</t>
  </si>
  <si>
    <t>VOICU MARIUS-ȘTEFAN,Implementarea unui joc 2D în Unity,master</t>
  </si>
  <si>
    <t>HĂLMAGIU IULIA IOANA,Sisteme de testare automată a comunicației CAN în automotive. Aplicație demonstrativă.,master</t>
  </si>
  <si>
    <t>RANF CARMEN-MARIA,Gestionarea eficientă a procesului de dezvoltare aferent aplicațiilor software pentru industria automotive.,master</t>
  </si>
  <si>
    <t>HODIRNAU DAN-CALIN, licenta EA, Realizarea practica a unei stații de cositorit</t>
  </si>
  <si>
    <t>TEODORESCU RARES-STEFAN, licenta EA, Diagnosticarea automată a deformărilor coloanei verticale</t>
  </si>
  <si>
    <t>Stancete Constantin-Adrian, licenta EA, Estimarea componentelor de frecvență înaltă în reeșantionare</t>
  </si>
  <si>
    <t>Stuparu Gabriela-Florentina
Detecția și decodarea codurilor QR în imagini</t>
  </si>
  <si>
    <t>RADU O.A. GEORGE-LUCIAN
Monitorizarea arealelor naturale folosind tehnici de procesare a imaginilor și rețele neurale</t>
  </si>
  <si>
    <t xml:space="preserve">Diring Andrei Liviu (sesiune Februarie)
Recunoașterea componentelor electronice cu ajutorul rețelei CNN
</t>
  </si>
  <si>
    <t xml:space="preserve">Gheorghitescu Cosmin Stefan (sesiune Februarie)
Calcularea automată a punctelor pe o masă de snooker folosind prelucrarea imaginilor
</t>
  </si>
  <si>
    <t>Cărăbineanu Z.D. Ionela-Maria
Detecția somnolenței folosind tehnici de procesare a imaginilor în infraroșu</t>
  </si>
  <si>
    <t xml:space="preserve">Diring A. Andrei Liviu                Recunoașterea componentelor electronice cu ajutorul rețelei CN   
</t>
  </si>
  <si>
    <t xml:space="preserve">Gheorghitescu Cosmin Stefan
Calcularea automată a punctelor pe o masă de snooker folosind prelucrarea imaginilor
</t>
  </si>
  <si>
    <t>Hora I. Samuel-Adi
Detecție și recunoaștere facială folosind rețele neurale</t>
  </si>
  <si>
    <t>Săvescu Dragoș
Monitorizarea alunițelor atipice folosind tehnici de procesare a imaginilor</t>
  </si>
  <si>
    <t>Harda Ioana
Detecția și urmărirea celulelor din sânge folosind tehnici de procesare
a imaginilor</t>
  </si>
  <si>
    <t>Larionescu Adrian, Software de recunoaștere a unei liste de componente cu dimensiuni variabile în cadrul unor documente scanate prin procedee OCR, AI și ML, Licenta</t>
  </si>
  <si>
    <t>Moldovan A.C. Radu-Constantin, IMPLEMENTAREA UNUI BLOCKCHAIN PROOF OF STAKE CU APLICAȚIE ÎN SUPPLY CHAIN, Licenta</t>
  </si>
  <si>
    <t>Raulea Rares-Vasile, Platformă pentru administrarea în comun a activelor digitale, prin vot democratic, folosind Smart Contracts si tehnologia blockchain, Licenta</t>
  </si>
  <si>
    <t>EREMIA Ș FLAVIUS, Aplicație cross-platform wallet care să interacționeze cu smart contracts prin intermediul unui dApp, Licenta</t>
  </si>
  <si>
    <t>Banea F. Marcus-Andrei - Concurs de boți implementat în cadrul unui joc de cărți Iulie 2023</t>
  </si>
  <si>
    <t>Bucurenciu A. Bogdan Cristian - Concurs de boți implementat în cadrul unui joc de cărți de societate - Iulie 2023</t>
  </si>
  <si>
    <t>Essigmann Christian - George-Sistem automat pentru irigarea plantelor - Iulie 2023</t>
  </si>
  <si>
    <t>Otves Dragoș Mihai - Platformă de examinare online cu notare automată - Iulie 2023</t>
  </si>
  <si>
    <t>Stoica-Onghert Laurențiu-Ioan - Calculator pentru proiecte de construcție - Iulie 2023</t>
  </si>
  <si>
    <t>Andrei-Alexandru GRIGORESCU - Aplicație de management al unui restaurant - Iulie 2023</t>
  </si>
  <si>
    <t>Lazar Andreea-Cristina - Sistem de licitație pentru servicii - Iulie 2023</t>
  </si>
  <si>
    <t>Moga Olimpiu Nicolae - Dispozitiv pentru interpretarea mediului 
înconjurator pentru oamenii cu dizabilități de vedere - Iulie 2023</t>
  </si>
  <si>
    <t>Badea Cristina Maria - A pattern recognition system for sound classification - Iulie 2023</t>
  </si>
  <si>
    <t>TIBOLDI G.O. ROBERTO-CIPRIAN, "Dezvoltarea comparativă a unei aplicații iOS e-Certificate utilizând framework-urile SwiftUI și UIKit",  licenta Tehnologia Informatiei, iulie 2023</t>
  </si>
  <si>
    <t>BOLOVAN GHEORGHE-HORAȚIU, "Dezvoltarea comparativa a unei aplicații în ecosistemul iOS și Android", licenta Calculatoare, iulie 2023</t>
  </si>
  <si>
    <t>SZABO TAMARA, "Aplicație Android pentru stocarea și gestionarea documentelor auto", licenta ISM, iulie 2023</t>
  </si>
  <si>
    <t>BOBIȚAN DARIA ANTONIA	Aplicație inovativă pentru fitness</t>
  </si>
  <si>
    <t>CLOȚAN IULIANA	Detectarea falsificării de imagini</t>
  </si>
  <si>
    <t>JIGA GABRIEL SEBASTIAN	Joc online multiplayer</t>
  </si>
  <si>
    <t>DUMITRESCU DIANA-ANDREIA	Sistem de evaluare online</t>
  </si>
  <si>
    <t>ABALASEI RALUCA, Magazin online cu gestiune inteligenta, licenta ISM, iulie 2023</t>
  </si>
  <si>
    <t>BILDEA NICOLAE, Aplicație pentru gestionarea  unei firme de constructii, licenta Calculatoare, iulie 2023</t>
  </si>
  <si>
    <t>LĂPUȘTE ANDREAS-VIOREL-SIMULAREA UNEI MICROREȚELE ÎN CADRUL UNUI LABORATOR ULBS</t>
  </si>
  <si>
    <t>CHICIOROAGĂ NICHITA-TRAIAN Stand pentru utilizarea energiei fotovoltaice în alimentarea consumatorilor casnici</t>
  </si>
  <si>
    <t>DRICU ELENA-RALUCA Utilizarea energiei electrice regenerabile la nivelul unui prosumer</t>
  </si>
  <si>
    <t>TUTELEA DAMARIS -Stand studiu automatelor sincrone</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</si>
  <si>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</si>
  <si>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</si>
  <si>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</si>
  <si>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</si>
  <si>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</si>
  <si>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</si>
  <si>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</si>
  <si>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</si>
  <si>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</si>
  <si>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</si>
  <si>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</si>
  <si>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</si>
  <si>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</si>
  <si>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Rezistenta materialelor (C - II IEDM - 27 stud) examen semestru</t>
  </si>
  <si>
    <t>Titular</t>
  </si>
  <si>
    <t>Rezistenta materialelor (C - II IEDM - 27 stud) restanta</t>
  </si>
  <si>
    <t>Rezistenta materialelor (C - II IEDM - 27 stud) reexaminare</t>
  </si>
  <si>
    <t>Rezistenta materialelor (C - II Mec - 24 stud) examen semestru</t>
  </si>
  <si>
    <t>Rezistenta materialelor (C - II Mec - 24 stud) restanta</t>
  </si>
  <si>
    <t>Rezistenta materialelor (C - II Mec - 24 stud) reexaminare</t>
  </si>
  <si>
    <t>Rezistenta materialelor (C - II Rob - 16 stud) examen semestru</t>
  </si>
  <si>
    <t>Rezistenta materialelor (C - II Rob - 16 stud) restanta</t>
  </si>
  <si>
    <t>Rezistenta materialelor (C - II Rob - 16 stud) reexaminare</t>
  </si>
  <si>
    <t>Metode numerice de modelare, simuare (C - III TDDH - 18 stud) examen semestru</t>
  </si>
  <si>
    <t>Metode numerice de modelare, simuare  (C - III TDDH - 18 stud) restanta</t>
  </si>
  <si>
    <t>Metode numerice de modelare, simuare (C - III TDDH - 18 stud) reexaminare</t>
  </si>
  <si>
    <t>Rezistenta materialelor (C - II ITT - 22 stud) examen semestru</t>
  </si>
  <si>
    <t>Rezistenta materialelor (C - II ITT - 22 stud) restanta</t>
  </si>
  <si>
    <t>Rezistenta materialelor (C - II ITT - 22 stud) reexaminare</t>
  </si>
  <si>
    <t>Proba orala admitere master - iulie 2023, SMA, 32 studenți</t>
  </si>
  <si>
    <t>Examen de admiere la doctorat (domeniile Inginerie Industrială + Inginerie Mecanică)</t>
  </si>
  <si>
    <t>Examen de licență, membru comisie, Mecatronica, 1 student, martie 2023</t>
  </si>
  <si>
    <t xml:space="preserve">FING4 </t>
  </si>
  <si>
    <t>Actionari electrice pentru masini unelte (C- IIISPD - 15 stud ) evaluare parcurs</t>
  </si>
  <si>
    <t>Automatizarea  sistemelor de fabricatie 1 (C- IIISPD - 15 stud ) evaluare parcurs</t>
  </si>
  <si>
    <t>Automatizari industriale(C - IIIEM - 24 stud ) evaluare parcurs</t>
  </si>
  <si>
    <t>Automatizari in electronica industriala (C - IVEA -24 stud ) evaluare parcurs</t>
  </si>
  <si>
    <t>Comanda si programarea masinilor unelte cu comanda numerica (L- IIISPD - 15 stud) evaluare laborator</t>
  </si>
  <si>
    <t>Programarea echip de comanda numerica (L- IV MEC - 26 stud ) evaluare laborator</t>
  </si>
  <si>
    <t>Comanda si programarea masinilor unelte cu comanda numerica (C- IIISPD - 15 stud) asistent examen</t>
  </si>
  <si>
    <t>Asistent</t>
  </si>
  <si>
    <t>Programarea echip de comanda numerica (L- IV MEC - 26 stud ) asistent examen</t>
  </si>
  <si>
    <t>Actionari electrice pentru masini unelte (C- IIISPD - 15 stud ) evaluare finala</t>
  </si>
  <si>
    <t>Automatizarea  sistemelor de fabricatie 1 (C- IIISPD - 15 stud ) evaluare finala</t>
  </si>
  <si>
    <t>Automatizari industriale(C - IIIEM - 24 stud ) evaluare finala</t>
  </si>
  <si>
    <t>Automatizari in electronica industriala (C - IVEA -24 stud ) evaluare finala</t>
  </si>
  <si>
    <t>Examen proba orala de verificare cunostinte  MASTER  inginerie Industriala sesiunea iulie (72 studenti)</t>
  </si>
  <si>
    <t>Examen proba orala de verificare cunostinte  MASTER  inginerie Industriala sesiunea septembrie (43 studenti)</t>
  </si>
  <si>
    <t>Examen de licență, SPD, 13 studenți</t>
  </si>
  <si>
    <t>Comanda si programarea masinilor unelte cu comanda numerica (C- IIISPD - 15 stud) asistent restanta</t>
  </si>
  <si>
    <t>Programarea echip de comanda numerica (L- IV MEC - 26 stud ) asistent restanta</t>
  </si>
  <si>
    <t>Actionari electrice pentru masini unelte (C- IIISPD - 15 stud ) evaluare restanta</t>
  </si>
  <si>
    <t>Automatizarea  sistemelor de fabricatie 1 (C- IIISPD - 15 stud ) evaluare restanta</t>
  </si>
  <si>
    <t>Automatizari industriale(C - IIIEM - 24 stud ) evaluare restanta</t>
  </si>
  <si>
    <t>Automatizari in electronica industriala (C - IVEA -24 stud ) evaluare restanta</t>
  </si>
  <si>
    <t>Automate programabile IV MEC-E, 9 studenți, evaluare pe parcurs</t>
  </si>
  <si>
    <t>Automate programabile IV MEC-E, 9 studenți, evaluare finală</t>
  </si>
  <si>
    <t>Programarea microcontrollerelor III MEC-E, 14 studenți, evaluare pe parcurs</t>
  </si>
  <si>
    <t>Programarea microcontrollerelor III MEC-E, 14 studenți, evaluare finală</t>
  </si>
  <si>
    <t>Teoria sistemelor automate IIISPD, 11 studenți, evaluare pe parcurs</t>
  </si>
  <si>
    <t>Exemen de licență, MEC + MEC-E, 38 studenți</t>
  </si>
  <si>
    <t>Exemen de disertație SCCCDP, 18 studenți</t>
  </si>
  <si>
    <t>Exemen de disertație SMA, 16 studenți</t>
  </si>
  <si>
    <t>Exemen de disertație SPMS, 1 studenți</t>
  </si>
  <si>
    <t>Examen de admitere la doctorat, 9 candidați</t>
  </si>
  <si>
    <t>4 Mec - SFF1 26 stud - evaluare pe parcurs, examen, restanta , reexaminare</t>
  </si>
  <si>
    <t>4 Mec - SFF2 26 stud - evaluare pe parcurs, examen, restanta , reexaminare</t>
  </si>
  <si>
    <t>4 EM - Tehn.fab. Echip.electro. 16 stud - evaluare pe parcurs, examen, restanta , reexaminare</t>
  </si>
  <si>
    <t>3 Mec program micrtolerelor 1sg L - evaluare  pe parcurs - 14 stud</t>
  </si>
  <si>
    <t>3 Mec +3 Rrob- Bazele rob 27+18 stud  evaluare pe parcurs, examen, restanta , reexaminare</t>
  </si>
  <si>
    <t>3 Mec program micrtolerelo 27 stud</t>
  </si>
  <si>
    <t>Examen de admitere master SMA (35 iulie + 24 sept = 56 stud)</t>
  </si>
  <si>
    <t>Examen licenta Mecatronica (27 stud)</t>
  </si>
  <si>
    <t>Examen licenta Robotica ( 14 stud+1 stud febr)</t>
  </si>
  <si>
    <t>Examen licenta Mecatronica Engleza - (10 stud )</t>
  </si>
  <si>
    <t>Examen licenta SPD - (13 stud )</t>
  </si>
  <si>
    <t>Examen disertatie SMA (15 stud + 1 febr)</t>
  </si>
  <si>
    <t>Tehnologii de prelucrare prin def. 1 (Curs - III TCM - 30 stud ) - Evaluare periodică</t>
  </si>
  <si>
    <t>Tehnologii de prelucrare prin def. 1 (Curs - III TCM - 30 stud ) - Examen</t>
  </si>
  <si>
    <t>Tehnologii de prelucrare prin def. 1 (Curs - III TCM - 7.5 stud ) - Restanță</t>
  </si>
  <si>
    <t>Analiza cu elemente finite (Curs - IV Mec - 26 stud ) - Evaluare periodică</t>
  </si>
  <si>
    <t>Analiza cu elemente finite (Curs - IV Mec - 26 stud ) - Examen</t>
  </si>
  <si>
    <t>Analiza cu elemente finite (Curs - IV Mec - 6.5 stud ) - Restanță</t>
  </si>
  <si>
    <t>Analiza cu elemente finite în robotică (Curs - IV Rob - 16 stud ) - Evaluare periodică</t>
  </si>
  <si>
    <t>Analiza cu elemente finite în robotică (Curs - IV Rob - 16 stud ) - Examen</t>
  </si>
  <si>
    <t>Analiza cu elemente finite în robotică (Curs - IV Rob - 4 stud ) - Restanță</t>
  </si>
  <si>
    <t>Proiectarea cu ajutorul elementului finit (Curs - IV IEDM - 35 stud ) - Evaluare periodică</t>
  </si>
  <si>
    <t>Proiectarea cu ajutorul elementului finit (Curs - IV IEDM - 35 stud ) - Colocviu</t>
  </si>
  <si>
    <t>Proiectarea cu ajutorul elementului finit (Curs - IV IEDM - 8.75 stud ) - Restanță</t>
  </si>
  <si>
    <t>Proiectarea cu ajutorul elementului finit (Laborator - IV IEDM, 1 sgr. - 12 stud ) - Evaluare periodică</t>
  </si>
  <si>
    <t>Comisia de licență - Mecatronică - lb. română, 27 studenți - iulie 2023</t>
  </si>
  <si>
    <t>Comisia de licență - Mecatronică - lb. română, 1 student - martie 2023</t>
  </si>
  <si>
    <t>Comisia de licență - TCM, 38 studenți - iulie 2023</t>
  </si>
  <si>
    <t>Comisia de disertație - STIF, 15 studenți - iulie 2023</t>
  </si>
  <si>
    <t>Comisia de disertație - SCCCDP, 18 studenți - iulie 2023</t>
  </si>
  <si>
    <t>Creație artistică în textile pielărie  (C-IV IEI -15 stud) evaluare pe parcurs</t>
  </si>
  <si>
    <t>Creație artistică în textile pielărie  (C-IV IEI -15 stud) evaluare finală</t>
  </si>
  <si>
    <t>Creație artistică în textile pielărie  (C-IV IEI -15 stud) restanta</t>
  </si>
  <si>
    <t>Creație artistică în textile pielărie  (C-IV IEI -15 stud) reexaminari</t>
  </si>
  <si>
    <t>Creație artistică în textile pielărie  (L-IV IEI -15 stud) evaluare pe parcurs</t>
  </si>
  <si>
    <t>Design în textile-pielărie (C-III IEI -22 stud) evaluare  pe parcurs</t>
  </si>
  <si>
    <t>Design în textile-pielărie (C-III IEI -22 stud) evaluare finală</t>
  </si>
  <si>
    <t>Design în textile-pielărie (L- III IEI -22 stud) evaluare  pe parcurs</t>
  </si>
  <si>
    <t>Tiitular</t>
  </si>
  <si>
    <t>Design în textile-pielărie (C-III IEI -22 stud) restanta</t>
  </si>
  <si>
    <t>Design în textile-pielărie (C-III IEI -22 stud) reexaminari</t>
  </si>
  <si>
    <t>Geometrie descriptivă (L - I TCM - 53 stud) evaluare  pe parcurs</t>
  </si>
  <si>
    <t>Geometrie descriptivă (L- I TCM - 53 stud) examen semestru</t>
  </si>
  <si>
    <t>Geometrie descriptivă (L- I IPMI - 13 stud) evaluare  pe parcurs</t>
  </si>
  <si>
    <t>Geometrie descriptivă (L- I IPMI - 13 stud) examen semestru</t>
  </si>
  <si>
    <t>Mecanica (C-II MEC E -7 stud) evaluare  pe parcurs</t>
  </si>
  <si>
    <t>Mecanica (C-II MEC E -7 stud) evaluare finală</t>
  </si>
  <si>
    <t>Mecanica (C-II MEC E -7 stud) restanta</t>
  </si>
  <si>
    <t>Mecanica (C-II MEC E -7 stud) reexaminari</t>
  </si>
  <si>
    <t>Mecanica (S-II MEC E -7 stud) evaluare  pe parcurs</t>
  </si>
  <si>
    <t>Examen de licenta TTC (12 stud)</t>
  </si>
  <si>
    <t>Examen de licenta IEI (13 stud)</t>
  </si>
  <si>
    <t>Examen de licenta IEI martie (2 stud)</t>
  </si>
  <si>
    <t>Structuri textile-tricoturi (C - III TTC - 6 stud.) evaluare finala</t>
  </si>
  <si>
    <t>Structuri textile-tricoturi (C - III IEI - 22 stud.) evaluare finala</t>
  </si>
  <si>
    <t>Structuri textile-tricoturi (L - III TTC - 6 stud.) evaluare de parcurs</t>
  </si>
  <si>
    <t>Structuri textile-tricoturi (L - III TTC - 6 stud.) evaluare finala</t>
  </si>
  <si>
    <t>Controlul si asigurarea calitatii in tex (C - III TTC - 6 stud.)  evaluare finala</t>
  </si>
  <si>
    <t>Controlul si asigurarea calitatii in tex  (L - III TTC - 6 stud.)  evaluare de parcurs</t>
  </si>
  <si>
    <t>Controlul si asigurarea calitatii in tex  (L - III TTC - 6 stud.)  evaluare finala</t>
  </si>
  <si>
    <t>Structura si proiectarea tricoturilor  (C - III TTC -6 stud.)  evaluare finala</t>
  </si>
  <si>
    <t>Structura si proiectarea tricoturilor  (P - III TTC - 6 stud.)  evaluare finala</t>
  </si>
  <si>
    <t>Proiectare asist de calc în tricotaje  (C - IV IEI - 15 stud.)  evaluare finala</t>
  </si>
  <si>
    <t>Proiectare asist de calc în tricotaje (L - IV IEI - 15 stud.)  evaluare de parcurs</t>
  </si>
  <si>
    <t>Proiectare asist de calc în tricotaje (L - IV IEI - 15 stud.)  evaluare finala</t>
  </si>
  <si>
    <t>Structuri textile-tricoturi (L - III IEI - 22 stud.)  evaluare de parcurs</t>
  </si>
  <si>
    <t>Structuri textile-tricoturi (L - III IEI - 22 stud.)  evaluare finala</t>
  </si>
  <si>
    <t>Structuri textile-tricoturi (C - III TTC - 2 stud.) restanta</t>
  </si>
  <si>
    <t>Structura si proiectarea tricoturilor  (C - III TTC -2 stud.) restanta</t>
  </si>
  <si>
    <t>Controlul si asigurarea calitatii in tex (C - III TTC - 2 stud.) restanta</t>
  </si>
  <si>
    <t>Proiectare asist de calc în tricotaje  (C - IV IEI - 4 stud.)  restanta</t>
  </si>
  <si>
    <t>Structuri textile-tricoturi (C - III IEI - 6 stud.) restanta</t>
  </si>
  <si>
    <t>Structuri textile-tricoturi (C - III TTC - 1 stud.) reexaminare</t>
  </si>
  <si>
    <t>Structuri textile-tricoturi (C - III IEI - 3 stud.) reexaminare</t>
  </si>
  <si>
    <t>Controlul si asigurarea calitatii in tex (C - III TTC - 1 stud.) reexaminare</t>
  </si>
  <si>
    <t>Structura si proiectarea tricoturilor  (C - III TTC -1 stud.) reexaminare</t>
  </si>
  <si>
    <t>Proiectare asist de calc în tricotaje  (C - IV IEI - 2 stud.) reexaminare</t>
  </si>
  <si>
    <t>Examen de licență iulie, TTC, 13 studenți</t>
  </si>
  <si>
    <t>Examen de licență iulie, IEI, 14 studenți</t>
  </si>
  <si>
    <t>Examen de licență martie, IEI, 2 studenți</t>
  </si>
  <si>
    <t>Desen Tehnic si Infografica (C - I - TCM+SPD 53+21 stud) examen semestru</t>
  </si>
  <si>
    <t>Desen Tehnic si Infografica (C - I - TCM+SPD 53+21 stud) evaluare parcurs</t>
  </si>
  <si>
    <t>Desen Tehnic si Infografica (C - I - TCM+SPD 53+21 stud) restanta</t>
  </si>
  <si>
    <t>Desen Tehnic si Infografica (C - I - TCM+SPD 53+21 stud) reexaminare</t>
  </si>
  <si>
    <t>Geometrie Descriptiva (C - I - TCM+SPD 53+21 stud) examen semestru</t>
  </si>
  <si>
    <t>Geometrie Descriptiva (C - I - TCM+SPD 53+21 stud) evaluare parcurs</t>
  </si>
  <si>
    <t>Geometrie Descriptiva (C - I - TCM+SPD 53+21 stud) restanta</t>
  </si>
  <si>
    <t>Geometrie Descriptiva (C - I - TCM+SPD 53+21 stud) reexaminare</t>
  </si>
  <si>
    <t>Desen Tehnic si Infografica 2 (C - II - IEDM+IEI 27+11 stud) examen semestru</t>
  </si>
  <si>
    <t>Desen Tehnic si Infografica 2 (C - II - IEDM+IEI 27+11 stud) evaluare parcurs</t>
  </si>
  <si>
    <t>Desen Tehnic si Infografica 2 (C - II - IEDM+IEI 27+11 stud) restanta</t>
  </si>
  <si>
    <t>Desen Tehnic si Infografica 2 (C - II - IEDM+IEI 27+11 stud) reexaminare</t>
  </si>
  <si>
    <t>Desen Tehnic si Infografica 1 (C - I - IEDM 27 stud) examen semestru</t>
  </si>
  <si>
    <t>Desen Tehnic si Infografica 1 (C - I - IEDM 27 stud) evaluare parcurs</t>
  </si>
  <si>
    <t>Desen Tehnic si Infografica 1 (C - I - IEDM 27 stud) restanta</t>
  </si>
  <si>
    <t>Desen Tehnic si Infografica 1 (C - I - IEDM 27 stud) reexaminare</t>
  </si>
  <si>
    <t>Desen Tehnic si Infografica 2 (C - II - TDDH 13 stud) examen semestru</t>
  </si>
  <si>
    <t>Desen Tehnic si Infografica 2 (C - II - TDDH 13 stud) evaluare parcurs</t>
  </si>
  <si>
    <t>Desen Tehnic si Infografica 2 (C - II - TDDH 13 stud) restanta</t>
  </si>
  <si>
    <t>Desen Tehnic si Infografica 2 (C - II - TDDH 13 stud) reexaminare</t>
  </si>
  <si>
    <t>Desen Tehnic si Infografica 1 (C - I -TDDH+IPMI 34+13 stud) examen semestru</t>
  </si>
  <si>
    <t>Desen Tehnic si Infografica 1 (C - I -TDDH+IPMI 34+13 stud) evaluare parcurs</t>
  </si>
  <si>
    <t>Desen Tehnic si Infografica 1 (C - I -TDDH+IPMI 34+13 stud) restanta</t>
  </si>
  <si>
    <t>Desen Tehnic si Infografica 1 (C - I -TDDH+IPMI 34+13 stud) reexaminare</t>
  </si>
  <si>
    <t>Graf Asist de Calculator (C - I -EA+EM 18+17 stud) examen semestru</t>
  </si>
  <si>
    <t>Graf Asist de Calculator (C - I -EA+EM 18+17 stud) evaluare parcurs</t>
  </si>
  <si>
    <t>Graf Asist de Calculator (C - I -EA+EM 18+17 stud) restanta</t>
  </si>
  <si>
    <t>Graf Asist de Calculator (C - I -EA+EM 18+17 stud) reexaminare</t>
  </si>
  <si>
    <t>Desen Tehnic si Infografica (C - I -ITT 25 stud) examen semestru</t>
  </si>
  <si>
    <t>Desen Tehnic si Infografica (C - I -ITT 25 stud) evaluare parcurs</t>
  </si>
  <si>
    <t>Desen Tehnic si Infografica (C - I -ITT 25 stud) restanta</t>
  </si>
  <si>
    <t>Desen Tehnic si Infografica (C - I -ITT 25 stud) reexaminare</t>
  </si>
  <si>
    <t>Subcomisia Corectura CIE (C+TI+ISM 90+34+32 stud)</t>
  </si>
  <si>
    <t>Siguranta pasiva a autovehiculelor (L- II ITT - 11 stud ) evaluare parcus</t>
  </si>
  <si>
    <t>Siguranta pasiva a autovehiculelori (C- II ITT - 11 stud ) evaluare finală</t>
  </si>
  <si>
    <t xml:space="preserve">Asistent </t>
  </si>
  <si>
    <t xml:space="preserve">Electronica de putere (L- II MecE - 7 stud )  evaluare parcus </t>
  </si>
  <si>
    <t>Electronica de putere (C- II MecE - 7 stud )  evaluare finală</t>
  </si>
  <si>
    <t xml:space="preserve">Electronica de putere (L- II Mec - 24 stud )  evaluare parcus </t>
  </si>
  <si>
    <t>Electronica de putere (C- II Mec - 24 stud )  evaluare finală</t>
  </si>
  <si>
    <t xml:space="preserve">Electronica de putere (L- II Rob - 16 stud )  evaluare parcus </t>
  </si>
  <si>
    <t>Electronica de putere (C- II Rob - 16 stud )  evaluare finală</t>
  </si>
  <si>
    <t xml:space="preserve">Electronica  (L- II MecE - 7 stud )  evaluare parcus </t>
  </si>
  <si>
    <t>Electronica (C- II MecE - 7 stud )  evaluare finală</t>
  </si>
  <si>
    <t xml:space="preserve">Electronica  (L- II Mec - 24 stud )  evaluare parcus </t>
  </si>
  <si>
    <t>Electronica  (C- II Mec - 24 stud )  evaluare finală</t>
  </si>
  <si>
    <t xml:space="preserve">Electronica  (L- II Rob - 16 stud )  evaluare parcus </t>
  </si>
  <si>
    <t>Electronica  (C- II Rob - 16 stud )  evaluare finală</t>
  </si>
  <si>
    <t xml:space="preserve">Electrotehnica  (L- II MecE - 7 stud )  evaluare parcus </t>
  </si>
  <si>
    <t>Electrotehnica (C- II MecE - 7 stud )  evaluare finală</t>
  </si>
  <si>
    <t xml:space="preserve">Electrotehnica  (L- II Mec - 24 stud )  evaluare parcus </t>
  </si>
  <si>
    <t>Electrotehnica  (C- II Mec - 24 stud )  evaluare finală</t>
  </si>
  <si>
    <t xml:space="preserve">Electrotehnica  (L- II Rob - 16 stud )  evaluare parcus </t>
  </si>
  <si>
    <t>Electrotehnica (C- II Rob - 16 stud )  evaluare finală</t>
  </si>
  <si>
    <t xml:space="preserve">Automate programabile (L- IV MecE - 9 stud )  evaluare parcus </t>
  </si>
  <si>
    <t>Automate programabile (C- IV MecE - 9 stud )  evaluare finală</t>
  </si>
  <si>
    <t xml:space="preserve">Automate programabile (L- IV Mec - 26 stud )  evaluare parcus </t>
  </si>
  <si>
    <t>Automate programabile (C- IV Mec - 26 stud )  evaluare finală</t>
  </si>
  <si>
    <t xml:space="preserve">Automate programabile (L- IV Rob - 16 stud )  evaluare parcus </t>
  </si>
  <si>
    <t>Automate programabile (C- IV Rob - 16 stud )  evaluare finală</t>
  </si>
  <si>
    <t xml:space="preserve">Actionari electrice (L- III MecE - 14 stud )  evaluare parcus </t>
  </si>
  <si>
    <t>Actionari electrice (C- III MecE - 14 stud )  evaluare finală</t>
  </si>
  <si>
    <t xml:space="preserve">Actionari electrice (P- III MecE - 14 stud )  evaluare parcus </t>
  </si>
  <si>
    <t xml:space="preserve">Bazele sistemelor mecatronice (L- II MecE - 7 stud )  evaluare parcus </t>
  </si>
  <si>
    <t>Bazele sistemelor mecatronice (C- II MecE - 7 stud )  evaluare finală</t>
  </si>
  <si>
    <t>Examen de diploma - 06 Iulie 2023, SPD 13 studenti</t>
  </si>
  <si>
    <t>Proba orala admitere master - iulie 2022, SMA, 32 studenți</t>
  </si>
  <si>
    <t>Proba orala admitere master - septembrie 2022, SMA, 24 studenți</t>
  </si>
  <si>
    <t>Arhitectura calculatoarelor numerice (L - II MEC - 23) - evaluare de parcurs</t>
  </si>
  <si>
    <t>23/3</t>
  </si>
  <si>
    <t>Arhitectura calculatoarelor numerice (L - II MEC - 23) - examen semestru</t>
  </si>
  <si>
    <t>23/3*0.5</t>
  </si>
  <si>
    <t>Arhitectura calculatoarelor numerice (L - II MEC - 23) - restanță</t>
  </si>
  <si>
    <t>6/3*0.5</t>
  </si>
  <si>
    <t>Arhitectura calculatoarelor numerice (L - II R - 16) - evaluare de parcurs</t>
  </si>
  <si>
    <t>16/3</t>
  </si>
  <si>
    <t>Arhitectura calculatoarelor numerice (L - II R - 16) - examen semestru</t>
  </si>
  <si>
    <t>16/3*0.5</t>
  </si>
  <si>
    <t>Arhitectura calculatoarelor numerice (L - II R - 16) - restanță</t>
  </si>
  <si>
    <t>4/3*0.5</t>
  </si>
  <si>
    <t>Teoria sistemelor automate (L - III SPD - 15) - evaluare de parcurs</t>
  </si>
  <si>
    <t>15/3</t>
  </si>
  <si>
    <t>Teoria sistemelor automate (L - III SPD - 15) - examen semestru</t>
  </si>
  <si>
    <t>15/3*0.5</t>
  </si>
  <si>
    <t>Teoria sistemelor automate (L - III SPD - 15) - restanță</t>
  </si>
  <si>
    <t>Bazele sistemelor mecatronice (L - II MEC - 23) - evaluare de parcurs</t>
  </si>
  <si>
    <t>Bazele sistemelor mecatronice (L - II MEC - 23) - examen semestru</t>
  </si>
  <si>
    <t>Bazele sistemelor mecatronice (L - II MEC - 23) - restanță</t>
  </si>
  <si>
    <t>Bazele sistemelor automate (L - II MEC - 23) - evaluare de parcurs</t>
  </si>
  <si>
    <t>Bazele sistemelor automate (L - II MEC - 23) - examen semestru</t>
  </si>
  <si>
    <t>Bazele sistemelor automate (L - II MEC - 23) - restanță</t>
  </si>
  <si>
    <t>Bazele sistemelor automate (L - II R - 16) - evaluare de parcurs</t>
  </si>
  <si>
    <t>Bazele sistemelor automate (L - II R - 16) - examen semestru</t>
  </si>
  <si>
    <t>Bazele sistemelor automate (L - II R - 16) - restanță</t>
  </si>
  <si>
    <t>Bazele sistemelor automate (L - II MECE - 7) - evaluare de parcurs</t>
  </si>
  <si>
    <t>7/3</t>
  </si>
  <si>
    <t>Bazele sistemelor automate (L - II MECE - 7) - examen semestru</t>
  </si>
  <si>
    <t>7/3*0.5</t>
  </si>
  <si>
    <t>Bazele sistemelor automate (L - II MECE - 7) - restanță</t>
  </si>
  <si>
    <t>2/3*0.5</t>
  </si>
  <si>
    <t>Dinamica roboților(L - III R - 18) - evaluare de parcurs</t>
  </si>
  <si>
    <t>18/3</t>
  </si>
  <si>
    <t>Dinamica roboților(L - III R - 18) - examen semestru</t>
  </si>
  <si>
    <t>18/3*0.5</t>
  </si>
  <si>
    <t>Dinamica roboților(L - III R - 18) - restanță</t>
  </si>
  <si>
    <t>5/3*0.5</t>
  </si>
  <si>
    <t>Analiza cu elemente finite (L - IV MEC - 26) - evaluare de parcurs</t>
  </si>
  <si>
    <t>26/3</t>
  </si>
  <si>
    <t>Analiza cu elemente finite (L - IV MEC - 26) - examen semestru</t>
  </si>
  <si>
    <t>26/3*0.5</t>
  </si>
  <si>
    <t>Analiza cu elemente finite (L - IV MEC - 26) - restanță</t>
  </si>
  <si>
    <t>Analiza cu elemente finite (L - IV MECE - 9) - evaluare de parcurs</t>
  </si>
  <si>
    <t>9/3</t>
  </si>
  <si>
    <t>Analiza cu elemente finite (L - IV MECE - 9) - examen semestru</t>
  </si>
  <si>
    <t>9/3*0.5</t>
  </si>
  <si>
    <t>Analiza cu elemente finite (L - IV MECE - 9) -restanță</t>
  </si>
  <si>
    <t>Modelarea și simularea sistemelor de producție (L - IV SPD - 10) - evaluare de parcurs</t>
  </si>
  <si>
    <t>10/3</t>
  </si>
  <si>
    <t>Modelarea și simularea sistemelor de producție (L - IV SPD - 10) - examen semestru</t>
  </si>
  <si>
    <t>10/3*0.5</t>
  </si>
  <si>
    <t>Modelarea și simularea sistemelor de producție (L - IV SPD - 10) - restanță</t>
  </si>
  <si>
    <t>3/3*0.5</t>
  </si>
  <si>
    <t>Mecanisme si Organe de masini 1+2-C-II TCM , II SPD, III TCM, III SPD, II EM- 123 studenti -evaluare finala</t>
  </si>
  <si>
    <t>Mecanisme si Organe de masini 1+2-C-II TCM , II SPD, III TCM, III SPD, II EM- 123 studenti -evaluare pe parcurs</t>
  </si>
  <si>
    <t>Mecanisme si Organe de masini 1+2-C-II TCM , II SPD, III TCM, III SPD, II EM- 30 studenti -restanta</t>
  </si>
  <si>
    <t>Mecanisme si Organe de masini 1+2-C-II TCM , II SPD, III TCM, III SPD, II EM- 12 studenti -reexaminare</t>
  </si>
  <si>
    <t>Mecanisme si Organe de masini L+P - 19sgr (II SPD, II TCM, IIISPD, III TCM, II EM, III MEC) - 281 studenti - evaluare pe parcurs</t>
  </si>
  <si>
    <t xml:space="preserve">Mecanica (L - ITT I - 25) evaluare pe parcurs </t>
  </si>
  <si>
    <t>titular</t>
  </si>
  <si>
    <t>25/3</t>
  </si>
  <si>
    <t xml:space="preserve">Mecanica (Sem - ITT I - 25) evaluare pe parcurs </t>
  </si>
  <si>
    <t>Mecanica (L - ITT I - 25) examen semestru</t>
  </si>
  <si>
    <t>asistent</t>
  </si>
  <si>
    <t>25/3*0.5</t>
  </si>
  <si>
    <t>Mecanica (L - ITT I - 25)  restanta</t>
  </si>
  <si>
    <t>25/3*0.25*0.5</t>
  </si>
  <si>
    <t>Mecanica (L - ITT I - 25)  reexaminare</t>
  </si>
  <si>
    <t>25/3*0.5*0.1</t>
  </si>
  <si>
    <t>Mecanica 1(Sem - TCM I - 53) evaluare pe parcurs</t>
  </si>
  <si>
    <t>53/4</t>
  </si>
  <si>
    <t>Mecanica 1(Sem - TCM I - 53) examen semestru</t>
  </si>
  <si>
    <t>53/3*0.5</t>
  </si>
  <si>
    <t>Mecanica 1(Sem - TCM I - 53) restanta</t>
  </si>
  <si>
    <t>53/3*0.5*0.25</t>
  </si>
  <si>
    <t>Mecanica 1(Sem - TCM I - 53) reexaminare</t>
  </si>
  <si>
    <t>53/3*0.5*0.1</t>
  </si>
  <si>
    <t>Mecanica (L - IEI I - 18) exaluare pe parcurs</t>
  </si>
  <si>
    <t>Mecanica (L - IEI I - 18) examen semestru</t>
  </si>
  <si>
    <t>Mecanica (L - IEI I - 18) restanta</t>
  </si>
  <si>
    <t>18/3*0.5*0.15</t>
  </si>
  <si>
    <t>Mecanica (L - IEI I - 18) reexaminare</t>
  </si>
  <si>
    <t>18/3*0.5*0.1</t>
  </si>
  <si>
    <t>Mecanica (Sem - IEDM I - 30) evaluare pe parcurs</t>
  </si>
  <si>
    <t>30/4</t>
  </si>
  <si>
    <t>Mecanica (Sem - IEDM I - 30) examen de semestru</t>
  </si>
  <si>
    <t>30/3*0.5</t>
  </si>
  <si>
    <t>Mecanica (Sem - IEDM I - 30)  restanta</t>
  </si>
  <si>
    <t>30/3*0.5*0.25</t>
  </si>
  <si>
    <t>Mecanica (Sem - IEDM I - 30)  reexaminare</t>
  </si>
  <si>
    <t>30/3*0.5*0.1</t>
  </si>
  <si>
    <t>Bazele proceselor in tricotaje 1 (C- III TTC-6 stud)- evaluare pe parcurs</t>
  </si>
  <si>
    <t>Bazele proceselor in tricotaje 1 (C- III TTC-6 stud)- evaluare finala</t>
  </si>
  <si>
    <t>Bazele proceselor in tricotaje 1 (C- III TTC-6 stud)- restanta</t>
  </si>
  <si>
    <t>Bazele proceselor in tricotaje 1 (C- III TTC-6 stud)- reexaminari</t>
  </si>
  <si>
    <t>Tehnologia tricoturilor 1 (C- III IEI-22 stud)- evaluare pe parcurs</t>
  </si>
  <si>
    <t>Tehnologia tricoturilor 1 (C- III IEI-22)- evaluare finala</t>
  </si>
  <si>
    <t>Tehnologia tricoturilor 1 (C- III IEI-22)- restanta</t>
  </si>
  <si>
    <t>Tehnologia tricoturilor 1 (C- III IEI-22)- reexaminari</t>
  </si>
  <si>
    <t>Bazele proceselor in tricotaje 2 (C- III TTC-6 stud)- evaluare pe parcurs</t>
  </si>
  <si>
    <t>Bazele proceselor in tricotaje 2 (C- III TTC-6 stud)- evaluare finala</t>
  </si>
  <si>
    <t>Bazele proceselor in tricotaje 2 (C- III TTC-6 stud)- restanta</t>
  </si>
  <si>
    <t>Bazele proceselor in tricotaje 2 (C- III TTC-6 stud)- reexaminari</t>
  </si>
  <si>
    <t>Tehnologia tricoturilor 2 (C- III IEI-22 stud)- evaluare pe parcurs</t>
  </si>
  <si>
    <t>Tehnologia tricoturilor 2 (C- III IEI-22)- evaluare finala</t>
  </si>
  <si>
    <t>Tehnologia tricoturilor 2 (C- III IEI-22)- restanta</t>
  </si>
  <si>
    <t>Tehnologia tricoturilor 2 (C- III IEI-22)- reexaminari</t>
  </si>
  <si>
    <t>Procese si masini pentru tricotaje 1 (C- IV TTC-11 stud)- evaluare pe parcurs</t>
  </si>
  <si>
    <t>Procese si masini pentru tricotaje 1 (C- IV TTC-11 stud)- evaluare finala</t>
  </si>
  <si>
    <t>Procese si masini pentru tricotaje 1 (C- IV TTC-11 stud)- restanta</t>
  </si>
  <si>
    <t>Procese si masini pentru tricotaje 1 (C IV TTC-11 stud)- reexaminare</t>
  </si>
  <si>
    <t>Procese si masini pentru tricotaje 1 (L- IV TTC-11 stud)- evaluare pe parcurs</t>
  </si>
  <si>
    <t>Procese si masini pentru tricotaje 2 (C- IV TTC-11 stud)- evaluare pe parcurs</t>
  </si>
  <si>
    <t>Procese si masini pentru tricotaje 2 (C- IV TTC-11 stud)- evaluare finala</t>
  </si>
  <si>
    <t>Procese si masini pentru tricotaje 2 (C- IV TTC-11 stud)- restanta</t>
  </si>
  <si>
    <t>Procese si masini pentru tricotaje 2 (C IV TTC-11 stud)- reexaminare</t>
  </si>
  <si>
    <t>Tehnologii pentru tricoturi functionale (C- IV TTC-11 stud)- evaluare pe parcurs</t>
  </si>
  <si>
    <t>Tehnologii pentru tricoturi functionale (C- IV TTC-11 stud)- evaluare finala</t>
  </si>
  <si>
    <t>Tehnologii pentru tricoturi functionale (C- IV TTC-11 stud)- erestanta</t>
  </si>
  <si>
    <t>Tehnologii pentru tricoturi functionale (C- IV TTC-11 stud)- reexaminare</t>
  </si>
  <si>
    <t>Procese si masini pentru confectii 1 (C- IV TTC-11 stud)- evaluare pe parcurs</t>
  </si>
  <si>
    <t>Procese si masini pentru confectii 1 (C- IV TTC-11 stud)- evaluare finala</t>
  </si>
  <si>
    <t>Procese si masini pentru confectii 1 (C- IV TTC-11 stud)-restanta</t>
  </si>
  <si>
    <t>Procese si masini pentru confectii 1 (C- IV TTC-11 stud)-reexaminare</t>
  </si>
  <si>
    <t>Procese si masini pentru confectii 2 (C- IV TTC-11 stud)- evaluare pe parcurs</t>
  </si>
  <si>
    <t>Procese si masini pentru confectii 2 (C- IV TTC-11 stud)- evaluare finala</t>
  </si>
  <si>
    <t>Procese si masini pentru confectii 2 (C- IV TTC-11 stud)-restanta</t>
  </si>
  <si>
    <t>Procese si masini pentru confectii 2 (C- IV TTC-11 stud)-reexaminare</t>
  </si>
  <si>
    <t>Examen de licenta TTC- 13stud</t>
  </si>
  <si>
    <t>Structura și proiectarea confectiilor 1 (C - III TTC - 6 stud) - examen</t>
  </si>
  <si>
    <t>Structura și proiectarea confectiilor 1 (C - III TTC - 6 stud) - evaluare de parcurs</t>
  </si>
  <si>
    <t>Structura și proiectarea confectiilor 1 (C - III TTC - 1,5 stud) - restanță</t>
  </si>
  <si>
    <t>Structura și proiectarea confectiilor 1 (C - III TTC - 0,6 stud) - reexaminare</t>
  </si>
  <si>
    <t>Structura și proiectarea confectiilor textile (C - III IEI - 22 stud) - colocviu</t>
  </si>
  <si>
    <t>Structura și proiectarea confectiilor textile (C - III IEI - 22 stud) - evaluare de parcurs</t>
  </si>
  <si>
    <t>Structura și proiectarea confectiilor textile (C - III IEI - 5,5 stud) - restanță</t>
  </si>
  <si>
    <t>Structura și proiectarea confectiilor textile (C - III IEI - 2,2 stud) - reexaminare</t>
  </si>
  <si>
    <t>Bazele proceselor în confecții textile 1 (C - III TTC - 6 stud) - examen</t>
  </si>
  <si>
    <t>Bazele proceselor în confecții textile 1 (C - III TTC - 6 stud) - evaluare de parcurs</t>
  </si>
  <si>
    <t>Bazele proceselor în confecții textile 1 (C - III TTC - 1,5 stud) - restanță</t>
  </si>
  <si>
    <t>Bazele proceselor în confecții textile 1 (C - III TTC - 0,6 stud) - reexaminare</t>
  </si>
  <si>
    <t>Tehnologia confectiilor textile 1 (C - III IEI - 22 stud) - colocviu</t>
  </si>
  <si>
    <t>Tehnologia confectiilor textile 1 (C - III IEI - 22 stud) - evaluare de parcurs</t>
  </si>
  <si>
    <t>Tehnologia confectiilor textile 1 (C - III IEI - 5,5 stud) - restanță</t>
  </si>
  <si>
    <t>Tehnologia confectiilor textile 1 (C - III IEI - 2,2 stud) - reexaminare</t>
  </si>
  <si>
    <t>Structura și proiectarea confectiilor textile (L - III IEI - 22 stud) - evaluare de parcurs</t>
  </si>
  <si>
    <t>Structura și proiectarea confectiilor textile (P - III IEI - 22 stud) - evaluare de parcurs</t>
  </si>
  <si>
    <t>Bazele proceselor în confecții textile 2 (C - III TTC - 6 stud) - examen</t>
  </si>
  <si>
    <t>Bazele proceselor în confecții textile 2 (C - III TTC - 6 stud) - evaluare de parcurs</t>
  </si>
  <si>
    <t>Bazele proceselor în confecții textile 2 (C - III TTC - 1,5 stud) - restanță</t>
  </si>
  <si>
    <t>Bazele proceselor în confecții textile 2 (C - III TTC - 0,6 stud) - reexaminare</t>
  </si>
  <si>
    <t>Tehnologia confectiilor textile 1 (C - III IEI - 22 stud) - examen</t>
  </si>
  <si>
    <t>Geometrie descriptivă (C - I IEI - 18 stud.) - colocviu</t>
  </si>
  <si>
    <t>Geometrie descriptivă (C - I IEI - 18 stud.) - evaluare de parcurs</t>
  </si>
  <si>
    <t>Geometrie descriptivă (C - I IEI - 4,5 stud.) - restanță</t>
  </si>
  <si>
    <t>Geometrie descriptivă (C - I IEI - 1,8 stud.) - reexaminare</t>
  </si>
  <si>
    <t>Geometrie descriptivă (L - I IEI - 18 stud.) - evaluare de parcurs</t>
  </si>
  <si>
    <t>Proiectare asistată de calculator în confecții (C - IV IEI - 15 stud) - colocviu</t>
  </si>
  <si>
    <t>Proiectare asistată de calculator în confecții (C - IV IEI - 15 stud) - evaluare de parcurs</t>
  </si>
  <si>
    <t>Proiectare asistată de calculator în confecții (C - IV IEI - 3,75 stud) - restanță</t>
  </si>
  <si>
    <t>Proiectare asistată de calculator în confecții (C - IV IEI - 1,5 stud) - reexaminare</t>
  </si>
  <si>
    <t>Proiectare asistată de calculator în confecții (L - IV TTC - 15 stud) - evaluare de parcurs</t>
  </si>
  <si>
    <t>Desen tehnic și infografică 1 (C - I IEI - 18 stud.) - colocviu</t>
  </si>
  <si>
    <t>Desen tehnic și infografică 1 (C - I IEI - 18 stud.) - evaluare de parcurs</t>
  </si>
  <si>
    <t>Desen tehnic și infografică 1 (C - I IEI - 4,5 stud.) - restanță</t>
  </si>
  <si>
    <t>Desen tehnic și infografică 1 (C - I IEI - 1,8 stud.) - reexaminare</t>
  </si>
  <si>
    <t>Desen tehnic și infografică 1 (L - I IEI - 18 stud.) - evaluare de parcurs</t>
  </si>
  <si>
    <t>Desen tehnic și infografică 2 (L - II IEI - 11 stud.) - evaluare de parcurs</t>
  </si>
  <si>
    <t>Structura și proiectarea confectiilor 1 (L - III TTC - 6 stud) - evaluare de parcurs</t>
  </si>
  <si>
    <t>Exemen de licență, TTC, 13 studenți</t>
  </si>
  <si>
    <t>Exemen de licență, IEI, 16 studenți</t>
  </si>
  <si>
    <t>Examen de disertație, OTT, 1 student</t>
  </si>
  <si>
    <t xml:space="preserve">Grafica asistata de calculator - ITT - 22 stud - Examen, restante, reexaminare </t>
  </si>
  <si>
    <t xml:space="preserve">Verificare pe parcurs - Curs Grafica asistata de calculator - ITT -22 stud </t>
  </si>
  <si>
    <t xml:space="preserve">Verificare pe parcurs - Laborator-  Grafica asistata de calculator - ITT -22 stud </t>
  </si>
  <si>
    <t xml:space="preserve">Verificare pe parcurs - Proiect-  Grafica asistata de calculator - ITT -22 stud </t>
  </si>
  <si>
    <t xml:space="preserve">Proiectarea asistata de calculator a produselor - TCM - 43 stud -Examen, restante, reexaminare </t>
  </si>
  <si>
    <t>Verificare pe parcurs - Curs Proiectarea asistata de calculator a produselor - TCM - 43 stud</t>
  </si>
  <si>
    <t>Verificare pe parcurs - Laborator-  Proiectarea asistata de calculator a produselor - TCM - 43 studenti</t>
  </si>
  <si>
    <t xml:space="preserve">Proiectarea asistata de calculator a produselor-SPD - 13 studenti - Examen, restante, reexaminare </t>
  </si>
  <si>
    <t>Verificare pe parcurs - Curs Proiectarea asistata de calculator a produselor - SPD</t>
  </si>
  <si>
    <t>Verificare pe parcurs - Laborator-  Proiectarea asistata de calculator a produselor - SPD -</t>
  </si>
  <si>
    <t>Examen Strategii si tehnici CAD de proiectare avansata a produselor - STIF</t>
  </si>
  <si>
    <t>Verificare pe parcurs- Strategii si tehnici CAD de proiectare avansata a produselor - STIF</t>
  </si>
  <si>
    <t>Examen de finalizare a studiilor de licenta SPD</t>
  </si>
  <si>
    <t>Proiectarea asis a masinilor si utilajel (C - IV SPD- 11 stud )
 evaluare finala</t>
  </si>
  <si>
    <t>Metode si tehnici avansate de proiectare (P - I mSMA- 30 stud ) evaluare finala</t>
  </si>
  <si>
    <t>Proiectarea asistata de calculator (C - III Mec + III R- 27+18 stud ) evaluare finala</t>
  </si>
  <si>
    <t>Metode si tehnici avansate de proiectare (L - I mSCCDP- 27 stud ) evaluare finala</t>
  </si>
  <si>
    <t>Proiectarea asis a masinilor si utilajel (C - IV SPD- 11 stud )  evaluare pe parcurs</t>
  </si>
  <si>
    <t>Metode si tehnici avansate de proiectare (P - I mSMA- 30 stud ) evaluare pe parcurs</t>
  </si>
  <si>
    <t>Proiectarea asistata de calculator (C - III Mec + III R- 27+18 stud ) evaluare pe parcurs</t>
  </si>
  <si>
    <t>Metode si tehnici avansate de proiectare (L - I mSCCDP- 27 stud ) evaluare pe parcurs</t>
  </si>
  <si>
    <t>Proiectarea asis a masinilor si utilajel (C - IV SPD- 11 stud )
 restanta</t>
  </si>
  <si>
    <t>Metode si tehnici avansate de proiectare (P - I mSMA- 30 stud ) restanta</t>
  </si>
  <si>
    <t>Proiectarea asistata de calculator (C - III Mec + III R- 27+18 stud ) restanta</t>
  </si>
  <si>
    <t>Metode si tehnici avansate de proiectare (L - I mSCCDP- 27 stud ) restanta</t>
  </si>
  <si>
    <t>Examen licenta SPD 13 stud</t>
  </si>
  <si>
    <t>Examen licenta Robotica 15 studenti</t>
  </si>
  <si>
    <t>Exemen de disertație SPMSCNC, 1 stud</t>
  </si>
  <si>
    <t>Examen de admitere master SMA 56 stud</t>
  </si>
  <si>
    <t>Examen de admitere doctorat Inginerie Industriala 8 stud</t>
  </si>
  <si>
    <t>Sisteme flexibile de fabricatie (L - IV Rob - 16 stud) evaluare de parcurs</t>
  </si>
  <si>
    <t>Sisteme flexibile de fabricatie (C - IV Rob - 16 stud) examen semestru</t>
  </si>
  <si>
    <t>Sisteme flexibile de fabricatie (C - IV Rob - 16 stud) restanta</t>
  </si>
  <si>
    <t>Sisteme flexibile de fabricatie (L - IV SPD - 10 stud) evaluare de parcurs</t>
  </si>
  <si>
    <t>Sisteme flexibile de fabricatie (C - IV SPD - 10 stud) examen semestru</t>
  </si>
  <si>
    <t>Sisteme flexibile de fabricatie (C -  IV SPD - 10 stud) restanta</t>
  </si>
  <si>
    <t>Sisteme flexibile de fabricatie (L - IV Mec - 26 stud) evaluare de parcurs</t>
  </si>
  <si>
    <t>Sisteme flexibile de fabricatie (C - IV Mec - 26 stud) examen semestru</t>
  </si>
  <si>
    <t>Sisteme flexibile de fabricatie (C - IV Mec - 26 stud) restanta</t>
  </si>
  <si>
    <t>Grafica asistata de calculator 1 (L - I Mec - 24 stud) evaluare de parcurs</t>
  </si>
  <si>
    <t>Grafica asistata de calculator 1 (C - I Mec - 47 stud) examen semestru</t>
  </si>
  <si>
    <t>Grafica asistata de calculator 1 (C - I Mec - 47 stud) restanta</t>
  </si>
  <si>
    <t>Grafica asistata de calculator 1 (L - I MecEn - 6 stud) evaluare de parcurs</t>
  </si>
  <si>
    <t>Grafica asistata de calculator 1 (C - I MecEn - 6 stud) examen semestru</t>
  </si>
  <si>
    <t>Grafica asistata de calculator 1 (C - I MecEn - 6 stud) restanta</t>
  </si>
  <si>
    <t>Grafica asistata de calculator 1 (L - I Rob - 13 stud) evaluare de parcurs</t>
  </si>
  <si>
    <t>Grafica asistata de calculator 1 (C - I Rob - 26 stud) examen semestru</t>
  </si>
  <si>
    <t>Grafica asistata de calculator 1 (C - I Rob - 26 stud) restanta</t>
  </si>
  <si>
    <t>Examen de licență, secretar comisie, Rob, 1 student, martie 2023</t>
  </si>
  <si>
    <t>Examen de licență, secretar comisie, Rob, 14 studenți, iulie 2023</t>
  </si>
  <si>
    <r>
      <rPr>
        <rFont val="Arial Narrow"/>
        <color theme="1"/>
        <sz val="10.0"/>
      </rPr>
      <t>Proba orala admitere master - septembrie 2023, SMA,</t>
    </r>
    <r>
      <rPr>
        <rFont val="Arial Narrow"/>
        <color rgb="FFFF0000"/>
        <sz val="10.0"/>
      </rPr>
      <t xml:space="preserve"> </t>
    </r>
    <r>
      <rPr>
        <rFont val="Arial Narrow"/>
        <color theme="1"/>
        <sz val="10.0"/>
      </rPr>
      <t>24 studenți</t>
    </r>
  </si>
  <si>
    <t>Structuri Textile-Fire_II,IEI -11 studenti-eval curs</t>
  </si>
  <si>
    <t>11 studenti / 3</t>
  </si>
  <si>
    <t xml:space="preserve">Structuri Textile-Fire_II,IEI -11-eval finala </t>
  </si>
  <si>
    <t xml:space="preserve">Structuri Textile-Fire_II,IEI -11-eval. lab </t>
  </si>
  <si>
    <t>Structuri Textile-Țesături_II,IEI - 11-eval curs</t>
  </si>
  <si>
    <t>Structuri Textile-Țesături_II,IEI - 11 - eval finala</t>
  </si>
  <si>
    <t>Structuri Textile-II, Țesături_IEI - 11 - eval. Lab.</t>
  </si>
  <si>
    <t>Metrologie 1_II,IEI - 11-eval. Curs</t>
  </si>
  <si>
    <t>Metrologie 1_II, IEI - 11 -eval. Finala</t>
  </si>
  <si>
    <t>Tehnologii si Utilaje in Tricotaje_IV, IEI - 15- eval. Curs</t>
  </si>
  <si>
    <t>15 studenti / 3</t>
  </si>
  <si>
    <t>Tehnologii si Utilaje in Tricotaje_IV, IEI - 15 - eval. Finală</t>
  </si>
  <si>
    <t>Tehnologii si Utilaje in Tricotaje_IV, IEI - 15 - eval. Lab.</t>
  </si>
  <si>
    <t>Tehnologii si Utilaje in Tricotaje_IV, IEI - 15 - Eval. Proiect</t>
  </si>
  <si>
    <t>Materii Prime in textile-Pielarie 1_II, IEI - 11 - Eval. Lab</t>
  </si>
  <si>
    <t>Tehnologii ptr. Tricoturi Functionale_IV, TTC - 11 - Eval. Lab</t>
  </si>
  <si>
    <t>Masini unelte 1 III TCM (30 stud  ) - colocviu semestru</t>
  </si>
  <si>
    <t>(30) / 3</t>
  </si>
  <si>
    <t>Masini unelte III SPD (15) - examen semestru</t>
  </si>
  <si>
    <t>(15) / 3</t>
  </si>
  <si>
    <t>Mentenanta sistemelor în mecatronica IV MEC (26) - examen semestru</t>
  </si>
  <si>
    <t>(26) / 3</t>
  </si>
  <si>
    <t>Fiabilitate si diagnoza IV ROB (16) - examen semestru</t>
  </si>
  <si>
    <t>(16) / 3</t>
  </si>
  <si>
    <t>Fiabilitate si mentenanta IV SPD (11) - colocviu semestru</t>
  </si>
  <si>
    <t>(11) / 3</t>
  </si>
  <si>
    <t>Proiectarea mainilor si sist de prod 2 IV SPD (11) - examen semestru</t>
  </si>
  <si>
    <t>Senzori si sisteme senzoriale III MECE (14 ) - examen semestru</t>
  </si>
  <si>
    <t>(14) / 3</t>
  </si>
  <si>
    <t>Masini, echip. si strategii în sist. Int ImSCCC ( 27) - examen semestru</t>
  </si>
  <si>
    <t>(27) / 3</t>
  </si>
  <si>
    <t>Examen disertatie mSPMSCNC</t>
  </si>
  <si>
    <t>titular - membru supleant</t>
  </si>
  <si>
    <t>Examen licenta SPD iulie</t>
  </si>
  <si>
    <t>titular - membru comisie</t>
  </si>
  <si>
    <t>13 / 3x2</t>
  </si>
  <si>
    <t>Examen licenta ROB iulie</t>
  </si>
  <si>
    <t>(14) / 3x2</t>
  </si>
  <si>
    <t>Examen licenta MECE iulie</t>
  </si>
  <si>
    <t>(10) / 3x2</t>
  </si>
  <si>
    <t>Examen de admitere master I.I. - proba orala</t>
  </si>
  <si>
    <t>(83) / 3x2</t>
  </si>
  <si>
    <t>Rezistența Materialelor, examen pe semestrul I (an II, Robotică)</t>
  </si>
  <si>
    <t>Rezistența Materialelor, examen pe semestrul I (an II, IEDM)</t>
  </si>
  <si>
    <t>Rezistența Materialelor, examen pe semestrul I (an II, SPD)</t>
  </si>
  <si>
    <t>Rezistența Materialelor, examen pe semestrul I (an II, Mec)</t>
  </si>
  <si>
    <t>Rezistența Materialelor, examen pe semestrul I (an II, Elm)</t>
  </si>
  <si>
    <t>Rezistența Materialelor, examen pe semestrul I (an II, TCM, grupa 121)</t>
  </si>
  <si>
    <t>Rezistența Materialelor, examen pe semestrul I (an II, TCM, grupa 122)</t>
  </si>
  <si>
    <t>Rezistența Materialelor, examen pe semestrul I (an II, ITT)</t>
  </si>
  <si>
    <t>Rezistența Materialelor, examen pe semestrul I (an II, MecE)</t>
  </si>
  <si>
    <t>Rezistența Materialelor 2, examen pe semestrul II (an II, SPD)</t>
  </si>
  <si>
    <t>Rezistența Materialelor 2, examen pe semestrul II (an II, TCM, grupa 121)</t>
  </si>
  <si>
    <t>Rezistența Materialelor 2, examen pe semestrul II (an II, TCM, grupa 122)</t>
  </si>
  <si>
    <t>Rezistența Materialelor, examen de restanta semestrul I (an II TCM + SPD)</t>
  </si>
  <si>
    <t>Rezistența Materialelor 2, examen de restanta semestrul II (an II TCM + SPD)</t>
  </si>
  <si>
    <t>Rezistența Materialelor, reexaminare semestrul I (an II TCM + SPD)</t>
  </si>
  <si>
    <t>Rezistența Materialelor, reexaminare semestrul II (an II TCM + SPD)</t>
  </si>
  <si>
    <t>Rezistența Materialelor, examen de restanta semestrul I (an II Mec+R+IEDM+MecE)</t>
  </si>
  <si>
    <t>Rezistența Materialelor,   reexaminare semestrul I (an II Mec+R+IEDM+Elm+MecE)</t>
  </si>
  <si>
    <t>Rezistența Materialelor, examen de restanta semestrul I (an II Elm+ITT)</t>
  </si>
  <si>
    <t>Rezistența Materialelor, reexaminare semestrul I (an II Elm+ITT)</t>
  </si>
  <si>
    <t>Rezistența Materialelor, evaluare pe parcurs pe semestrul I (an II, Robotică)</t>
  </si>
  <si>
    <t>Rezistența Materialelor, evaluare pe parcurs pe semestrul I (an II, Mec)</t>
  </si>
  <si>
    <t>Rezistența Materialelor, evaluare pe parcurs pe semestrul I (an II, IEDM)</t>
  </si>
  <si>
    <t>Rezistența Materialelor, evaluare pe parcurs pe semestrul I (an II, SPD)</t>
  </si>
  <si>
    <t>Rezistența Materialelor, evaluare pe parcurs pe semestrul I (an II, Elm)</t>
  </si>
  <si>
    <t>Rezistența Materialelor, evaluare pe parcurs pe semestrul I (an II, TCM, 121)</t>
  </si>
  <si>
    <t>Rezistența Materialelor, evaluare pe parcurs pe semestrul I (an II, TCM, 122)</t>
  </si>
  <si>
    <t>Rezistența Materialelor, evaluare pe parcurs pe semestrul I (an II, ITT)</t>
  </si>
  <si>
    <t>Examen de semestrul 1 (an II TCM gr 121)</t>
  </si>
  <si>
    <t>Examen de semestrul 1 (an II TCM gr 122)</t>
  </si>
  <si>
    <t>Examen de semestrul 1 (an II SPD gr 123)</t>
  </si>
  <si>
    <t>Examen de semestrul 1 (an I mIMGN)</t>
  </si>
  <si>
    <t>Examen de semestrul 2 (an II TCM gr 121)</t>
  </si>
  <si>
    <t>Examen de semestrul 2 (an II TCM gr 122)</t>
  </si>
  <si>
    <t>Examen de semestrul 2 (an II SPD gr 123)</t>
  </si>
  <si>
    <t>Examen de restanta semestrul 1 (an II TCM + SPD)</t>
  </si>
  <si>
    <t>Examen de restanta semestrul 1 (an I mIMGN)</t>
  </si>
  <si>
    <t>Examen de restanta semestrul 2 (an II TCM + SPD)</t>
  </si>
  <si>
    <t>Reexaminare semestrul 1 (an II TCM + SPD)</t>
  </si>
  <si>
    <t>Reexaminare semestrul 1 (an I mIMGN)</t>
  </si>
  <si>
    <t>Reexaminare semestrul 2 (an II TCM + SPD)</t>
  </si>
  <si>
    <t>Examen de licență SPD (13)</t>
  </si>
  <si>
    <t>Examen de licență Robotică (14+1)</t>
  </si>
  <si>
    <t>Mașini unelte și prelucrări mecanice (L - III MEC - 27) - evaluare de parcurs</t>
  </si>
  <si>
    <t>27/3</t>
  </si>
  <si>
    <t>Mașini unelte și prelucrări mecanice (L - III MEC - 27) - examen</t>
  </si>
  <si>
    <t>27/3*0.5</t>
  </si>
  <si>
    <t>Mașini unelte și prelucrări mecanice (L - III MEC - 27) - restanță</t>
  </si>
  <si>
    <t>27/3*0.5*0.25</t>
  </si>
  <si>
    <t>Senzori și sisteme senzoriale (L - III MEC - 27) - evaluare de parcurs</t>
  </si>
  <si>
    <t>Senzori și sisteme senzoriale (L - III MEC - 27) - examen</t>
  </si>
  <si>
    <t>Senzori și sisteme senzoriale (L - III MEC - 27) - restanță</t>
  </si>
  <si>
    <t>Senzori și sisteme senzoriale (L - III R - 18) - evaluare de parcurs</t>
  </si>
  <si>
    <t>Senzori și sisteme senzoriale (L - III R - 18) - examen</t>
  </si>
  <si>
    <t>Senzori și sisteme senzoriale (L - III R - 18) - restanță</t>
  </si>
  <si>
    <t>18/3*0.5*0.25</t>
  </si>
  <si>
    <t>Mașini unelte (L - III SPD - 15) - evaluare de parcurs</t>
  </si>
  <si>
    <t>Mașini unelte (L - III SPD - 15) - examen</t>
  </si>
  <si>
    <t>Mașini unelte (L - III SPD - 15) - restanță</t>
  </si>
  <si>
    <t>15/3*0.5*0.25</t>
  </si>
  <si>
    <t>Mașini unelte pentru prelucrare prin deformare plastică (L - III SPD - 15) - evaluare de parcurs</t>
  </si>
  <si>
    <t>Mașini unelte pentru prelucrare prin deformare plastică (L - III SPD - 15) - examen</t>
  </si>
  <si>
    <t>Mașini unelte pentru prelucrare prin deformare plastică (L - III SPD - 15) - restanță</t>
  </si>
  <si>
    <t>Mașini unelte 1 (L - III TCM - 30) - evaluare de parcurs</t>
  </si>
  <si>
    <t>30/3</t>
  </si>
  <si>
    <t>Mașini unelte 1 (L - III TCM - 30) - examen</t>
  </si>
  <si>
    <t>Mașini unelte 1 (L - III TCM - 30) - restanță</t>
  </si>
  <si>
    <t>Tehnologii de prelucrare prin deformare 1 (L - III TCM - 30) - evaluare de parcurs</t>
  </si>
  <si>
    <t>Tehnologii de prelucrare prin deformare 1 (L - III TCM - 30) - examen</t>
  </si>
  <si>
    <t>Tehnologii de prelucrare prin deformare 1 (L - III TCM - 30) - restanță</t>
  </si>
  <si>
    <t>Mașini unelte 2 (L - III TCM - 30) - evaluare de parcurs</t>
  </si>
  <si>
    <t>Mașini unelte 2 (L - III TCM - 30) - examen</t>
  </si>
  <si>
    <t>Mașini unelte 2 (L - III TCM - 30) - restanță</t>
  </si>
  <si>
    <t>Sisteme flexibile de prelucrare (L - IV IEDM - 41) - evaluare de parcurs</t>
  </si>
  <si>
    <t>41/3</t>
  </si>
  <si>
    <t>Sisteme flexibile de prelucrare (L - IV IEDM - 41) - examen</t>
  </si>
  <si>
    <t>41/3*0.5</t>
  </si>
  <si>
    <t>Sisteme flexibile de prelucrare (L - IV IEDM - 41) - restanță</t>
  </si>
  <si>
    <t>41/3*0.5*0.25</t>
  </si>
  <si>
    <t>Mentenanța sistemelor în mecatronică (L - IV MEC - 26) - evaluare de parcurs</t>
  </si>
  <si>
    <t>Mentenanța sistemelor în mecatronică (L - IV MEC - 26) - examen</t>
  </si>
  <si>
    <t>Mentenanța sistemelor în mecatronică (L - IV MEC - 26) - restanță</t>
  </si>
  <si>
    <t>26/3*0.5*0.25</t>
  </si>
  <si>
    <t>Fiabilitate și diagnoză (L - IV R - 16) - evaluare de parcurs</t>
  </si>
  <si>
    <t>Fiabilitate și diagnoză (L - IV R - 16) - examen</t>
  </si>
  <si>
    <t>Fiabilitate și diagnoză (L - IV R - 16) - restanță</t>
  </si>
  <si>
    <t>16/3*0.5*0.25</t>
  </si>
  <si>
    <t>MU pt prelucrări prin def. plastică (L - IV SPD - 10) - evaluare de parcurs</t>
  </si>
  <si>
    <t>MU pt prelucrări prin def. plastică (L - IV SPD - 10) - examen</t>
  </si>
  <si>
    <t>MU pt prelucrări prin def. plastică (L - IV SPD - 10) - restanță</t>
  </si>
  <si>
    <t>Fiabilitate și mentenanță (L - IV SPD - 10) - evaluare de parcurs</t>
  </si>
  <si>
    <t>Fiabilitate și mentenanță (L - IV SPD - 10) - examen</t>
  </si>
  <si>
    <t>Fiabilitate și mentenanță (L - IV SPD - 10) - restanță</t>
  </si>
  <si>
    <t>Actionari hidraulice si pneumatice (L - IV Elm - 16 stud)  evaluare pe parcurs</t>
  </si>
  <si>
    <t>Actionari hidraulice si pneumatice (C - IV Elm -16 stud)  examen semestru</t>
  </si>
  <si>
    <t>Actionari hidraulice si pneumatice (C - IV Elm - 16 stud)  restanta</t>
  </si>
  <si>
    <t>Proiectarea parametrizata asistata de calculator a stantelor (L - IV TCM - 41 stud) evaluare pe parcurs</t>
  </si>
  <si>
    <t>Proiectarea parametrizata asistata de calculator a stantelor (C - IV TCM - 41 stud) examen semestru</t>
  </si>
  <si>
    <t>Proiectarea parametrizata asistata de calculator a stantelor (C - IV TCM - 41 stud) restanta</t>
  </si>
  <si>
    <t>Actionari hidraulice si pneumatice 1 (L - III SPD - 15 stud) evaluare pe parcurs</t>
  </si>
  <si>
    <t>Actionari hidraulice si pneumatice 1 (C - III SPD - 15stud) examen semestru</t>
  </si>
  <si>
    <t>Actionari hidraulice si pneumatice 1 (C - III SPD - 15 stud) restanta</t>
  </si>
  <si>
    <t>Actionari hidraulice si pneumatice 2 (P - III SPD - 15 stud) evaluare pe parcurs</t>
  </si>
  <si>
    <t>Actionari hidraulice si pneumatice 2 (C - III SPD - 15 stud) examen semestru</t>
  </si>
  <si>
    <t>Actionari hidraulice si pneumatice 2 (C - III SPD - 15 stud) restanta</t>
  </si>
  <si>
    <t>Actionarea hidraulica a robotilor industriali 1 (L - III R - 18 stud) evaluare pe parcurs</t>
  </si>
  <si>
    <t>Actionarea hidraulica a robotilor industriali 1 (C - III R - 18 stud) examen semestru</t>
  </si>
  <si>
    <t>Actionarea hidraulica a robotilor industriali 1 (C - III R - 18 stud) restanta</t>
  </si>
  <si>
    <t>Actionarea hidraulica a robotilor industriali 2 (P - III R - 18 stud) evaluare pe parcurs</t>
  </si>
  <si>
    <t>Actionarea hidraulica a robotilor industriali 2 (C - III R - 18 stud) examen semestru</t>
  </si>
  <si>
    <t>Actionarea hidraulica a robotilor industriali 2 (C - III R - 18 stud) restanta</t>
  </si>
  <si>
    <t>Hidronica si pneutronica (L - III Mec - 27 stud) evaluare pe parcurs</t>
  </si>
  <si>
    <t>Hidronica si pneutronica (C - III Mec - 27 stud) examen semestru</t>
  </si>
  <si>
    <t>Hidronica si pneutronica (C - III Mec - 27 stud) restanta</t>
  </si>
  <si>
    <t>Hidronica si pneutronica 2 (P - III Mec - 27 stud) evaluare pe parcurs</t>
  </si>
  <si>
    <t>Hidronica si pneutronica 2 (C - III Mec - 27 stud) examen semestru</t>
  </si>
  <si>
    <t>Hidronica si pneutronica 2 (C - III Mec - 27 stud) restanta</t>
  </si>
  <si>
    <t>Hidronica si pneutronica (L - III Mec EN - 14 stud) evaluare pe parcurs</t>
  </si>
  <si>
    <t>Hidronica si pneutronica (C - III Mec EN - 14 stud) examen semestru</t>
  </si>
  <si>
    <t>Hidronica si pneutronica (C - III Mec EN- 14 stud) restanta</t>
  </si>
  <si>
    <t>Automatizarea proceselor tehnologice (L - III TCM- 30 stud) evaluare pe parcurs</t>
  </si>
  <si>
    <t>Automatizarea proceselor tehnologice (C - III TCM - 30 stud) examen semestru</t>
  </si>
  <si>
    <t>Automatizarea proceselor tehnologice(C - III TCM - 30 stud) restanta</t>
  </si>
  <si>
    <t>Grafica asistata de calculator 2 (L - I Mec EN - 7 stud) evaluare pe parcurs</t>
  </si>
  <si>
    <t>Grafica asistata de calculator 2 (C - I Mec EN  - 7 stud) examen semestru</t>
  </si>
  <si>
    <t>Grafica asistata de calculator 2 (C - I Mec EN - 7 stud) restanta</t>
  </si>
  <si>
    <t>Programarea robotilor industriali (L - III R - 18 stud) evaluare pe parcurs</t>
  </si>
  <si>
    <t>Programarea robotilor industriali (C - III R - 18 stud) examen semestru</t>
  </si>
  <si>
    <t>Programarea robotilor industriali (C - III R - 18 stud) restanta</t>
  </si>
  <si>
    <t>CONFORTUL PRODUSELOR VESTIMENTARE Curs - AN II IEI - 11 studenti - Evaluare pe parcurs</t>
  </si>
  <si>
    <t>CONFORTUL PRODUSELOR VESTIMENTARE Curs - AN II IEI - 11 studenti - Examen</t>
  </si>
  <si>
    <t>INGINERIE GENERALA TEXTILA Curs - AN I IEI - 18 studenti - Evaluare pe parcurs</t>
  </si>
  <si>
    <t>INGINERIE GENERALA TEXTILA Curs - AN I IEI - 18 studenti - Examen</t>
  </si>
  <si>
    <t>FINISARE Curs - AN IV IEI - 15 studenti - Evaluare pe parcurs</t>
  </si>
  <si>
    <t>FINISARE Curs - AN IV IEI - 15 studenti - Examen</t>
  </si>
  <si>
    <t>Gîrjob Claudia-Emilia</t>
  </si>
  <si>
    <t>Sisteme de conducere în robotica (C- IV Mec - 26 stud ) evaluare finala</t>
  </si>
  <si>
    <t>Sisteme de conducere în robotica (C- IV R - 16 stud )  evaluare finala</t>
  </si>
  <si>
    <t>Actionari hidraulice si pneumatice (C- IV Elm - 16 stud)  evaluare finala</t>
  </si>
  <si>
    <t>Sisteme mecatronice (C- IV Mec - 26 stud )  evaluare finala</t>
  </si>
  <si>
    <t>Sisteme mecatronice (C- IV R - 16 stud ) evaluare finala</t>
  </si>
  <si>
    <t>Siguranta pasiva a autovehiculelor (C- II ITT - 22 stud) evaluare finala</t>
  </si>
  <si>
    <t>Sisteme de conducere în robotica (C- IV Mec - 26 stud ) evaluare pe parcurs</t>
  </si>
  <si>
    <t>Sisteme de conducere în robotica (C- IV R - 16 stud )  evaluare pe parcurs</t>
  </si>
  <si>
    <t>Actionari hidraulice si pneumatice (C- IV Elm - 16 stud)  evaluare pe parcurs</t>
  </si>
  <si>
    <t>Sisteme mecatronice (C- IV Mec - 26 stud )  evaluare pe parcurs</t>
  </si>
  <si>
    <t>Sisteme mecatronice (C- IV R - 16 stud ) evaluare pe parcurs</t>
  </si>
  <si>
    <t>Siguranta pasiva a autovehiculelor (C- II ITT - 22 stud) evaluare pe parcurs</t>
  </si>
  <si>
    <t>Evaluare pe parcurs - Istoria tehnicii - curs - I Mec -46 studenți + I Rob - 26 studenți</t>
  </si>
  <si>
    <t>3 studenți/punct</t>
  </si>
  <si>
    <t>Colocviu -  Istoria tehnicii - curs - I Mec -46 studenți + I Rob - 26 studenți</t>
  </si>
  <si>
    <t>Evaluare pe parcurs - Bazele sistemelor mecatronice - curs - II Mec -24 studenți + II Rob - 16 studenți</t>
  </si>
  <si>
    <t>Colocviu - Bazele sistemelor mecatronice - curs - II Mec -24 studenți + II Rob - 16 studenți</t>
  </si>
  <si>
    <t>Evaluare pe parcurs - Tehnici si sisteme de masurare - curs - III Mec -27 studenți</t>
  </si>
  <si>
    <t>Colocviu- Tehnici si sisteme de masurare - curs - III Mec -27 studenți</t>
  </si>
  <si>
    <t>Evaluare pe parcurs - Controlul produselor prin măsuare asistată - curs - III Rob -18 studenți</t>
  </si>
  <si>
    <t>Colocviu- Controlul produselor prin măsuare asistată - curs - III Rob -18 studenți</t>
  </si>
  <si>
    <t>Evaluare pe parcurs - Etică și integritate academică - curs -IV SPD -11 studenți</t>
  </si>
  <si>
    <t>Colocviu-  Etică și integritate academică - curs -IV SPD -14 studenți</t>
  </si>
  <si>
    <t>Evaluare pe parcurs -Tehnici și echipamente de depoluarea solului I  - curs - IV IPMI -14 studenți</t>
  </si>
  <si>
    <t>Examen-Tehnici și echipamente de depoluarea solului I  - curs - IV IPMI -14 studenți</t>
  </si>
  <si>
    <t>Examen-Etică și integritate academică - curs -II SMA  -22  studenți</t>
  </si>
  <si>
    <t>Evaluare pe parcurs - Etică și integritate academică - curs -II SMA  22  studenți</t>
  </si>
  <si>
    <t>3 studenți/punct x 0,25</t>
  </si>
  <si>
    <t>Restante -  Istoria tehnicii - I Mec -35 studenți + I Rob - 24 studenți</t>
  </si>
  <si>
    <t>Restanțe - Bazele sistemelor mecatronice  - II Mec -30 studenți + II Rob - 21 studenți</t>
  </si>
  <si>
    <t>Restanțe - Tehnici si sisteme de masurare - III Mec -27 studenți</t>
  </si>
  <si>
    <t>Restanțe - Controlul produselor prin măsuare asistată - III Rob -18 studenți</t>
  </si>
  <si>
    <t>Proba orala admitere master - septembrie 2023, SMA, 24 studenți</t>
  </si>
  <si>
    <t>3 studenți/punct x 2</t>
  </si>
  <si>
    <t xml:space="preserve">Tehnologii de procesare a mat polimerice - 3 TCM  - 30 stud - Evaluare pe parcurs - </t>
  </si>
  <si>
    <t xml:space="preserve">Tehnologii de procesare a mat polimerice - 3 TCM  - 30 stud - Evaluare finala - </t>
  </si>
  <si>
    <t>Tehnologii de procesare a mat polimerice - 3 TCM  - 30 stud Restanta  25%</t>
  </si>
  <si>
    <t>Tehnologii de procesare a mat polimerice - 3 TCM  - 30 stud Reexaminare 10%</t>
  </si>
  <si>
    <t>Metode si tehnici de simulare a proc -1 SCCC  - 27 stud  
Evaluare finală</t>
  </si>
  <si>
    <t xml:space="preserve">Titular </t>
  </si>
  <si>
    <t>Biomecatronica - 1 SMA - 30 stud 
Evaluare finala</t>
  </si>
  <si>
    <t>Bazele prelucrării prin deformare plastică - 3 IEDM - 35 Laborator - Evaluare pe parcurs</t>
  </si>
  <si>
    <t>Bazele prelucrării prin deformare plastică - 3 IEDM - 35 Proiect - Evaluare finală</t>
  </si>
  <si>
    <t>Bazele prelucrării prin deformare plastică - 3 IEDM - 35 Curs - Evaluare finală</t>
  </si>
  <si>
    <t>Examen de admitere master SMA (32 iulie + 24 sept = 56 stud)</t>
  </si>
  <si>
    <t>Examen licenta SPD (13 stud)</t>
  </si>
  <si>
    <t>Examen licenta Robotica (14+1 stud=15 stud)</t>
  </si>
  <si>
    <t>Examen disertatie SCCC (18 stud)</t>
  </si>
  <si>
    <t>Supleant</t>
  </si>
  <si>
    <t>Examen licenta Mecatronica Engleza (10 stud)</t>
  </si>
  <si>
    <t>Mecanică (C-I Elm - 12 stud) - eval finala</t>
  </si>
  <si>
    <t>TITULAR</t>
  </si>
  <si>
    <t>Mecanică (C-I Elm - 3 stud) - restanta</t>
  </si>
  <si>
    <t>Mecanică (C-I IPMI - 13 stud) - eval finala</t>
  </si>
  <si>
    <t>Mecanică (C-I  IEDM - 30 stud) - eval finala</t>
  </si>
  <si>
    <t>Mecanică (C-I IEDM - 9 stud) - restanta</t>
  </si>
  <si>
    <t>Mecanică (C-I  IEI - 18 stud) - eval finala</t>
  </si>
  <si>
    <t>Mecanică (C-I IEI - 4 stud) - restanta</t>
  </si>
  <si>
    <t>Mecanică (C-I  ITT - 25 stud) - eval finala</t>
  </si>
  <si>
    <t>Mecanică (C-I ITT - 6 stud) - restanta</t>
  </si>
  <si>
    <t>Informatica aplicata 1 (C-I IEI - 18 stud) - eval finala</t>
  </si>
  <si>
    <t>Informatica aplicata 2 (C-I IEI - 18 stud) - eval finala</t>
  </si>
  <si>
    <t>LICENTA TTC- EXAMEN (13 stud x 2)</t>
  </si>
  <si>
    <t xml:space="preserve">Mecanica (L - MEC II - 24) evaluare pe parcurs </t>
  </si>
  <si>
    <t>24/3</t>
  </si>
  <si>
    <t xml:space="preserve">Mecanica (Sem - MEC II - 24) evaluare pe parcurs </t>
  </si>
  <si>
    <t>Mecanica (L - MEC II - 24) examen semestru</t>
  </si>
  <si>
    <t>24/3*0.5</t>
  </si>
  <si>
    <t>Mecanica (L - MEC II- 24)  restanta</t>
  </si>
  <si>
    <t>Mecanica (Sem - RO II - 16) evaluare pe parcurs</t>
  </si>
  <si>
    <t>Mecanica (L - RO II - 16) evaluare pe parcurs</t>
  </si>
  <si>
    <t>Mecanica (L - RO II - 16) examen semestru</t>
  </si>
  <si>
    <t>Mecanica (L - RO II - 16) restanta</t>
  </si>
  <si>
    <t>Mecanica II (Sem - SPD II - 13) evaluare pe parcurs</t>
  </si>
  <si>
    <t>13/3</t>
  </si>
  <si>
    <t>Mecanica II (L - SPD II - 13) evaluare pe parcurs</t>
  </si>
  <si>
    <t>Mecanica II (Sem - SPD II - 13) examen semestru</t>
  </si>
  <si>
    <t>13/3*0.5</t>
  </si>
  <si>
    <t>Mecanica II (Sem - SPD II - 13) restanta</t>
  </si>
  <si>
    <t>Mecanica II (Sem - TDDH II - 13) evaluare pe parcurs</t>
  </si>
  <si>
    <t>Mecanica II (Sem - TDDH II - 13) examen semestru</t>
  </si>
  <si>
    <t>Mecanica II (Sem - TDDH II - 13) restanta</t>
  </si>
  <si>
    <t>Mecanica II (Sem - TDDH II - 13)  reexaminare</t>
  </si>
  <si>
    <t>1/3*0.5</t>
  </si>
  <si>
    <t>Mecanica I (Sem - TDDH I - 34) evaluare pe parcurs</t>
  </si>
  <si>
    <t>34/3</t>
  </si>
  <si>
    <t>Mecanica I (SL - TDDH I - 34) evaluare pe parcurs</t>
  </si>
  <si>
    <t>Mecanica I (Sem - TDDH I - 34) examen semestru</t>
  </si>
  <si>
    <t>34/3*0.5</t>
  </si>
  <si>
    <t>Mecanica I (L - TDDH I- 34)  restanta</t>
  </si>
  <si>
    <t>Mecanica I (Sem - SPD I - 21) evaluare pe parcurs</t>
  </si>
  <si>
    <t>21/3</t>
  </si>
  <si>
    <t>Mecanica I (Sem - SPD I - 21) examen semestru</t>
  </si>
  <si>
    <t>21/3*0.5</t>
  </si>
  <si>
    <t>Mecanica I (L - SPD I- 21)  restanta</t>
  </si>
  <si>
    <t>DT si Infografica (L - SPD I - 21) examen semestru</t>
  </si>
  <si>
    <t>DT si Infografica (L - SPD I - 21) restanta</t>
  </si>
  <si>
    <t>21/3*0.5*0.25</t>
  </si>
  <si>
    <t>Geometrie descriptiva (L -SPD I- 21)  reexaminare</t>
  </si>
  <si>
    <t>11/3*0.5*0.1</t>
  </si>
  <si>
    <t>DT si Infografica (L - SPD I- 21)  reexaminare</t>
  </si>
  <si>
    <t>21/3*0.5*0.1</t>
  </si>
  <si>
    <t>Grafica asistata de calculator 1 (1 MR+1R - 46+26=72 studenti) Evaluare pe parcurs,Examen, restanta , reexaminare</t>
  </si>
  <si>
    <t>Grafica asistata de calculator 1 (1 MREngl - 7 studenti) Evaluare pe parcurs,Examen, restanta , reexaminare</t>
  </si>
  <si>
    <t>Grafica asistata de calculator 2 (1 R - laborator -26 studenti) Examen, restanta , reexaminare</t>
  </si>
  <si>
    <t>Grafica asistata de calculator 2 (1 R - laborator - 13 studenti) Evaluare pe parcurs,</t>
  </si>
  <si>
    <t>Dunitrascu Oana</t>
  </si>
  <si>
    <t>evaluare pe parcurs, curs Bazele ec.1, an 1 IEDM</t>
  </si>
  <si>
    <t>30 x 0,33 = 10.00</t>
  </si>
  <si>
    <t>examen de semestru, curs Bazele ec.1, an 1 IEDM</t>
  </si>
  <si>
    <t>30 x 0,33 = 10,00</t>
  </si>
  <si>
    <t>restanta, curs Bazele ec.1, an 1 IEDM</t>
  </si>
  <si>
    <t>30 x 0,33 x 0,25 = 2,5</t>
  </si>
  <si>
    <t>reexaminare, curs Bazele ec 1, an 1 IEDM</t>
  </si>
  <si>
    <t>30 x 0,33  x 0,1 = 1,00</t>
  </si>
  <si>
    <t>evaluare pe parcurs, curs Bazele ec.1, an 1 IEI</t>
  </si>
  <si>
    <t>18 x 0,33 = 5,94</t>
  </si>
  <si>
    <t>examen de semestru, curs Bazele ec.1, an 1 IEI</t>
  </si>
  <si>
    <t>18 x 0,33 =5,94</t>
  </si>
  <si>
    <t>restanta, curs Bazele ec.1, an 1 IEI</t>
  </si>
  <si>
    <t>18 x 0,33 x 0,25 = 1,49</t>
  </si>
  <si>
    <t>reexaminare, curs Bazele ec 1, an 1 IEI</t>
  </si>
  <si>
    <t>18 x 0,33  x 0,1 = 0,59</t>
  </si>
  <si>
    <t>evaluare pe parcurs, curs Manag.Proi., an 4 IMAPA</t>
  </si>
  <si>
    <t>20 x 0,33 = 6,66</t>
  </si>
  <si>
    <t>examen de semestru, curs Manag.Proi, an 4 IMAPA</t>
  </si>
  <si>
    <t>restanta, curs Manag.Proiectelor, an 4 IMAPA</t>
  </si>
  <si>
    <t>20 x 0,33 x 0,25 = 1,65</t>
  </si>
  <si>
    <t>reexaminare, curs Manag.Proiectelor, an 4 IMAPA</t>
  </si>
  <si>
    <t>20 x 0,33  x 0,1 = 0,66</t>
  </si>
  <si>
    <t>evaluare pe parcurs, curs Manag.pr.inv., an 4 IEDM</t>
  </si>
  <si>
    <t>41 x 0,33 = 13,53</t>
  </si>
  <si>
    <t>examen de sem., curs Manag.pr.inv., an 4 IEDM</t>
  </si>
  <si>
    <t>restanta, curs Manag.pr.inv., an 4 IEDM</t>
  </si>
  <si>
    <t>41 x 0,33x 0,25 = 3,38</t>
  </si>
  <si>
    <t>reexaminare, curs Manag.pr.inv., an 4 IEDM</t>
  </si>
  <si>
    <t>41 x 0,33  x 0,1 = 1,35</t>
  </si>
  <si>
    <t>evaluare pe parcurs, curs Analiza pr.inv., an 4 IEI</t>
  </si>
  <si>
    <t>19 x 0,33 = 6,27</t>
  </si>
  <si>
    <t>examen de semestru, curs Analiza pr.inv., an 4 IEI</t>
  </si>
  <si>
    <t>restanta, curs analiza pr.inv., an 4 IEI</t>
  </si>
  <si>
    <t>19 x 0,33 x 0,25 = 1,57</t>
  </si>
  <si>
    <t>reexaminare, curs analiza pr.inv., an 4 IEI</t>
  </si>
  <si>
    <t>19 x 0,33 x 0,1 = 0,63</t>
  </si>
  <si>
    <t>evaluare pe parcurs, curs Manag., an 3 TTC</t>
  </si>
  <si>
    <t>6 x 0,33 = 2</t>
  </si>
  <si>
    <t>examen de semestru, curs Manag., an 3 TTC</t>
  </si>
  <si>
    <t>restanta, curs Manag., an 3 TTC</t>
  </si>
  <si>
    <t>6 x 0,33 x 0,25 = 0,5</t>
  </si>
  <si>
    <t>reexaminare, curs Manag., an 3 TTC</t>
  </si>
  <si>
    <t>6 x 0,33  x 0,1 = 0,2</t>
  </si>
  <si>
    <t xml:space="preserve">evaluare pe parcurs, proiect, man. invest, an IImMP </t>
  </si>
  <si>
    <t>19 x 0,33 = 6,33</t>
  </si>
  <si>
    <t xml:space="preserve">evaluare pe parcurs, proiect an IV IEI </t>
  </si>
  <si>
    <t>15 x 0,33 = 5</t>
  </si>
  <si>
    <t>Mecanisme, Organe de masini-C-II Tcm+II Spd+III TTC +II ITT+II ITT+II IEDM+II IEI-156 studenti-evaluare finala</t>
  </si>
  <si>
    <t>Mecanisme, Organe de masini-C-II Tcm+II Spd+III TTC +II ITT+II ITT+II IEDM+II IEI-156 studenti-evaluare pe parcurs</t>
  </si>
  <si>
    <t>Mecanisme, Organe de masini-C-II Tcm+II Spd+III TTC +II ITT+II ITT+II IEDM+II IEI-39 studenti-restanta</t>
  </si>
  <si>
    <t>Mecanisme, Organe de masini-C-II Tcm+II Spd+III TTC +II ITT+II ITT+II IEDM+II IEI-15 studenti-reexaminare</t>
  </si>
  <si>
    <t>Mecanisme, Organe de masini -L+P-9 sgr(II IEI, II IEDM, III TTC, II ITT)-134 studenti-evaluare pe parcurs</t>
  </si>
  <si>
    <t>Grafica asistata de calculator 2 (L- I Mec - 46 stud) - evaluare pe parcurs</t>
  </si>
  <si>
    <t>46/3</t>
  </si>
  <si>
    <t>Grafica asistata de calculator 2 (L- I Mec - 46 stud) -evaluare, restanta, reexaminare</t>
  </si>
  <si>
    <t>46/3*0,5*1,35</t>
  </si>
  <si>
    <t>Proiectarea masinilor unelte si sist. de producție (L- III SPD - 15 stud) - evaluare pe parcurs</t>
  </si>
  <si>
    <t>Proiectarea masinilor unelte si sist. de producție (L- III SPD - 15 stud) evaluare, restanta, reexaminare</t>
  </si>
  <si>
    <t>15/3*0,5*1,35</t>
  </si>
  <si>
    <t>Tehnologii de proc. a mat. Polimerice (L- III TCM - 30 stud) - evaluare pe parcurs</t>
  </si>
  <si>
    <t>Tehnologii de proc. a mat. Polimerice (L- III TCM - 30 stud) -evaluare, restanta, reexaminare</t>
  </si>
  <si>
    <t>30/3*0,5*1,35</t>
  </si>
  <si>
    <t>Proiectarea asistata de calculator (P- III ROB - 18 stud) - evaluare pe parcurs</t>
  </si>
  <si>
    <t>Proiectarea asistata de calculator (L- III ROB - 18 stud) - evaluare pe parcurs</t>
  </si>
  <si>
    <t>Proiectarea asistata de calculator (L- III ROB - 18 stud) - evaluare, restanta, reexaminare</t>
  </si>
  <si>
    <t>18/3*0,5*1,35</t>
  </si>
  <si>
    <t>Proiectarea asis a masinilor si utilajel (L- IV SPD - 11 stud)  - evaluare pe parcurs</t>
  </si>
  <si>
    <t>11/3</t>
  </si>
  <si>
    <t>Proiectarea asis a masinilor si utilajel (L- IV SPD - 11 stud) -evaluare, restanta, reexaminare</t>
  </si>
  <si>
    <t>11/3*0,5*1,35</t>
  </si>
  <si>
    <t>Modelarea si simularea sist mecatronice (L- IV MEC - 26 stud) - evaluare pe parcurs</t>
  </si>
  <si>
    <t>Modelarea si simularea sist mecatronice (L- IV MEC - 26 stud)  -evaluare, restanta, reexaminare</t>
  </si>
  <si>
    <t>26/3*0,5*1,35</t>
  </si>
  <si>
    <t>Grafica asistata de calculator 2 (L- I ROB -13 stud 1sg ) -  evaluare pe parcurs</t>
  </si>
  <si>
    <t>Grafica asistata de calculator 2 (L- I ROB - 26 stud) - evaluare, restanta, reexaminare</t>
  </si>
  <si>
    <t>26/3*0,5*1,5</t>
  </si>
  <si>
    <t>Proiectarea asist de calc pt SFF (L- IV ROB - 16 stud)  -  evaluare pe parcurs</t>
  </si>
  <si>
    <t>Proiectarea asist de calc pt SFF (L- IV ROB - 16 stud) - evaluare, restanta, reexaminare</t>
  </si>
  <si>
    <t>16/3*0,5*1,35</t>
  </si>
  <si>
    <t>Finisarea produselor textile1 (C-IV TTC - 11 stud) evaluare pe parcurs</t>
  </si>
  <si>
    <t>Ttular</t>
  </si>
  <si>
    <t>Finisarea produselor textile 1 (C- IV TTC -11 stud) evaluare finală</t>
  </si>
  <si>
    <t>Finisarea produselor textile 1 (C- IV TTC -11 stud) restanța</t>
  </si>
  <si>
    <t>Finisarea produselor textile 1 (C- IV TTC -11 stud) reexaminări</t>
  </si>
  <si>
    <t>Materii prime ptentru textile-pielărie 1 (C-II IEI -11 stud) evaluare pe parcurs</t>
  </si>
  <si>
    <t>Materii prime pentru textile-pielărie 1 (C-II IEI - 11 stud) evaluare finală</t>
  </si>
  <si>
    <t>Materii prime pentru textile-pielărie 1 (C-II IEI - 11 stud) restanța</t>
  </si>
  <si>
    <t>Materii prime pentru textile-pielărie 1 (C-II IEI - 11 stud) reexaminări</t>
  </si>
  <si>
    <t>Finisarea produselor textile 2 (C-IV TTC -11 stud) evaluare pe parcurs</t>
  </si>
  <si>
    <t>Finisarea produselor textile 2 (C-IV TTC -11 stud) evaluare finală</t>
  </si>
  <si>
    <t>Finisarea produselor textile 2 (C-IV TTC -11 stud) restanța</t>
  </si>
  <si>
    <t>Finisarea produselor textile 2 (C-IV TTC -11 stud) reexaminări</t>
  </si>
  <si>
    <t>Materii prime pentru textile-pielărie 2 (C-II IEI -11 stud) evaluare pe parcurs</t>
  </si>
  <si>
    <t>Materii prime pentru textile-pielărie 2 (C-II IEI -11 stud) evaluare finală</t>
  </si>
  <si>
    <t>Materii prime pentru textile-pielărie 2 (C-II IEI - 11 stud) restanța</t>
  </si>
  <si>
    <t>Materii prime pentru textile-pielărie 2 (C-II IEI -11 stud) reexaminări</t>
  </si>
  <si>
    <t>Examen de liicență TTC - 12 studenți</t>
  </si>
  <si>
    <t>Examen de licență IEI - 13 studenți</t>
  </si>
  <si>
    <t>Examen de licență IEI martie- 2 studenți</t>
  </si>
  <si>
    <t>Examen de disertație OTT martie- 1 masterand</t>
  </si>
  <si>
    <t>Examen semestru, Evaluare pe parcurs (curs), Restanță,  II LI Logistica activităților de exp. și transport</t>
  </si>
  <si>
    <t>18 stud. : 3 = 6; 18 stud. : 3 = 6; 18 stud. X 25/100 : 3 = 1,5</t>
  </si>
  <si>
    <t>Examen semestru, Evaluare pe parcurs (curs), Evaluare pe parcurs (seminar), Restanță, Transporturi speciale IV ITT</t>
  </si>
  <si>
    <t>23 stud. : 3 = 7,66; 23 stud. : 3 = 7,66; 23 stud. : 3 = 7,66; 23 stud. X25/100 : 3 =  1,91</t>
  </si>
  <si>
    <t xml:space="preserve">Examen semestru, Evaluare pe parcurs (curs), Evaluare pe parcurs (seminar), Restanță, Tehnici de asamblare în TDDH2 II TDDH </t>
  </si>
  <si>
    <t>13 stud. : 3 = 4,33; 13 stud. : 3 = 4,33;  13 stud. : 3 = 4,33; 13 stud. X 25/100: 3 = 1,08</t>
  </si>
  <si>
    <t>Examen semestru, Evaluare pe parcurs (curs), Evaluare pe parcurs (laborator), Restanță, Reexaminare BAGSI II III TCM + III SPD</t>
  </si>
  <si>
    <t xml:space="preserve">45 stud. : 3 = 15; 45 stud. : 3 = 15; 30 stud.(TCM) : 3x = 10; 45 stud. X25/100:3 = 3,75 </t>
  </si>
  <si>
    <t>Examen semestru, Evaluare pe parcurs (curs), Restanță, Transporturi multimodale IV ITT</t>
  </si>
  <si>
    <t>23 stud. : 3 = 7,66; 23 stud. : 3 = 7,66; 23 stud. X25/100 : 3 =  1,91</t>
  </si>
  <si>
    <t>Licență ITT, Disertație LI</t>
  </si>
  <si>
    <t>(1 stud. Feb. + 21 stud. iulie.)/3x2 = 14,66; (1 stud. Feb. + 11 stud. iulie)/3x3 = 12</t>
  </si>
  <si>
    <t>Examen de semestru AN 3 TDDH - Comprimarea și lichefierea gazelor naturale</t>
  </si>
  <si>
    <t>17 stud/3</t>
  </si>
  <si>
    <t>Examen de semestru AN 3 TDDH - Mecanica fluidelor</t>
  </si>
  <si>
    <t>Examen de semestru AN 3 TDDH - Transportul hidrocarburilor</t>
  </si>
  <si>
    <t>Examen de semestru AN 3 TDDH - Transportul hidrocarburilor-Proiect</t>
  </si>
  <si>
    <t>Examen de semestru AN 4 TDDH - Transportul gazelor</t>
  </si>
  <si>
    <t>14 stud/3</t>
  </si>
  <si>
    <t>Examen de semestru AN 2 IMGN - Politici si strategii in ingineria gazelor naturale</t>
  </si>
  <si>
    <t>23 stud/3</t>
  </si>
  <si>
    <t>Examen de semestru AN 2 IMGN - Mentenanta retelelor de transport și distribuție gaze naturale</t>
  </si>
  <si>
    <t>Examen de semestru AN 4 TDDH - Distributia fluidelor</t>
  </si>
  <si>
    <t xml:space="preserve">14 stud/3 </t>
  </si>
  <si>
    <t>Examene licenţă (specializarea TDDH) - iulie</t>
  </si>
  <si>
    <t>Membru în comisia pentru examenele de finalizare a studiilor- Specializarea - Transportul și depozitarea hidrocarburilor</t>
  </si>
  <si>
    <t>14stud/3 x 2</t>
  </si>
  <si>
    <t>Examene licenţă (specializarea TDDH) - martie</t>
  </si>
  <si>
    <t xml:space="preserve">Membru în comisia pentru examenele de finalizare a studiilor- Specializarea - Transportul și depozitarea hidrocarburilor </t>
  </si>
  <si>
    <t>2 stud/3 x 2</t>
  </si>
  <si>
    <t>Examene disertatie (IMGN) - iulie</t>
  </si>
  <si>
    <t>Membru în comisia pentru examenele de finalizare a studiilor - Program - Ingineria si managementul gazelor naturale</t>
  </si>
  <si>
    <t>20 stud/3 x 3</t>
  </si>
  <si>
    <t>Examene disertatie (IMGN) - martie</t>
  </si>
  <si>
    <t>1 stud/3 x 3</t>
  </si>
  <si>
    <t>Probă orală de verificare a cunoștințelor de domeniu pentru admitere master (Domeniul- Mine, petrol si gaze; Program - Ingineria si managementul gazelor naturale) - iulie</t>
  </si>
  <si>
    <t>Membru in comisia de admitere Master - Domeniul- Mine, petrol si gaze; Program - Ingineria si managementul gazelor naturale) - iulie</t>
  </si>
  <si>
    <t>24 stud/3 x 2</t>
  </si>
  <si>
    <t>Probă orală de verificare a cunoștințelor de domeniu pentru admitere master (Domeniul- Mine, petrol si gaze; Program - Ingineria si managementul gazelor naturale) - septembrie</t>
  </si>
  <si>
    <t>Membru in comisia de admitere Master - Domeniul- Mine, petrol si gaze; Program - Ingineria si managementul gazelor naturale) - septembrie</t>
  </si>
  <si>
    <t>30 stud/3x2</t>
  </si>
  <si>
    <t>Evaluare pe parcurs: Termotehnica  / II TCM / curs</t>
  </si>
  <si>
    <t>43 st / 3</t>
  </si>
  <si>
    <t>Evaluare pe parcurs: Termotehnica  / II SPD / curs</t>
  </si>
  <si>
    <t>13 st / 3</t>
  </si>
  <si>
    <t>Evaluare pe parcurs: Termotehnica  / II Me / curs</t>
  </si>
  <si>
    <t>24 st / 3</t>
  </si>
  <si>
    <t>Evaluare pe parcurs: Termotehnica  / II Ro / curs</t>
  </si>
  <si>
    <t>16 st / 3</t>
  </si>
  <si>
    <t>Evaluare pe parcurs: Transportul hidrocarburilor  / III TDDH / curs</t>
  </si>
  <si>
    <t>18 st / 3</t>
  </si>
  <si>
    <t>Evaluare pe parcurs: Transportul hidrocarburilor  / III TDDH / seminar</t>
  </si>
  <si>
    <t>Evaluare pe parcurs: Transportul gazelor  / IV TDDH / curs</t>
  </si>
  <si>
    <t>22 st / 3</t>
  </si>
  <si>
    <t>Evaluare pe parcurs: Tehnologia materialelor/II TCM/laborator</t>
  </si>
  <si>
    <t>Examen de semestru: Termotehnica  / II TCM / curs</t>
  </si>
  <si>
    <t>Examen de semestru: Termotehnica  / II SPD / curs</t>
  </si>
  <si>
    <t>Examen de semestru: Termotehnica  / II Me / curs</t>
  </si>
  <si>
    <t>Examen de semestru: Termotehnica  / II Ro / curs</t>
  </si>
  <si>
    <t>Examen de semestru: Transportul hidrocarburilor  / III TDDH / curs</t>
  </si>
  <si>
    <t>Examen de semestru: Transportul hidrocarburilor  / III TDDH / seminar</t>
  </si>
  <si>
    <t>Examen de semestru: Transportul gazelor  / IV TDDH / curs</t>
  </si>
  <si>
    <t>Examen de semestru: Tehnologia materialelor/II TCM/laborator</t>
  </si>
  <si>
    <t>Evaluare pe parcurs, curs Manag. Productiei si serviciilor an III IEDM, 35 stud</t>
  </si>
  <si>
    <t>35X0,33</t>
  </si>
  <si>
    <t>Examen finală, curs Manag. Productiei si serviciilor an III IEDM, 35 stud</t>
  </si>
  <si>
    <t>35x0,33</t>
  </si>
  <si>
    <t>Restanta, curs Manag. Productiei si serviciilor an III IEDM</t>
  </si>
  <si>
    <t>0,25x35/3</t>
  </si>
  <si>
    <t>Reexaminare, curs Manag. Productiei si serviciilor an III IEDM</t>
  </si>
  <si>
    <t>0,1x35/3</t>
  </si>
  <si>
    <t>Evaluare pe parcurs curs Managementul Productiei an III IEI, 22 stud</t>
  </si>
  <si>
    <t>22x0,33</t>
  </si>
  <si>
    <t>Examen finală, curs Manag. Productiei an III IEI, 22 stud</t>
  </si>
  <si>
    <t>Restanta, curs Manag. Productiei an III IEI</t>
  </si>
  <si>
    <t>0,25x22/3</t>
  </si>
  <si>
    <t>Reexaminare, curs Managementul Productiei, an III IEI</t>
  </si>
  <si>
    <t>0,1x22/3</t>
  </si>
  <si>
    <t>Evaluare pe parcurs, curs Antreprenoriat si dezvoltarea afacerilor, an I master MAI, 29 stud</t>
  </si>
  <si>
    <t>29x0,33</t>
  </si>
  <si>
    <t>Evaluare finală, curs Antreprenoriat si dezvoltarea afacerilor, an I master MAI, 29 stud</t>
  </si>
  <si>
    <t>Restanta, curs Antreprenoriat si dezvoltarea afacerilor, an I master MAI</t>
  </si>
  <si>
    <t>0,25x29/3</t>
  </si>
  <si>
    <t>Reexaminare, curs Antreprenoriat si dezvoltarea afacerilor, an I master MAI</t>
  </si>
  <si>
    <t>0,1x29/3</t>
  </si>
  <si>
    <t>Evaluare pe parcurs, Managementul proiectelor complexe, an I master MAI, 29 stud</t>
  </si>
  <si>
    <t>Evaluare finala, Managementul proiectelor complexe, an I master MAI, 29 stud</t>
  </si>
  <si>
    <t>Restanta, Managementul proiectelor complexe, an I master MAI</t>
  </si>
  <si>
    <t>Reexaminare, Managementul proiectelor complexe, an I master MAI</t>
  </si>
  <si>
    <t>Evaluare pe parcurs, Designul proiectelor complexe, an I master MP, 30 std</t>
  </si>
  <si>
    <t>30x0,33</t>
  </si>
  <si>
    <t>Evaluare finală, Designul proiectelor complexe, an I master MP, 30 std</t>
  </si>
  <si>
    <t>Restanță, Designul proiectelor complexe, an I master MP</t>
  </si>
  <si>
    <t>0,25x30/3</t>
  </si>
  <si>
    <t>Reexaminare, Designul proiectelor complexe, an I master MP</t>
  </si>
  <si>
    <t>0,1x30/3</t>
  </si>
  <si>
    <t>Admitere master domeniu Inginerie si Management, proba orală</t>
  </si>
  <si>
    <t>membru in comisie</t>
  </si>
  <si>
    <t>181/3 x 2</t>
  </si>
  <si>
    <t>Admitere doctorat domeniu Management</t>
  </si>
  <si>
    <t>12/3x3</t>
  </si>
  <si>
    <t>Examen licență IEDM zi</t>
  </si>
  <si>
    <t>presedinte comisie</t>
  </si>
  <si>
    <t>41/3x2</t>
  </si>
  <si>
    <t>Examen licență IEDM ID</t>
  </si>
  <si>
    <t>34/3x2</t>
  </si>
  <si>
    <t>Examen disertație master MAI</t>
  </si>
  <si>
    <t>23/3x3</t>
  </si>
  <si>
    <t>Examen disertatie master MP</t>
  </si>
  <si>
    <t>15/3x3</t>
  </si>
  <si>
    <t>Examen disertatie master MPMA (Fac. SAIAPM)</t>
  </si>
  <si>
    <t>Evaluare parțială Managementul IMM - urilor IV IEDM + IEI</t>
  </si>
  <si>
    <t>Examen Afaceri mici și mijlocii IV IEI + IV IEDM</t>
  </si>
  <si>
    <t>Managementul producției - evaluare proiect III IEI</t>
  </si>
  <si>
    <t>Managementul producției - examen III IEI</t>
  </si>
  <si>
    <t>asistent examen</t>
  </si>
  <si>
    <t>Colocviu Management industrial II TCM + II SPD</t>
  </si>
  <si>
    <t>Parțial Management industrial II TCM + II SPD</t>
  </si>
  <si>
    <t>Restanță management industrial II TCM + II SPD</t>
  </si>
  <si>
    <t>Managementul producției și serviciilor - evaluare proiect III IEDM</t>
  </si>
  <si>
    <t>Managementul producției și serviciilor - examen III IEDM</t>
  </si>
  <si>
    <t>Managementul logisticii - III IEDM - evaluare proiect</t>
  </si>
  <si>
    <t>Managementul logisticii - III IEDM - examen</t>
  </si>
  <si>
    <t>Managementul IMM - urilor - IV IEDM - evaluare proiect (1 sgrP)</t>
  </si>
  <si>
    <t>Licență IEI februarie + iulie</t>
  </si>
  <si>
    <t>Examen Ingineria calitatii IEDM3 + IEI3</t>
  </si>
  <si>
    <t>Form studii 2022/2023 (IEDM+IEI) = 50 studenti</t>
  </si>
  <si>
    <t>Examen Tehnici si instrumente ale calitatii</t>
  </si>
  <si>
    <t>Form studii 2022/2023 (MC) = 30 studenti</t>
  </si>
  <si>
    <t>Examen Politici si mecanisme in domeniul calitatii</t>
  </si>
  <si>
    <t>Admitere Master MPE+MAI+MC</t>
  </si>
  <si>
    <t>Liste admitere  iulie - 135</t>
  </si>
  <si>
    <t>Admitere Doctorat</t>
  </si>
  <si>
    <t>Liste admitere  iulie, sept - 5</t>
  </si>
  <si>
    <t>Disertatie Maser MC 2022</t>
  </si>
  <si>
    <t>PV examen disertatie - 20 studenti</t>
  </si>
  <si>
    <t>Examen de semestru mLI an I - Managementul achizitiilor</t>
  </si>
  <si>
    <t>15 stud/3</t>
  </si>
  <si>
    <t>Examen de semestru mMC an II - Managementul sănătății și securității ocupaționale</t>
  </si>
  <si>
    <t>25 stud/3</t>
  </si>
  <si>
    <t>Examen de semestru mMC an II - Practică de cercetare 1</t>
  </si>
  <si>
    <t>Examen de semestru mMC an II - Practică de cercetare 2</t>
  </si>
  <si>
    <t>Examen de semestru mMC an II - Practică pentru elaborarea lucrării de disertație</t>
  </si>
  <si>
    <t>26 stud/3</t>
  </si>
  <si>
    <t>Examen de semestru mMC an II - Managementul marketingului</t>
  </si>
  <si>
    <t>25 stud/3 x 0,5</t>
  </si>
  <si>
    <t>Examen de semestru mMC an I - Calitatea si managementul mediului</t>
  </si>
  <si>
    <t>Examen de semestru mMC an I - Tehnici ale cunoașterii științifice, etică şi integritate academică</t>
  </si>
  <si>
    <t>30 stud/3 x 0,5</t>
  </si>
  <si>
    <t>Examen de semestru IPMI an III - Managementul calitatii</t>
  </si>
  <si>
    <t>11 stud/3</t>
  </si>
  <si>
    <t>Examen de semestru ITT an III - Sisteme de transport</t>
  </si>
  <si>
    <t>18 stud/3</t>
  </si>
  <si>
    <t>Examen de semestru TCM an IV  - Ingineria calitatii</t>
  </si>
  <si>
    <t>41 stud/3 x 0,5</t>
  </si>
  <si>
    <t>Examen de semestru SPD an IV  - Ingineria calitatii</t>
  </si>
  <si>
    <t>11 stud/3 x 0,5</t>
  </si>
  <si>
    <t>Examen de semestru Mec an IV  - Ingineria calitatii</t>
  </si>
  <si>
    <t>26 stud/3 x 0,5</t>
  </si>
  <si>
    <t>Examen de semestru IEDM an III  - Ingineria calitatii</t>
  </si>
  <si>
    <t>35 stud/3 x 0,5</t>
  </si>
  <si>
    <t>Examen de semestru IEDM-ID an III  - Ingineria calitatii</t>
  </si>
  <si>
    <t>46 stud/3</t>
  </si>
  <si>
    <t>Examen de semestru TDDH an IV  - Managementul calitatii</t>
  </si>
  <si>
    <t>22 stud/3 x 0,5</t>
  </si>
  <si>
    <t>Examen de semestru TDDH-FR an IV  - Managementul calitatii</t>
  </si>
  <si>
    <t xml:space="preserve">28stud/3 </t>
  </si>
  <si>
    <t>Examen de semestru mSTIF an I  - Tehnici și metode de imbunatatire a calitatii proceselor de productie</t>
  </si>
  <si>
    <t>Examen de semestru ITT an IV - Sisteme neconventionale de propulsie și transport</t>
  </si>
  <si>
    <t>23 stud/3 x 0,5</t>
  </si>
  <si>
    <t>Examen de semestru ITT an IV - Securitatea și siguranța transporturilor</t>
  </si>
  <si>
    <t>Examen de semestru ITT an IV - Maşini şi instalaţii pentru manipularea mărfurilor</t>
  </si>
  <si>
    <t>Examen de semestru MAI an I - Managementul integrat al calităţii</t>
  </si>
  <si>
    <t>29 stud/3 x 0,5</t>
  </si>
  <si>
    <t>Examen de semestru EM 341 an I - Management</t>
  </si>
  <si>
    <t>16 stud/3 x 0,5</t>
  </si>
  <si>
    <t>Examen de semestru ITT an II  - Mijloace de transport</t>
  </si>
  <si>
    <t>Examen de semestru ITT an III  - Terminale de Transport</t>
  </si>
  <si>
    <t>18 stud/3 x 0,5</t>
  </si>
  <si>
    <t>Examene licenţă (specializarea ITT) - martie</t>
  </si>
  <si>
    <t>membru în comisia pentru examenele de finalizare a studiilor specializarea Ingineria Transporturilor şi a Traficului</t>
  </si>
  <si>
    <t>1 stud/3 x 2</t>
  </si>
  <si>
    <t>Examene licenţă (specializarea ITT) - iulie</t>
  </si>
  <si>
    <t>21 stud/3 x 2</t>
  </si>
  <si>
    <t>Examene licenţă (specializarea IPMI) - iulie</t>
  </si>
  <si>
    <t>membru în comisia pentru examenele de finalizare a studiilor specializarea Ingineria și Protecția Mediului în Industrie</t>
  </si>
  <si>
    <t>Examene disertatie (specializarea mLI) - martie</t>
  </si>
  <si>
    <t>membru în comisia pentru examenele de finalizare a studiilor specializarea Logistica Industriala</t>
  </si>
  <si>
    <t>Examene disertatie (specializarea mLI) - iulie</t>
  </si>
  <si>
    <t>11 stud/3 x 3</t>
  </si>
  <si>
    <t>Examene disertatie (specializarea mMC) - martie</t>
  </si>
  <si>
    <t>membru în comisia pentru examenele de finalizare a studiilor specializarea Managementul Calitatii</t>
  </si>
  <si>
    <t>3 stud/3 x 3</t>
  </si>
  <si>
    <t>Examene disertatie (specializarea mMC) - iulie</t>
  </si>
  <si>
    <t>21 stud/3 x 3</t>
  </si>
  <si>
    <t>Examene disertatie (specializarea mMAI) - martie</t>
  </si>
  <si>
    <t>membru în comisia pentru examenele de finalizare a studiilor specializarea Managementul Afacerilor Industriale</t>
  </si>
  <si>
    <t>Probă orală de verificare a cunoștințelor de domeniu pentru admitere master (domeniul Inginerie și management) - septembrie</t>
  </si>
  <si>
    <t>membru în comisia admitere Master- domeniul Inginerie și management</t>
  </si>
  <si>
    <t>20 stud/3 x 2</t>
  </si>
  <si>
    <t>Probă orală de verificare a cunoștințelor de domeniu pentru admitere master (domeniul Inginerie și management) - iulie</t>
  </si>
  <si>
    <t>117 stud/3 x 2</t>
  </si>
  <si>
    <t>Examene de admitere proba scrisa  (specializarea Calculatoare si tehnologia informatiei) - iulie</t>
  </si>
  <si>
    <t>membru în comisia de verificare/corectura - Calculatoare si tehnologia informatie</t>
  </si>
  <si>
    <t>30 stud/3 x 2</t>
  </si>
  <si>
    <t>Evaluare pe parcurs: Toleranțe și control dimensional 1 / II TCM / curs</t>
  </si>
  <si>
    <t>Evaluare pe parcurs: Toleranțe și control dimensional 1 / II SPD / curs</t>
  </si>
  <si>
    <t>Examen de semestru: Toleranțe și control dimensional 1 / II TCM</t>
  </si>
  <si>
    <t>Examen de semestru: Toleranțe și control dimensional 1 / II SPD</t>
  </si>
  <si>
    <t>Restanțe: Toleranțe și control dimensional 1 / II TCM</t>
  </si>
  <si>
    <t>25% 43 st  / 3 = 10.75 st / 3</t>
  </si>
  <si>
    <t>Reexaminare: Toleranțe și control dimensional 1 / II TCM</t>
  </si>
  <si>
    <t>10% 43 st  / 3 = 4.3 st / 3</t>
  </si>
  <si>
    <t>Restanțe: Toleranțe și control dimensional 1 / II SPD</t>
  </si>
  <si>
    <t>25% 13 st  / 3 = 3.25 st / 3</t>
  </si>
  <si>
    <t>Reexaminare: Toleranțe și control dimensional 1 / II SPD</t>
  </si>
  <si>
    <t>10% 13 st  / 3 =   1.3 st / 3</t>
  </si>
  <si>
    <t>Evaluare pe parcurs: Toleranțe și control dimensional / II IEDM / curs</t>
  </si>
  <si>
    <t>27 st / 3</t>
  </si>
  <si>
    <t>Examen de semestru: Toleranțe și control dimensional / II IEDM / curs</t>
  </si>
  <si>
    <t>Restanțe: Toleranțe și control dimensional / II IEDM / curs</t>
  </si>
  <si>
    <t>25% 27 st  / 3 = 6.75 st / 3</t>
  </si>
  <si>
    <t>Reexaminare: Toleranțe și control dimensional / II IEDM / curs</t>
  </si>
  <si>
    <t>10% 27 st  / 3 =  2.7 st / 3</t>
  </si>
  <si>
    <t>Evaluare pe parcurs: Controlul statistic al proceselor / I mMC / curs</t>
  </si>
  <si>
    <t>30 st / 3</t>
  </si>
  <si>
    <t>Examen de semestru: Controlul statistic al proceselor / I mMC</t>
  </si>
  <si>
    <t>Restanțe: Controlul statistic al proceselor / I mMC</t>
  </si>
  <si>
    <t>25% 30 st  / 3 =  7.5 st / 3</t>
  </si>
  <si>
    <t>Reexaminare: Controlul statistic al proceselor / I mMC</t>
  </si>
  <si>
    <t>10% 30 st  / 3 = 3 st / 3</t>
  </si>
  <si>
    <t>Evaluare pe parcurs: Teoria probabilităților și statistică matematică / I TCM / curs</t>
  </si>
  <si>
    <t>53 st / 3</t>
  </si>
  <si>
    <t>Examen de semestru: Teoria probabilităților și statistică matematică / I TCM / curs</t>
  </si>
  <si>
    <t>Restanțe: Teoria probabilităților și statistică matematică / I TCM</t>
  </si>
  <si>
    <t>25% 53 st  / 3 =  13.25 st / 3</t>
  </si>
  <si>
    <t>Reexaminare: Teoria probabilităților și statistică matematică / I TCM</t>
  </si>
  <si>
    <t>10% 53 st  / 3 =  5.3 st / 3</t>
  </si>
  <si>
    <t>Evaluare pe parcurs: Teoria probabilităților și statistică matematică / I SPD / curs</t>
  </si>
  <si>
    <t>21st / 3</t>
  </si>
  <si>
    <t>Examen de semestru: Teoria probabilităților și statistică matematică / I SPD / curs</t>
  </si>
  <si>
    <t>Restanțe: Teoria probabilităților și statistică matematică / I SPD</t>
  </si>
  <si>
    <t>25% 21 st  / 3 = 5.25 st / 3</t>
  </si>
  <si>
    <t>Reexaminare: Teoria probabilităților și statistică matematică / I SPD</t>
  </si>
  <si>
    <t>10% 21 st  / 3 = 2.1 st / 3</t>
  </si>
  <si>
    <t>Evaluare pe parcurs: Teoria probabilităților și statistică matematică / I Ro / curs</t>
  </si>
  <si>
    <t>26 st / 3</t>
  </si>
  <si>
    <t>Examen de semestru: Teoria probabilităților și statistică matematică / I Ro / curs</t>
  </si>
  <si>
    <t>Restanțe: Teoria probabilităților și statistică matematică / I Ro</t>
  </si>
  <si>
    <t>25% 26 st  / 3 =  6.5 st / 3</t>
  </si>
  <si>
    <t>Reexaminare: Teoria probabilităților și statistică matematică / I Ro</t>
  </si>
  <si>
    <t>10% 26 st  / 3 =  2.6 st / 3</t>
  </si>
  <si>
    <t>Examen de admitere master: Proba de verificare a cunoștințelor / domeniul Inginerie industrială / iulie 2023</t>
  </si>
  <si>
    <t>numită prin decizie ULBS</t>
  </si>
  <si>
    <t>2 x 72 st / 3</t>
  </si>
  <si>
    <t>Examen de admitere master: Proba de verificare a cunoștințelor / domeniul Inginerie industrială /septembrie 2023</t>
  </si>
  <si>
    <t>2 x 43 st / 3</t>
  </si>
  <si>
    <t>Examen finalizare studii / Licență TCM / martie 2023</t>
  </si>
  <si>
    <t>2 x 5 st / 3</t>
  </si>
  <si>
    <t>Examen finalizare studii / Licență TCM / iulie 2023</t>
  </si>
  <si>
    <t>2 x 38 st / 3</t>
  </si>
  <si>
    <t>Examen finalizare studii / Disertație STIF / iulie 2023</t>
  </si>
  <si>
    <t>3 x 15 st / 3</t>
  </si>
  <si>
    <t>Examen finalizare studii / Disertație MC / martie 2023</t>
  </si>
  <si>
    <t>3 x 3 st / 3</t>
  </si>
  <si>
    <t>Examen finalizare studii / Disertație MC / iulie 2023</t>
  </si>
  <si>
    <t>3 x 21 st / 3</t>
  </si>
  <si>
    <t>Examen Marketing IEDM1 + IEI1</t>
  </si>
  <si>
    <t>Form studii 2022/2023 (IEDM+IEI) = 48 studenti</t>
  </si>
  <si>
    <t>Evaluare pe parcurs Marketing IEDM1+IEI1</t>
  </si>
  <si>
    <t>Colocviu Marketing TCM2 + SPD2</t>
  </si>
  <si>
    <t>Form studii 2022/2023 (TCM+SPD) = 56 studenti</t>
  </si>
  <si>
    <t>Evaluare pe parcurs Marketing TCM2 + SPD2</t>
  </si>
  <si>
    <t>Colocviu Cercetari de Marketing IEDM4+IEI4</t>
  </si>
  <si>
    <t>Form studii 2022/2023 (IEDM+IEI) = 56 studenti</t>
  </si>
  <si>
    <t>Proiect Cercetari de Marketing IEDM4+IEI4</t>
  </si>
  <si>
    <t>Evaluare pe parcurs Cercetari de Marketing IEDM4+IEI4</t>
  </si>
  <si>
    <t>Restanta Marketing IEDM1+IEI1</t>
  </si>
  <si>
    <t>25% din studenti = 12</t>
  </si>
  <si>
    <t>Restanta TCM2+SPD2</t>
  </si>
  <si>
    <t>25% din studenti = 14</t>
  </si>
  <si>
    <t>Restanta Cercetari de Marketing IEDM4+IEI4</t>
  </si>
  <si>
    <t>Reexaminare Marketing IEDM1+IEI1</t>
  </si>
  <si>
    <t>10% din studenti = 4,8</t>
  </si>
  <si>
    <t>Reexaminare TCM2+SPD2</t>
  </si>
  <si>
    <t>10% din studenti = 5,6</t>
  </si>
  <si>
    <t>Reexaminare Cercetari de Marketing IEDM4+IEI4</t>
  </si>
  <si>
    <t>Disertatie MPE 2022</t>
  </si>
  <si>
    <t>PV examen disertatie - 14 studenti</t>
  </si>
  <si>
    <t>Examen Managementul Relatiilor cu clientii mLI2</t>
  </si>
  <si>
    <t>asistare examen</t>
  </si>
  <si>
    <t>Form studii 2022/2023 (mLI) = 18 studenti</t>
  </si>
  <si>
    <t>Evaluare pe parcurs</t>
  </si>
  <si>
    <t>Examen de semestru</t>
  </si>
  <si>
    <t>Examen de restante</t>
  </si>
  <si>
    <t>Examen de reexaminari</t>
  </si>
  <si>
    <t>Examen admitere licenta</t>
  </si>
  <si>
    <t>membru comisie</t>
  </si>
  <si>
    <t>FIG5</t>
  </si>
  <si>
    <t>Examen admitere master</t>
  </si>
  <si>
    <t>Examen disertatie</t>
  </si>
  <si>
    <t>secretar comisie</t>
  </si>
  <si>
    <t>Examen  - Tehnologii de prelucrare pe MUCN, IVTCM, 41 studenti</t>
  </si>
  <si>
    <t>Evaluare pe parcurs  - Tehnologii de prelucrare pe MUCN, IVTCM, 41 studenti</t>
  </si>
  <si>
    <t>Examen Tehnologia constructiilor de masini 1,  III TCM  ,30 studenti</t>
  </si>
  <si>
    <t>Evaluare pe parcurs Tehnologia constructiilor de masini 1,  III TCM  ,30 studenti</t>
  </si>
  <si>
    <t>Evaluare laborator Metode si mijloace CAM,  I mSTIF  ,22 studenti</t>
  </si>
  <si>
    <t>Evaluare laborator Programarea avansata si exploatarea echipamentelor CNC,  II mSTIF  ,24 studenti</t>
  </si>
  <si>
    <t>Evaluare parcurs Tehnologii de fabricatie 1,  III IEDM  ,35 studenti</t>
  </si>
  <si>
    <t>Examen Tehnologii de fabricatie 1,  III IEDM  ,35 studenti</t>
  </si>
  <si>
    <t>Restanta  - Tehnologii de prelucrare pe MUCN, IVTCM, 41 studenti</t>
  </si>
  <si>
    <t>Restanta Tehnologia constructiilor de masini 1,  III TCM  ,30 studenti</t>
  </si>
  <si>
    <t>Restanta Tehnologii de fabricatie 1,  III IEDM  ,35 studenti</t>
  </si>
  <si>
    <t>Reexaminare  - Tehnologii de prelucrare pe MUCN, IVTCM, 41 studenti</t>
  </si>
  <si>
    <t>Reexaminare Tehnologia constructiilor de masini 1,  III TCM  ,30 studenti</t>
  </si>
  <si>
    <t>Reexaminare Tehnologii de fabricatie 1,  III IEDM  ,35 studenti</t>
  </si>
  <si>
    <t>Examen licenta TCM feb, iulie 2023, 5+38 stud</t>
  </si>
  <si>
    <t>Examen licenta IEDM feb, iulie 2023, 3+43 stud</t>
  </si>
  <si>
    <t>Examen MASTER STIF feb, iulie 2022,15 stud</t>
  </si>
  <si>
    <t>Examen admitere MASTER Ing. Industriala, 72+43 stud</t>
  </si>
  <si>
    <t>Evaluare pe parcurs: Programarea calculatoarelor si limbaje de programare 1 / I TCM / curs</t>
  </si>
  <si>
    <t>Evaluare pe parcurs: Programarea calculatoarelor si limbaje de programare 1 / I SPD / curs</t>
  </si>
  <si>
    <t>21 st / 3</t>
  </si>
  <si>
    <t>Evaluare de semestru: Programarea calculatoarelor si limbaje de programare 1 / I TCM / curs</t>
  </si>
  <si>
    <t>Evaluare de semestru: Programarea calculatoarelor si limbaje de programare 1 / I SPD / curs</t>
  </si>
  <si>
    <t>Restanțe: Programarea calculatoarelor si limbaje de programare 1 / I TCM</t>
  </si>
  <si>
    <t>25% 53 st  / 3 = 13,25 st / 3</t>
  </si>
  <si>
    <t>Restanțe: Programarea calculatoarelor si limbaje de programare 1 / I SPD</t>
  </si>
  <si>
    <t>Reexaminare: Programarea calculatoarelor si limbaje de programare 1 / I TCM</t>
  </si>
  <si>
    <t>10% 53 st  / 3 = 5.3 st / 3</t>
  </si>
  <si>
    <t>Reexaminare: Programarea calculatoarelor si limbaje de programare 1 / I SPD</t>
  </si>
  <si>
    <t>10% 21 st  / 3 = 2,1 st / 3</t>
  </si>
  <si>
    <t>Evaluare pe parcurs: Programarea calculatoarelor si limbaje de programare 1 / I MEC / curs</t>
  </si>
  <si>
    <t>46 st / 3</t>
  </si>
  <si>
    <t>Evaluare pe parcurs: Programarea calculatoarelor si limbaje de programare 1 / I ROB / curs</t>
  </si>
  <si>
    <t>Evaluare de semestru: Programarea calculatoarelor si limbaje de programare 1 / I MEC / curs</t>
  </si>
  <si>
    <t>Evaluare de semestru: Programarea calculatoarelor si limbaje de programare 1 / I ROB / curs</t>
  </si>
  <si>
    <t>Restanțe: Programarea calculatoarelor si limbaje de programare 1 / I MEC</t>
  </si>
  <si>
    <t>25% 46 st  / 3 = 11,50 st / 3</t>
  </si>
  <si>
    <t>Restanțe: Programarea calculatoarelor si limbaje de programare 1 / I ROB</t>
  </si>
  <si>
    <t>25% 26 st  / 3 = 6,5 st / 3</t>
  </si>
  <si>
    <t>Reexaminare: Programarea calculatoarelor si limbaje de programare 1 / I MEC</t>
  </si>
  <si>
    <t>10% 46 st  / 3 = 4,6 st / 3</t>
  </si>
  <si>
    <t>Reexaminare: Programarea calculatoarelor si limbaje de programare 1 / I ROB</t>
  </si>
  <si>
    <t>10% 26 st  / 3 = 2.6 st / 3</t>
  </si>
  <si>
    <t>Evaluare pe parcurs: Programarea calculatoarelor si limbaje de programare 2 / I TCM / curs</t>
  </si>
  <si>
    <t>Evaluare pe parcurs: Programarea calculatoarelor si limbaje de programare 2 / I SPD / curs</t>
  </si>
  <si>
    <t>Evaluare de semestru: Programarea calculatoarelor si limbaje de programare 2 / I TCM / curs</t>
  </si>
  <si>
    <t>Evaluare de semestru: Programarea calculatoarelor si limbaje de programare 2 / I SPD / curs</t>
  </si>
  <si>
    <t>Restanțe: Programarea calculatoarelor si limbaje de programare 2 / I TCM</t>
  </si>
  <si>
    <t>Restanțe: Programarea calculatoarelor si limbaje de programare 2 / I SPD</t>
  </si>
  <si>
    <t>Reexaminare: Programarea calculatoarelor si limbaje de programare 2 / I TCM</t>
  </si>
  <si>
    <t>Reexaminare: Programarea calculatoarelor si limbaje de programare 2 / I SPD</t>
  </si>
  <si>
    <t>Evaluare de parcurs - Laborator BAGS 1 (II-TCM)</t>
  </si>
  <si>
    <t>43 / 3 = 14,33</t>
  </si>
  <si>
    <t>Examen de semestru BAGS 1 (II-TCM)</t>
  </si>
  <si>
    <t>Restanta BAGS 1 (II-TCM)</t>
  </si>
  <si>
    <t>43 / 3 * 25% = 3,58</t>
  </si>
  <si>
    <t>Reexaminare BAGS 1 (II-TCM)</t>
  </si>
  <si>
    <t>43 / 3 * 10% = 1,43</t>
  </si>
  <si>
    <t>Evaluare de parcurs - Laborator PLM (I-mSTIF) - (NB_Laborator)</t>
  </si>
  <si>
    <t>Prof. asistent</t>
  </si>
  <si>
    <t>22 / 3 * 0,5 = 3,67</t>
  </si>
  <si>
    <t>Examen de semestru - PLM (I-mSTIF) - (NB_Laborator)</t>
  </si>
  <si>
    <t>Restanta PLM (I-mSTIF) - (NB_Laborator)</t>
  </si>
  <si>
    <t>22 / 3 * 25% * 0,5 = 0,92</t>
  </si>
  <si>
    <t>Reexaminare PLM (I-mSTIF) - (NB_Laborator)</t>
  </si>
  <si>
    <t>22 / 3 * 10% * 0,5 = 0,37</t>
  </si>
  <si>
    <t>Evaluare de parcurs - Laborator BAGS 1 (II-SPD)</t>
  </si>
  <si>
    <t>13 / 3 = 4,333</t>
  </si>
  <si>
    <t>Examen de semestru BAGS 1 (II-SPD)</t>
  </si>
  <si>
    <t>Restanta BAGS 1 (II-SPD)</t>
  </si>
  <si>
    <t>13 / 3 * 25% = 1,08</t>
  </si>
  <si>
    <t>Reexaminare BAGS 1 (II-SPD)</t>
  </si>
  <si>
    <t>13 / 3 * 10% = 0,43</t>
  </si>
  <si>
    <t>Evaluare de parcurs - Laborator Prelucrari prin așchiere (II-IEDM)</t>
  </si>
  <si>
    <t>27 / 3 = 9</t>
  </si>
  <si>
    <t>Examen de semestru Prelucrari prin așchiere (II-IEDM)</t>
  </si>
  <si>
    <t>Restanta Prelucrari prin așchiere (II-IEDM)</t>
  </si>
  <si>
    <t>27 / 3 * 25% = 2,25</t>
  </si>
  <si>
    <t>Reexaminare Prelucrari prin așchiere (II-IEDM)</t>
  </si>
  <si>
    <t>27 / 3 * 10% = 0,9</t>
  </si>
  <si>
    <t>Evaluare de parcurs - Laborator Scule aschitoare (III-SPD)</t>
  </si>
  <si>
    <t>Titular (singur pentru evaluare de parcurs Laborator)</t>
  </si>
  <si>
    <t>15 / 3 = 5</t>
  </si>
  <si>
    <t>Examen de semestru Scule aschitoare (III-SPD)</t>
  </si>
  <si>
    <t>Prof. asistent (la Beju Livia)</t>
  </si>
  <si>
    <t>15 / 3 / 2 = 2,5</t>
  </si>
  <si>
    <t>Restanta Scule aschitoare (III-SPD)</t>
  </si>
  <si>
    <t>15 / 3 / 2 * 25% = 0,5625</t>
  </si>
  <si>
    <t>Reexaminare Scule aschitoare (III-SPD)</t>
  </si>
  <si>
    <t>15 / 3 / 2 * 10% = 0,25</t>
  </si>
  <si>
    <t>Evaluare de parcurs - Laborator Scule aschitoare 1 (III-TCM)</t>
  </si>
  <si>
    <t>Prof. asistent (singur pentru evaluare de parcurs Laborator)</t>
  </si>
  <si>
    <t>30 / 3 = 10</t>
  </si>
  <si>
    <t>Examen de semestru Scule aschitoare 1 (III-TCM)</t>
  </si>
  <si>
    <t>30 / 3 / 2 = 5</t>
  </si>
  <si>
    <t>Restanta Scule aschitoare 1 (III-TCM)</t>
  </si>
  <si>
    <t>30 / 3 / 2 * 25% = 1,25</t>
  </si>
  <si>
    <t>Reexaminare Scule aschitoare 1 (III-TCM)</t>
  </si>
  <si>
    <t>30 / 3 / 2 * 10% = 0,5</t>
  </si>
  <si>
    <t>Evaluare de parcurs - Laborator Scule aschitoare 2 (III-TCM)</t>
  </si>
  <si>
    <t>Prof. asistent (singur pentru evaluare de   parcurs Laborator)</t>
  </si>
  <si>
    <t>Examen de semestru Scule aschitoare 2 (III-TCM)</t>
  </si>
  <si>
    <t>Restanta Scule aschitoare 2 (III-TCM)</t>
  </si>
  <si>
    <t>Reexaminare Scule aschitoare 2 (III-TCM)</t>
  </si>
  <si>
    <t>Evaluări de parcurs</t>
  </si>
  <si>
    <t>Examene de semestru</t>
  </si>
  <si>
    <t xml:space="preserve">Examene de finalizare a studiilor </t>
  </si>
  <si>
    <t>Examen Managementul proiectului master LI + STIF= 24+15 = 39 sudenti</t>
  </si>
  <si>
    <t>39*0.33</t>
  </si>
  <si>
    <t>Evaluare pe parcurs, curs Managementul proiectului i master  LI+ STIF 24+15 = 39 sudenti</t>
  </si>
  <si>
    <t>Restanta, curs Principiile fabricatiei suple,Managementul proiectului i master  LI+ STIF 24+15 = 39 sudenti</t>
  </si>
  <si>
    <t>39*0.33*0.25</t>
  </si>
  <si>
    <t>Reexaminare, curs Principiile fabricatiei suple,Managementul proiectului i master  LI+ STIF 24+15 = 39 sudenti</t>
  </si>
  <si>
    <t>39*0.33* 0.1</t>
  </si>
  <si>
    <t>Examen  curs Scule aschietoare 1, an III TCM,  30 studenti</t>
  </si>
  <si>
    <t>30*0.33</t>
  </si>
  <si>
    <t>Evaluare pe parcurs, curs, Scule aschietoare 1, an III TCM,  30 studenti</t>
  </si>
  <si>
    <t>Restanta, curs, Scule aschietoare 1, an III TCM,  30 studenti</t>
  </si>
  <si>
    <t>Reexaminare, curs, Scule aschietoare 1, an III TCM,  30 studenti</t>
  </si>
  <si>
    <t>Examen  curs Scule aschietoare 2, an III TCM,  30 studenti</t>
  </si>
  <si>
    <t>Evaluare pe parcurs, curs, Scule aschietoare 2, an III TCM,  30 studenti</t>
  </si>
  <si>
    <t>Restanta, curs, Scule aschietoare 2, an III TCM,  30 studenti</t>
  </si>
  <si>
    <t>Reexaminare, curs, Scule aschietoare 2, an III TCM,  30 studenti</t>
  </si>
  <si>
    <t xml:space="preserve"> Examinare lucrari  Managementul proiectului an II STIF 24 studenti</t>
  </si>
  <si>
    <t>24*0.33</t>
  </si>
  <si>
    <t>Examen disertatie master LI</t>
  </si>
  <si>
    <t xml:space="preserve"> (11 +1)/3*2</t>
  </si>
  <si>
    <t>Examen disertatie master STIF</t>
  </si>
  <si>
    <t>15 /3*2</t>
  </si>
  <si>
    <t xml:space="preserve"> Examen admitere master  Ing Industriala - 83 studenti</t>
  </si>
  <si>
    <t>83/3*2=163</t>
  </si>
  <si>
    <t>Evaluare curs TDDH anul I, 512</t>
  </si>
  <si>
    <t>Evaluare seminar TDDH anul I, 512</t>
  </si>
  <si>
    <t>Colocviu TDDH anul I, 512</t>
  </si>
  <si>
    <t>Evaluare curs IPMI anul I, 511</t>
  </si>
  <si>
    <t>Evaluare seminar IPMI anul I, 511</t>
  </si>
  <si>
    <t>Examen IPMI anul I, 511</t>
  </si>
  <si>
    <t>Evaluare curs, IEDM anul II, 421</t>
  </si>
  <si>
    <t>Evaluare seminar, IEDM anul II, 421</t>
  </si>
  <si>
    <t>Examen, IEDM anul II, 421</t>
  </si>
  <si>
    <t>Evaluare curs, IEI anul II, 422</t>
  </si>
  <si>
    <t>Evaluare seminar, IEI anul II, 422</t>
  </si>
  <si>
    <t>Examen, IEI anul II, 422</t>
  </si>
  <si>
    <t>Evalaure curs, TCM anul III, 131</t>
  </si>
  <si>
    <t>Evalaure seminar, TCM anul III, 131</t>
  </si>
  <si>
    <t>Colcoviu, TCM anul III, 131</t>
  </si>
  <si>
    <t>Evaluare curs, SPD anul III, 132</t>
  </si>
  <si>
    <t>Evaluare seminar, SPD anul III, 132</t>
  </si>
  <si>
    <t>Colcoviu, SPD anul III, 132</t>
  </si>
  <si>
    <t>Evaluare curs, ITT anul III, 433</t>
  </si>
  <si>
    <t>Evaluare seminar, ITT anul III, 433</t>
  </si>
  <si>
    <t>Colocviu, ITT anul III, 433</t>
  </si>
  <si>
    <t>Examen, IPMI anul I, 511</t>
  </si>
  <si>
    <t>Examen TDDH anul I, 512</t>
  </si>
  <si>
    <t>Examen, IPMI anul II, 422</t>
  </si>
  <si>
    <t xml:space="preserve">Managementul integrat al deseurilor 2 - Curs - 3 IPMI - 11 stud - Evaluare pe parcurs, Evaluare finală, restanța, reexaminare - </t>
  </si>
  <si>
    <t>11/3*2,35</t>
  </si>
  <si>
    <t xml:space="preserve">Managementul integrat al deseurilor 2 - Proiect - 3 IPMI - 11 stud - Evaluare pe parcurs, </t>
  </si>
  <si>
    <t xml:space="preserve">Managementul integrat al deseurilor 1 - Curs - 3 IPMI - 11 stud - Evaluare pe parcurs, Evaluare finală, restanța, reexaminare - </t>
  </si>
  <si>
    <t xml:space="preserve">Managementul integrat al deseurilor 1 - Seminar/Laborator - 3 IPMI - 11 stud - Evaluare pe parcurs, </t>
  </si>
  <si>
    <t>Stiința și ingineria materialelor - Curs - 1 IPMI + 1 THHD (13 +34= 47 studenți) - Evaluare pe parcurs, Evaluare finală, restanța, reexaminare</t>
  </si>
  <si>
    <t>47/3*2,35</t>
  </si>
  <si>
    <t xml:space="preserve">Studiul materialelor - Laborator - 1 sg 1 TDDH - 12 stud - Evaluare pe parcurs </t>
  </si>
  <si>
    <t>12/3</t>
  </si>
  <si>
    <t>Comise licenta IPMI (14 studen'i)</t>
  </si>
  <si>
    <t>14/3*2</t>
  </si>
  <si>
    <t>Examen de semestru - CACR - 2 ITT</t>
  </si>
  <si>
    <t>Examen de semestru - SNPT - 4 ITT</t>
  </si>
  <si>
    <t>Examen de semestru - SST - 4 ITT</t>
  </si>
  <si>
    <t>Examen de semestru - ICCC - 2 ITT</t>
  </si>
  <si>
    <t>Examen de semestru - TR - 3 ITT</t>
  </si>
  <si>
    <t>Examen de finalizare a studiilor - licență - ITT</t>
  </si>
  <si>
    <t>Examen de finalizare a studiilor - masterat - MC</t>
  </si>
  <si>
    <t>Examen de licență - Inginerie Economică în Domeniul Mecanic-ZI, 4 iulie 2023, 41 absolvenți prezenți din 43; 41 / 3 x 2,0 puncte</t>
  </si>
  <si>
    <t>Membru în comisia de licență</t>
  </si>
  <si>
    <t>Examen de licență - Inginerie Economică în Domeniul Mecanic-ID, 5 iulie 2023, 31 absolvenți prezenți; 31 / 3 x 2,0 puncte</t>
  </si>
  <si>
    <t>Examen de disertație - Managementul Afacerilor Industriale, 23 absolvenți (1 absolvent 28.02.2023 + 22 absolvenți 06.07.2023); 23 / 3 x 3,0 puncte</t>
  </si>
  <si>
    <t>Membru în comisia de disertație</t>
  </si>
  <si>
    <t>Examen de licență - Inginerie Economică Industrială, 4 iulie 2023, 14 absolvenți, 14 / 3 x 2,0 puncte</t>
  </si>
  <si>
    <t>Evaluare pe parcurs seminar Marketing, I IEDM, 30 studenți; 30 / 3 puncte</t>
  </si>
  <si>
    <t>Titular seminar</t>
  </si>
  <si>
    <t>Examen Marketing, I IEDM, 30 studenți; 30 / 3 x 0,5 puncte</t>
  </si>
  <si>
    <t>Evaluare pe parcurs seminar Marketing, I IEI, 18 studenți; 18 / 3 puncte</t>
  </si>
  <si>
    <t>Examen Marketing, I IEI, 18 studenți; 18 / 3 x 0,5 puncte</t>
  </si>
  <si>
    <t>Evaluare pe parcurs Management și marketing - curs, II TDDH, 13 studenți; 13 / 3 puncte</t>
  </si>
  <si>
    <t>Titular curs</t>
  </si>
  <si>
    <t>Evaluare pe parcurs Management și marketing - seminar, II TDDH, 13 studenți; 13 / 3 puncte</t>
  </si>
  <si>
    <t>Colocviu Management și marketing, II TDDH, 13 studenți; 13 / 3 puncte</t>
  </si>
  <si>
    <t>Restanță Management și marketing, II TDDH, 25% x 13 studenți; 0,25 x 13 / 3 puncte</t>
  </si>
  <si>
    <t>Reexaminare Management și marketing, II TDDH, 10% x 13 studenți; 0,1 x 13 / 3 puncte</t>
  </si>
  <si>
    <t>Evaluare pe parcurs laborator Managementul marketingului, II master MAI, 25 studenți; 25 / 3 puncte</t>
  </si>
  <si>
    <t>Titular laborator</t>
  </si>
  <si>
    <t>Examen Managementul marketingului, II master MAI, 25 studenți; 25 / 3 x 0,5 puncte</t>
  </si>
  <si>
    <t>Titular examen/ Asistent cf. normei de bază</t>
  </si>
  <si>
    <t>Restanță Managementul marketingului, II master MAI, 25% x 25 studenți; 0,25 x 25 / 3 x 0,5 puncte</t>
  </si>
  <si>
    <t>Reexaminare Managementul marketingului, II master MAI, 10% x 25 studenți; 0,1 x 25 / 3 x 0,5 puncte</t>
  </si>
  <si>
    <t>Evaluare pe parcurs Marketing industrial - curs, III C, 69 studenți; 69 / 3 puncte</t>
  </si>
  <si>
    <t>Colocviu Marketing industrial, III C, 69 studenți; 69 / 3 puncte</t>
  </si>
  <si>
    <t>Restanță Marketing industrial, III C, 25% x 69 studenți; 0,25 x 69 / 3 puncte</t>
  </si>
  <si>
    <t>Reexaminare Marketing industrial, III C, 10% x 69 studenți; 0,1 x 69 / 3 puncte</t>
  </si>
  <si>
    <t>Evaluare pe parcurs Marketing industrial - curs, III TI, 27 studenți; 27 / 3 puncte</t>
  </si>
  <si>
    <t>Colocviu Marketing industrial, III TI, 27 studenți; 27 / 3 puncte</t>
  </si>
  <si>
    <t>Restanță Marketing industrial, III TI, 25% x 27 studenți; 0,25 x 27 / 3 puncte</t>
  </si>
  <si>
    <t>Reexaminare Marketing industrial, III TI, 10% x 27 studenți; 0,1 x 27 / 3 puncte</t>
  </si>
  <si>
    <t>Evaluare pe parcurs Cultură organizațională - curs, IV IEDM, 41 studenți; 41 / 3 puncte</t>
  </si>
  <si>
    <t>Colocviu Cultură organizațională IV IEDM, 41 studenți; 41/3 puncte</t>
  </si>
  <si>
    <t>Restanță Cultură organizațională IV IEDM, 25% x 41 studenți; 0,25 x 41 / 3 puncte</t>
  </si>
  <si>
    <t>Reexaminare Cultură organizațională IV IEDM, 10% x 41 studenți; 0,1 x 41 / 3 puncte</t>
  </si>
  <si>
    <t>Examen Afaceri mici și mijlocii, IV IEI, gr. 442, 30.01.2023, titular ș.l. Popa Daniela, 15 studenți, 15/3 X 0,5 puncte</t>
  </si>
  <si>
    <t>Al doilea examinator</t>
  </si>
  <si>
    <t>Examen semestru I, I ITT, 25 studenti, 25/3x0.5</t>
  </si>
  <si>
    <t>Examen semestru I, I TDDH, 34 studenti, 34/3x0.5</t>
  </si>
  <si>
    <t>Examen semestru I, I IPMI 13 studenti, 13/3x0.5</t>
  </si>
  <si>
    <t>Examen semestru I, I SPD, 21 studenti, 21/3x0.5</t>
  </si>
  <si>
    <t>Examen restanță semestru I, I ITT, 25 studenti, 0.25x25/3x0.5</t>
  </si>
  <si>
    <t>Examen restanță semestru I, I TDDH, 34 studenti, 0.25x34/3x0.5</t>
  </si>
  <si>
    <t>Examen restanță semestru I, I IPMI, 13 studenti, 0.25x13/3x0.5</t>
  </si>
  <si>
    <t>Examen restanță semestru I, I SPD, 21 studenti, 0.25x21/3x0.5</t>
  </si>
  <si>
    <t>Ionela Rotaru</t>
  </si>
  <si>
    <t>Evaluare pe parcurs - Fabricarea si repararea autovehiculelor - curs - 14 studenți</t>
  </si>
  <si>
    <t>Examen - Fabricarea si repararea autovehiculelor -  14 studenți</t>
  </si>
  <si>
    <t>Evaluare pe parcurs - Fabricarea si repararea autovehiculelor - curs - 14 studenți - laborator - 14 studenți</t>
  </si>
  <si>
    <t>Evaluare pe parcurs - Tehnologia fabricarii masinilor si utilajelor- laborator - 16 studenți</t>
  </si>
  <si>
    <t>Evaluare pe parcurs - Tehnologia fabricarii masinilor si utilajelor- proiect - 16 studenți</t>
  </si>
  <si>
    <t>Examen - Tehnologia fabricarii masinilor si utilajelor- laborator - 16 studenți</t>
  </si>
  <si>
    <t>Evaluare pe parcurs / curs Analiza economică și financiară, III IEDM, 35 studenți</t>
  </si>
  <si>
    <t>Evaluare pe parcurs / laborator Analiza economică și financiară, III IEDM, 35 studenți</t>
  </si>
  <si>
    <t>Colocviu Analiza economică și financiară, III IEDM, 35 studenți</t>
  </si>
  <si>
    <t>Restanță Analiza economică și financiară, III IEDM, 35 studenți x 25% = 8.75</t>
  </si>
  <si>
    <t>Reexaminare Analiza economică și financiară, III IEDM, 35 studenți x 10% = 3.5</t>
  </si>
  <si>
    <t>Evaluare pe parcurs / curs Analiza economică, III IEI, 22 studenți</t>
  </si>
  <si>
    <t>Evaluare pe parcurs / laborator Analiza economică, III IEI, 1 sgr., 11 studenți</t>
  </si>
  <si>
    <t>Colocviu Analiza economică, III IEI, 22 studenți</t>
  </si>
  <si>
    <t>Restanță Analiza economică, III IEI, 22 studenți x 25% = 5.5</t>
  </si>
  <si>
    <t>Reexaminare Analiza economică, III IEI, 22 studenți x 10% = 2.2</t>
  </si>
  <si>
    <t>Evaluare pe parcurs / curs Teoria probabilităților și statistică matematică, II IEDM, 27 studenți</t>
  </si>
  <si>
    <t>Evaluare pe parcurs / laborator Teoria probabilităților și statistică matematică, II IEDM, 27 studenți</t>
  </si>
  <si>
    <t>Examen Teoria probabilităților și statistică matematică, II IEDM, 27 studenți</t>
  </si>
  <si>
    <t>Restanță Teoria probabilităților și statistică matematică, II IEDM, 27 studenți x 25% = 6.75</t>
  </si>
  <si>
    <t>Reexaminare Teoria probabilităților și statistică matematică, II IEDM, 27 studenți x 10% = 2.7</t>
  </si>
  <si>
    <t>Evaluare pe parcurs / curs Teoria probabilităților și statistică matematică, II IEI, 11 studenți</t>
  </si>
  <si>
    <t>Evaluare pe parcurs / laborator Teoria probabilităților și statistică matematică, II IEI, 11 studenți</t>
  </si>
  <si>
    <t>Examen Teoria probabilităților și statistică matematică, II IEI, 11 studenți</t>
  </si>
  <si>
    <t>Restanță Teoria probabilităților și statistică matematică, II IEI, 11 studenți x 25% = 2.75</t>
  </si>
  <si>
    <t>Reexaminare Teoria probabilităților și statistică matematică, II IEI, 11 studenți x 10% = 1.1</t>
  </si>
  <si>
    <t>Evaluare pe parcurs / curs Teoria probabilităților și statistică matematică, I IPMI, 13 studenți</t>
  </si>
  <si>
    <t>Evaluare pe parcurs / seminar Teoria probabilităților și statistică matematică, I IPMI, 13 studenți</t>
  </si>
  <si>
    <t>Colocviu Teoria probabilităților și statistică matematică, I IPMI, 13 studenți</t>
  </si>
  <si>
    <t>Restanță Teoria probabilităților și statistică matematică, I IPMI, 13 studenți x 25% = 3.25</t>
  </si>
  <si>
    <t>Reexaminare Teoria probabilităților și statistică matematică, I IPMI, 13 studenți x 10% = 1.3</t>
  </si>
  <si>
    <t>Evaluare pe parcurs / curs Teoria probabilităților și statistică matematică, I TDDH, 34 studenți</t>
  </si>
  <si>
    <t>Evaluare pe parcurs / seminar Teoria probabilităților și statistică matematică, I TDDH, 34 studenți</t>
  </si>
  <si>
    <t>Colocviu Teoria probabilităților și statistică matematică, I TDDH, 34 studenți</t>
  </si>
  <si>
    <t>Restanță Teoria probabilităților și statistică matematică, I TDDH, 34 studenți x 25% = 8.5</t>
  </si>
  <si>
    <t>Reexaminare Teoria probabilităților și statistică matematică, I TDDH, 34 studenți x 10% = 3.4</t>
  </si>
  <si>
    <t>Examen licență martie 2023, IEDM-ID, 3 studenți</t>
  </si>
  <si>
    <t>Examen licență iulie 2023, IEDM, 43 studenți</t>
  </si>
  <si>
    <t>Examen licență iulie 2023, IEDM-ID, 31 studenți</t>
  </si>
  <si>
    <t>Examen disertație februarie 2023, MP, 14 studenți</t>
  </si>
  <si>
    <t>Examen disertație iulie 2023, MP, 1 student</t>
  </si>
  <si>
    <t>Examen Management financiar, I mMAI, 29 studenți</t>
  </si>
  <si>
    <t>Restanță Management financiar, I mMAI, 29 studenți x 25% = 7.25</t>
  </si>
  <si>
    <t>examen semestru - Dispozitive pentru masini unelte IV SPD - 11 studenti sem II 2022/2023</t>
  </si>
  <si>
    <t>evaluare pe parcurs curs - Dispozitive pentru masini unelte IV SPD - 11 studenti sem II 2022/20223</t>
  </si>
  <si>
    <t>evaluare pe parcurs Lp - Dispozitive pentru masini unelte IV SPD - 11 studenti sem II 2022/2023</t>
  </si>
  <si>
    <t>examen semestru - Dispozitive tehnologice IV IEDM - 41 studenti sem II 2022/2023</t>
  </si>
  <si>
    <t>evaluare pe parcurs curs - Dispozitive tehnologice IV IEDM - 41 studenti sem II 2022/2023</t>
  </si>
  <si>
    <t>evaluare proiect Proiect - Dispozitive tehnologice IV IEDM 3 sgr - 41=13+14+14 studenti sem II 2022/2023</t>
  </si>
  <si>
    <t>evaluare pe parcurs Proiect - Dispozitive tehnologice IV IEDM 3 sgr - 41=13+13+14 studenti sem II 2022/2023</t>
  </si>
  <si>
    <t>evaluare pe parcurs Lp - Dispozitive tehnologice 1 III - TCM - 15 studenti sem II 2022/2023</t>
  </si>
  <si>
    <t>examen semestru - Programarea calculatorului si limbaje de programare I ITT - 25 studenti sem I 2022/2023</t>
  </si>
  <si>
    <t>evaluare pe parcurs curs - Programarea calculatorului si limbaje de programare I ITT - 25 studenti sem I 2022/2023</t>
  </si>
  <si>
    <t>examen licenta februarie 2023 - 3 studenti</t>
  </si>
  <si>
    <t>titular - IEDM</t>
  </si>
  <si>
    <t>examen licenta iulie 2023 - 31 studenti</t>
  </si>
  <si>
    <t>titular - IEDM ID</t>
  </si>
  <si>
    <t>APARATE DE MASURA SI CONTROL -COLOCVIU</t>
  </si>
  <si>
    <t>APARATE DE MASURA SI CONTROL -EVALUARE</t>
  </si>
  <si>
    <t>TERMOTEHNICA I-EXAMEN</t>
  </si>
  <si>
    <t>TERMOTEHNICA I - EVALUARE  LUCRARI LABORATOR</t>
  </si>
  <si>
    <t>TERMOTEHNICA I - EVALUARE TEME SEMINAR</t>
  </si>
  <si>
    <t>TERMOTEHNICA II-EXAMEN</t>
  </si>
  <si>
    <r>
      <rPr>
        <rFont val="Arial Narrow"/>
        <color theme="1"/>
        <sz val="10.0"/>
      </rPr>
      <t>TERMOTEHNICA I</t>
    </r>
    <r>
      <rPr>
        <rFont val="Arial Narrow"/>
        <i/>
        <color theme="1"/>
        <sz val="10.0"/>
      </rPr>
      <t>I</t>
    </r>
    <r>
      <rPr>
        <rFont val="Arial Narrow"/>
        <color theme="1"/>
        <sz val="10.0"/>
      </rPr>
      <t xml:space="preserve"> - EVALUARE  LUCRARI LABORATOR</t>
    </r>
  </si>
  <si>
    <t>TERMOTEHNICA II - EVALUARE TEME SEMINAR</t>
  </si>
  <si>
    <t>TRANSPORTUL FLUIDELOR MULTIFAZICE - COLOCVIU</t>
  </si>
  <si>
    <t>TRANSPORTUL FLUIDELOR MULTIFAZICE - EVALUARE</t>
  </si>
  <si>
    <t>PROTECTIA MEDIULUI</t>
  </si>
  <si>
    <t>Examen de semestru la disciplina Dispozitive Tehnologice 1 la anul III TCM</t>
  </si>
  <si>
    <t>30 impartit 3 = 10</t>
  </si>
  <si>
    <t>Examen de semestru la disciplina Dispozitive Tehnologice 2 la anul IV TCM</t>
  </si>
  <si>
    <t>41 impartit 3 = 13,66</t>
  </si>
  <si>
    <t>Verificare pe parcurs la disciplina Dispozitive Tehnologice 1 la anul III TCM, curs</t>
  </si>
  <si>
    <t>Verfiicare pe parcurs la disciplina Dispozitive Tehnologice 2 la anul IV TCM, curs</t>
  </si>
  <si>
    <t>13.66</t>
  </si>
  <si>
    <t>Verfiicare pe parcurs la disciplina Dispozitive Tehnologice 1 la 131-1, laborator</t>
  </si>
  <si>
    <t>15 impartit 3 = 5</t>
  </si>
  <si>
    <t>Verfiicare pe parcurs la disciplina Dispozitive Tehnologice 1 la 131-2, laborator</t>
  </si>
  <si>
    <t>Verfiicare pe parcurs la disciplina Dispozitive Tehnologice 2 la 141-1, proiect</t>
  </si>
  <si>
    <t>13 impartit 3 = 4,33</t>
  </si>
  <si>
    <t>Verfiicare pe parcurs la disciplina Dispozitive Tehnologice 2 la 141-2, proiect</t>
  </si>
  <si>
    <t>14 impartit 3 = 4,66</t>
  </si>
  <si>
    <t>Verfiicare pe parcurs la disciplina Dispozitive Tehnologice 2 la 141-3, proiect</t>
  </si>
  <si>
    <t>examen de semestru, anul III Elm</t>
  </si>
  <si>
    <t>examen de semestru, anul IV TCM</t>
  </si>
  <si>
    <t>examen de licență, anul IV TCM</t>
  </si>
  <si>
    <t>examen restanâă, anul IV TCM</t>
  </si>
  <si>
    <t>examen de restanță, anul III Elm</t>
  </si>
  <si>
    <t>Examen Sisteme informatice de gestiune</t>
  </si>
  <si>
    <t xml:space="preserve">Examen Sisteme informatice in management </t>
  </si>
  <si>
    <t>Examen Comunicare si negociere in afaceri (IEDM+IEI+ITT)</t>
  </si>
  <si>
    <t>Examen Sisteme informatice pentru suport managerial</t>
  </si>
  <si>
    <t xml:space="preserve">Examen Sisteme informatice in proiecte </t>
  </si>
  <si>
    <t>Examen Cercetari operationale - IEDM</t>
  </si>
  <si>
    <t>Examen Cercetari operationale - IEI</t>
  </si>
  <si>
    <t>Examen licenta IEDM</t>
  </si>
  <si>
    <t>Examen disertatie MAI</t>
  </si>
  <si>
    <t>Colocviu proiect TEEA 1, an IV IPMI = 14 studenti</t>
  </si>
  <si>
    <t>ExamenTEEA 1, an IV IPMI = 14 studenti</t>
  </si>
  <si>
    <t>Examen TEEA 2, an IV IPMI = 14 studenti</t>
  </si>
  <si>
    <t>Colocviu ASPT, an III IPMI = 11 studenti</t>
  </si>
  <si>
    <t>Examen Tehnologia materialelor, an II IEDM = 27 studenti</t>
  </si>
  <si>
    <t>Examen Tehnologia materialelor 1, an II TDDH = 13 studenti</t>
  </si>
  <si>
    <t>Examen Stiinta si ingineria materialelor, an I RO = 26 studenti</t>
  </si>
  <si>
    <t>Licenta IPMI  = 14 studenti</t>
  </si>
  <si>
    <t>Secretar</t>
  </si>
  <si>
    <t>Examen - an 1 MC</t>
  </si>
  <si>
    <t>Colocviu - an 3 IEDM</t>
  </si>
  <si>
    <t>Examen - an 3 IEDM</t>
  </si>
  <si>
    <t>Asistent al titularului</t>
  </si>
  <si>
    <t>Examen - an 2 IEI</t>
  </si>
  <si>
    <t>Examen - an 2 IEDM</t>
  </si>
  <si>
    <t>Examen - an 4 IEDM</t>
  </si>
  <si>
    <t>Examen disertatie MC - secretar comisie</t>
  </si>
  <si>
    <t>Examen admitere master domeniul Ininerie si Management - iulie</t>
  </si>
  <si>
    <t>Examen admitere master domeniul Ininerie si Management - septembrie</t>
  </si>
  <si>
    <t>Restanta - an 1 MC</t>
  </si>
  <si>
    <t>Restanta - an 3 IEDM</t>
  </si>
  <si>
    <t>Restanta - an 2 IEI</t>
  </si>
  <si>
    <t>Restanta - an 2 IEDM</t>
  </si>
  <si>
    <t>Restanta - an 4 IEDM</t>
  </si>
  <si>
    <t>Colocviu - an 1 MC</t>
  </si>
  <si>
    <t>Evaluare pe parcurs: Legislatie economica  / IV IEDM / curs</t>
  </si>
  <si>
    <t>41 st / 3</t>
  </si>
  <si>
    <t>Evaluare pe parcurs: Legislatie economica  / IV IEDM / seminar</t>
  </si>
  <si>
    <t>Evaluare pe parcurs: Legislatie economica  / IV IEI / curs</t>
  </si>
  <si>
    <t>15 st/3</t>
  </si>
  <si>
    <t>Evaluare pe parcurs: Legislatie economica  / IV IEI / seminar</t>
  </si>
  <si>
    <t>Evaluare pe parcurs: Legislatia proprietatii intelectuale  / III IEI / curs</t>
  </si>
  <si>
    <t>22 st/3</t>
  </si>
  <si>
    <t>Evaluare pe parcurs: Dinamica si expertiza  / IV ITT / curs</t>
  </si>
  <si>
    <t>23 st/3</t>
  </si>
  <si>
    <t>Evaluare pe parcurs: Etica si integritate  / II mLI / curs</t>
  </si>
  <si>
    <t>18 st/3</t>
  </si>
  <si>
    <t>Evaluare pe parcurs: Legislatie in drept si transporturi  / IV ITT / curs</t>
  </si>
  <si>
    <t>Evaluare pe parcurs: Legislatie in drept si transporturi  / IV ITT / seminar</t>
  </si>
  <si>
    <t>Evaluare pe parcurs: Etica si integritate academica / II mMAI / laborator</t>
  </si>
  <si>
    <t>25 st/3</t>
  </si>
  <si>
    <t>Evaluare pe parcurs: Etica si integritate academica / II mIMGN / seminar</t>
  </si>
  <si>
    <t>Evaluare pe parcurs: Etica si integritate academica / II mMPE / laborator</t>
  </si>
  <si>
    <t>19 st/3</t>
  </si>
  <si>
    <t xml:space="preserve">Examen de semestru: Legislatie economica  / IV IEDM </t>
  </si>
  <si>
    <t xml:space="preserve">Examen de semestru: Legislatie economica  / IV IEI </t>
  </si>
  <si>
    <t xml:space="preserve">Examen de semestru: Legislatia proprietatii intelectuale  / III IEI </t>
  </si>
  <si>
    <t>Examen de semestru: Dinamica si expertiza  / IV ITT / curs</t>
  </si>
  <si>
    <t>Examen de semestru: Etica si integritate  / II mLI / curs</t>
  </si>
  <si>
    <t>Examen de semestru: Legislatie in drept si transporturi  / IV ITT / curs</t>
  </si>
  <si>
    <t>Examen de semestru: Etica si integritate academica / II mMAI / laborator</t>
  </si>
  <si>
    <t>Examen de semestru: Etica si integritate academica / II mIMGN / seminar</t>
  </si>
  <si>
    <t>Examen de semestru: Etica si integritate academica / II mMPE / laborator</t>
  </si>
  <si>
    <t xml:space="preserve">Examen de semestru. Organizarea întreprinderii. IV IEDM. Nr. Studenți: 39 </t>
  </si>
  <si>
    <t>Examen de semestru. Ingineria sistemelor de productie. IV IEI. Nr. Studenți: 15</t>
  </si>
  <si>
    <t xml:space="preserve">Examen de semestru. Ingineria sistemelor de productie. IV TTC. Nr. Studenți: 10 </t>
  </si>
  <si>
    <t xml:space="preserve">Examen de semestru. Managementul echipelor de proiect. I mMP. Nr. Studenți: 24 </t>
  </si>
  <si>
    <t xml:space="preserve">Examen de semestru. Managementul resurselor umane. III IEDM. Nr. Studenți: 32 </t>
  </si>
  <si>
    <t>Examen de semestru. Managementul resurselor umane. III IEI. Nr. Studenți: 21</t>
  </si>
  <si>
    <t xml:space="preserve">Examen de semestru. Confortabilitate si ergonomie. III ITT. Nr. Studenți: 20 </t>
  </si>
  <si>
    <t>Barb Carmen- Sorina</t>
  </si>
  <si>
    <t>Colocviu, curs, Politici investitionale in transporturi, an III ITT</t>
  </si>
  <si>
    <t>18x0.33</t>
  </si>
  <si>
    <t>Evaluare pe parcurs, curs, Politici investitionale in transporturi, an III ITT</t>
  </si>
  <si>
    <t>Restanta, curs, Politici investitionale in transporturi, an III ITT</t>
  </si>
  <si>
    <t>18x0.33x0.25</t>
  </si>
  <si>
    <t>Reexaminare, curs, Politici investitionale in transporturi, an III ITT</t>
  </si>
  <si>
    <t>18x0.33x0.1</t>
  </si>
  <si>
    <t>Evaluare pe parcurs, proiect, Politici investitionale in transporturi, an III ITT</t>
  </si>
  <si>
    <t>Examen, curs, Managementul achizitiilor in proiecte, an I mMP</t>
  </si>
  <si>
    <t>30x0.33</t>
  </si>
  <si>
    <t>Evaluare pe parcurs, curs, Managementul achizitiilor in proiecte, an I mMP</t>
  </si>
  <si>
    <t>Restanta, curs,Managementul achizitiilor in proiecte, an I mMP</t>
  </si>
  <si>
    <t>30x0.33x0.25</t>
  </si>
  <si>
    <t>Reexaminare, curs, Managementul achizitiilor in proiecte, an I mMP</t>
  </si>
  <si>
    <t>30x0.33x0.1</t>
  </si>
  <si>
    <t>Examen, curs, Managementul relatiilor cu clientii, an II mLI</t>
  </si>
  <si>
    <t>15x0.33</t>
  </si>
  <si>
    <t>Evaluare pe parcurs, curs, Managementul relatiilor cu clientii, an II mLI</t>
  </si>
  <si>
    <t>Restanta, curs,Managementul relatiilor cu clientii, an II mLI</t>
  </si>
  <si>
    <t>15x0.33x0.25</t>
  </si>
  <si>
    <t>Reexaminare, curs,Managementul relatiilor cu clientii, an II mLI</t>
  </si>
  <si>
    <t>15x0.33x0.1</t>
  </si>
  <si>
    <t>Colocviu, curs, Managementul resurselor umane, an II mMPMA</t>
  </si>
  <si>
    <t>Evaluare pe parcurs, curs, Managementul resurselor umane, an II mMPMA</t>
  </si>
  <si>
    <t>Restanta, curs, Managementul resurselor umane, an II mMPMA</t>
  </si>
  <si>
    <t>Reexaminare, curs,Managementul resurselor umane, an II mMPMA</t>
  </si>
  <si>
    <t>Evaluare pe parcurs, proiect, Managementul resurselor umane, an II mMPMA</t>
  </si>
  <si>
    <t>Evluare pe parcurs, seminar, Marketing in transporturi, an II ITT</t>
  </si>
  <si>
    <t>22x0.33</t>
  </si>
  <si>
    <t>Evaluare pe parcurs, Marketing, an II TCM</t>
  </si>
  <si>
    <t>Colocviu, curs Marketing in transporturi, an II IT</t>
  </si>
  <si>
    <t>asistent la examen</t>
  </si>
  <si>
    <t>22x0.33x0.5</t>
  </si>
  <si>
    <t>Colocviu curs Marketing,  an II TCM</t>
  </si>
  <si>
    <t>30x0.33x0.5</t>
  </si>
  <si>
    <t>Evaluare pe parcurs - Teoria probabilităților și statistică matematică - curs - I MecEn -7 studenți</t>
  </si>
  <si>
    <t>Examen - Teoria probabilităților și statistică matematică - I MecEn - 7 studenți</t>
  </si>
  <si>
    <t>Restanță - Teoria probabilităților și statistică matematică - I MecEn - 1 student</t>
  </si>
  <si>
    <t>Evaluare pe parcurs - Metode și mijloace CAI - curs - I mSTIF - 22 studenți</t>
  </si>
  <si>
    <t>Examen - Metode și mijloace CAI - I mSTIF - 22 studenți</t>
  </si>
  <si>
    <t>Restanță - Metode și mijloace CAI - I mSTIF - 5.5 studenți</t>
  </si>
  <si>
    <t>Reexaminare - Metode și mijloace CAI - I mSTIF - 2.2 studenți</t>
  </si>
  <si>
    <t>Evaluare pe parcurs - Toleranțe și control dimensional 1 - laborator - 4 sgr, II TCM - 43 studenți</t>
  </si>
  <si>
    <t>Evaluare pe parcurs - Toleranțe și control dimensional 1 - laborator - 1 sgr, II SPD - 13 studenți</t>
  </si>
  <si>
    <t>Evaluare pe parcurs - Toleranțe și control dimensional - laborator - 3 sgr, II IEDM - 27 studenți</t>
  </si>
  <si>
    <t>Evaluare pe parcurs - Toleranțe și control dimensional - laborator - 2 sgr, II MEC - 24 studenți</t>
  </si>
  <si>
    <t>Evaluare pe parcurs - Toleranțe și control dimensional - laborator - 2 sgr, II ROB - 16 studenți</t>
  </si>
  <si>
    <t>Evaluare pe parcurs - Teoria probabilităților și statistică - seminar - 1 gr, I SPD - 21 studenți</t>
  </si>
  <si>
    <t>Examen - asistență- Toleranțe și control dimensional 1 - 4 sgr, II TCM - 43 studenți</t>
  </si>
  <si>
    <t>6 studenți/punct</t>
  </si>
  <si>
    <t>Examen - asistență- Toleranțe și control dimensional 1 - 1 sgr, II SPD - 13 studenți</t>
  </si>
  <si>
    <t>Examen - asistență- Toleranțe și control dimensional - 3 sgr, II IEDM - 27 studenți</t>
  </si>
  <si>
    <t>Examen - asistență- Toleranțe și control dimensional - 2 sgr, II MEC - 24 studenți</t>
  </si>
  <si>
    <t>Examen - asistență- Toleranțe și control dimensional - 2 sgr, II ROB - 16 studenți</t>
  </si>
  <si>
    <t>Examen - asistență - Teoria probabilităților și statistică, I SPD - 21 studenți</t>
  </si>
  <si>
    <t>Restanță - asistență - Toleranțe și control dimensional 1 - 4 sgr, II TCM - 10.75 studenți</t>
  </si>
  <si>
    <t>Restanță - asistență - Toleranțe și control dimensional 1 - 1 sgr, II SPD - 3.25 studenți</t>
  </si>
  <si>
    <t>Restanță - asistență - Toleranțe și control dimensional - 3 sgr, II IEDM - 6.75 studenți</t>
  </si>
  <si>
    <t>Restanță - asistență - Toleranțe și control dimensional - 2 sgr, II MEC - 6 studenți</t>
  </si>
  <si>
    <t>Restanță - asistență - Toleranțe și control dimensional - 2 sgr, II ROB - 4 studenți</t>
  </si>
  <si>
    <t>Restanță - asistență - Teoria probabilităților și statistică, I SPD - 5.25 studenți</t>
  </si>
  <si>
    <t>Examen de semestru TCM an IV  - Tehnici de prezentare</t>
  </si>
  <si>
    <t>41 stud/3</t>
  </si>
  <si>
    <t>Examen de semestru ITT an IV  - Maşini şi instalaţii pentru manipularea mărfurilor</t>
  </si>
  <si>
    <t>23  stud/3</t>
  </si>
  <si>
    <t>22 stud/3</t>
  </si>
  <si>
    <t>Evaluare proiect Transport multimodal an IV, ITT</t>
  </si>
  <si>
    <t>Evaluare pe parcurs TCM an IV  - Tehnici de prezentare (seminar)</t>
  </si>
  <si>
    <t>41stud/3</t>
  </si>
  <si>
    <t>Evaluare pe parcurs  ITT an IV  - Maşini şi instalaţii pentru manipularea mărfurilor</t>
  </si>
  <si>
    <t>Evaluare pe parcurs  - ITT an III    Terminale de Transport</t>
  </si>
  <si>
    <t>Evaluare pe parcurs  -  ITT an II  - Mijloace de transport</t>
  </si>
  <si>
    <t xml:space="preserve">Examene licenţă (specializarea ITT) - februarie </t>
  </si>
  <si>
    <t>1/3 x 2</t>
  </si>
  <si>
    <t>21/3 x 2</t>
  </si>
  <si>
    <t>Examen finalizare studii / Disertație IMGN / febr 2023</t>
  </si>
  <si>
    <t>numit prin decizie ULBS</t>
  </si>
  <si>
    <t>3 x 1 st / 3</t>
  </si>
  <si>
    <t>Examen finalizare studii / Disertație IMGN / iulie 2023</t>
  </si>
  <si>
    <t>3 x 20 st / 3</t>
  </si>
  <si>
    <t>Examen finalizare studii / Licenta TDDH/ iulie 2023</t>
  </si>
  <si>
    <t>2x 14st / 3</t>
  </si>
  <si>
    <t>9,33</t>
  </si>
  <si>
    <t>Examen: Economisirea hidrocarburilor / IV TDDH / curs</t>
  </si>
  <si>
    <t>22st /3</t>
  </si>
  <si>
    <t>Examen: Extractia si prelucrarea hidrocarburilor  III TDDH/ curs</t>
  </si>
  <si>
    <t xml:space="preserve"> 18 st /3</t>
  </si>
  <si>
    <t>Examen: Managementul forajului / I IMGN/ curs</t>
  </si>
  <si>
    <t xml:space="preserve">  25 st/3</t>
  </si>
  <si>
    <t>Examen: Tehn. specif. realiz. retelelor de transport gaze/ I IMGN/ curs</t>
  </si>
  <si>
    <t>Restanta: Economisirea hidrocarburilor / IV TDDH / curs</t>
  </si>
  <si>
    <t>25%22st /3</t>
  </si>
  <si>
    <t>Restanta: Extractia si prelucrarea hidrocarburilor  III TDDH/ curs</t>
  </si>
  <si>
    <t>25% 18 st /3</t>
  </si>
  <si>
    <t>Restanta: Managementul forajului / I IMGN/ curs</t>
  </si>
  <si>
    <t xml:space="preserve"> 25% 25 st/3</t>
  </si>
  <si>
    <t>Restanta: Tehn. specif. realiz. retelelor de transport gaze/ I IMGN/ curs</t>
  </si>
  <si>
    <t>25% 25 st /3</t>
  </si>
  <si>
    <t>Reexaminare: Economisirea hidrocarburilor / IV TDDH / curs</t>
  </si>
  <si>
    <t>10%22st /3</t>
  </si>
  <si>
    <t>Reexaminare: Extractia si prelucrarea hidrocarburilor  III TDDH/ curs</t>
  </si>
  <si>
    <t>10% 18st /3</t>
  </si>
  <si>
    <t>Reexaminare: Managementul forajului / I IMGN/ curs</t>
  </si>
  <si>
    <t>10% 25 st /3</t>
  </si>
  <si>
    <t>Reexaminare: Tehn. specif. realiz. retelelor de transport gaze/ I IMGN/ curs</t>
  </si>
  <si>
    <t>Examen: Echipamente foraj extractie/ IVTDDH/ curs</t>
  </si>
  <si>
    <t>50%  22 st/3</t>
  </si>
  <si>
    <t>Restanta:  Echipamente foraj extractie/ IVTDDH/ curs</t>
  </si>
  <si>
    <t>50% 25% 22 st/3</t>
  </si>
  <si>
    <t>Reexaminare: Echipamente foraj extractie/ IVTDDH/ curs</t>
  </si>
  <si>
    <t>50% 10% 22 st/3</t>
  </si>
  <si>
    <t>Concurs admitere master IMGN, sept 2023</t>
  </si>
  <si>
    <t>2x  20 st/3</t>
  </si>
  <si>
    <t>Concurs admitere master IMGN, iulie, 2023</t>
  </si>
  <si>
    <t>2x29 st/3</t>
  </si>
  <si>
    <t>Evaluare pe parcurs, examen semestru, restanta, reexaminari Curs Tranzacţii Comerciale an III IEDM 
35 studenţi</t>
  </si>
  <si>
    <t>35/3+35/3+(35x25%)/3+(35x10%)/3</t>
  </si>
  <si>
    <t>Evaluare pe parcurs, examen semestru, restanta, reexaminari Curs Comportamentul Consumatorului an IV IEI 
15 studenţi</t>
  </si>
  <si>
    <t>15/3+15/3+(15x25%)/3+(15x10%)/3</t>
  </si>
  <si>
    <t>Evaluare pe parcurs, examen semestru, restanta, reexaminari Curs Bazele Managementului an I IEDM + an I IEI 
30 + 18 = 48 studenţi</t>
  </si>
  <si>
    <t>48/3+48/3+(48x25%)/3+(48x10%)/3</t>
  </si>
  <si>
    <t>Evaluare pe parcurs, examen semestru, restanta, reexaminari Curs Management Strategic an IV IEDM + an VI IEI  
41 + 15 = 66 studenţi</t>
  </si>
  <si>
    <t>66/3+66/3+(66x25%)/3+(66x10%)/3</t>
  </si>
  <si>
    <t>Evaluare pe parcurs, examen semestru, restanta, reexaminari Aplicaţii Leadership în organizaţii  an I mMAI 
29 studenţi</t>
  </si>
  <si>
    <t>titular examen / asistent cf. normei de bază</t>
  </si>
  <si>
    <t>29/3+(29/3x0,5)+(29x25%)/3x0,5+(29x10%)/3x0,5</t>
  </si>
  <si>
    <t>Evaluare pe parcurs, examen semestru, restanta, reexaminari Aplicaţii Leadership în proiecte  an I mMP 
30 studenţi</t>
  </si>
  <si>
    <t>30/3+(30/3x0,5)+(30x25%)/3x0,5+(30x10%)/3x0,5</t>
  </si>
  <si>
    <t>Comisie examen proiect de diplomă IEDM 28.02.2023</t>
  </si>
  <si>
    <t>3/3x2</t>
  </si>
  <si>
    <t>Comisie examen proiect de diplomă IEI 03.02.2023</t>
  </si>
  <si>
    <t>2/3x2</t>
  </si>
  <si>
    <t>Comisie examen proiect de diplomă IEDM-ID</t>
  </si>
  <si>
    <t>(31+3)/3x2</t>
  </si>
  <si>
    <t>Comisie examen disertaţie MAI 28.02.2023, 06.07.2023</t>
  </si>
  <si>
    <t>(22+1)/3x3</t>
  </si>
  <si>
    <t>Comisie examen disertaţie MP 28.02.2023,06.07.2023</t>
  </si>
  <si>
    <t>(14+1)/3x3</t>
  </si>
  <si>
    <t>Comisie examen disertaţie LI 02.03.2023,07.07.2023</t>
  </si>
  <si>
    <t>11/3x3+1/3x3</t>
  </si>
  <si>
    <t>Comisie probă verificarea cunoştinţelor master</t>
  </si>
  <si>
    <t>(117+64)/3x2</t>
  </si>
  <si>
    <t>Colocviu Bazele proiecarii asistate de calculator</t>
  </si>
  <si>
    <t>36 studenti/3=12</t>
  </si>
  <si>
    <t>Examen tehnologii pe sisteme flexibile de fabricatie</t>
  </si>
  <si>
    <t>28 studenti /3 = 9</t>
  </si>
  <si>
    <t>Examen Poiectarea concurenta</t>
  </si>
  <si>
    <t>Examen Fabricatie virtuala</t>
  </si>
  <si>
    <t>37 studenti/3 = 12</t>
  </si>
  <si>
    <t>Examen Fabricatia asitstata de calculator</t>
  </si>
  <si>
    <t>46 studenti/3=15</t>
  </si>
  <si>
    <t>Examen Proiectarea colaborativa</t>
  </si>
  <si>
    <t>24 studenti/3 = 8</t>
  </si>
  <si>
    <t>Examen Virtual manufacturing</t>
  </si>
  <si>
    <t>7 studenti/3 = 2</t>
  </si>
  <si>
    <t>Proba orala de verificare a cunostintelor de domeniu si/sau complementara - Master - domeniul Inginerie Industrială - sesiunea IULIE</t>
  </si>
  <si>
    <t>72/3*2</t>
  </si>
  <si>
    <t>Proba orala de verificare a cunostintelor de domeniu si/sau complementara - Master - domeniul Inginerie Industrială -sesiunea SEPTEMBRIE</t>
  </si>
  <si>
    <t>43/3*2</t>
  </si>
  <si>
    <t>Susținere proiecte - Tehnologii de Fabricație 2 - proiect</t>
  </si>
  <si>
    <t>Examen Tehnologii de Fabricație 2</t>
  </si>
  <si>
    <t>Examen Tehnologii de Fabricație</t>
  </si>
  <si>
    <t>Examen Tehnologii de prelucrare pe MUCN</t>
  </si>
  <si>
    <t>Examen Tehnologiia Construcțiilor de Mașini 2</t>
  </si>
  <si>
    <t>Examen Tehnologiia Construcțiilor de Mașini 3</t>
  </si>
  <si>
    <t>examem+restanta+reex. 3 IEDM</t>
  </si>
  <si>
    <t>evaluare parcurs 3 IEDM (C)</t>
  </si>
  <si>
    <t>examen+restanta+reex. 1mMC</t>
  </si>
  <si>
    <t>evaluare parcurs 1mMC (C)</t>
  </si>
  <si>
    <t>examen+restanta+reex. 1mLI</t>
  </si>
  <si>
    <t>evaluare parcurs 2mLI (C)</t>
  </si>
  <si>
    <t>examen de diserttie mLI</t>
  </si>
  <si>
    <t>mb. comisie disertatie</t>
  </si>
  <si>
    <t>Examen semestru, Evaluare pe parcurs (curs),  Evaluare pe parcurs (seminar), Restanță,  III TCM, Bazele creației tehnice</t>
  </si>
  <si>
    <t>43 stud. : 3 = 14.3; 43 stud. : 3 = 14.3; 43 stud. : 3 = 14.3; 43 stud. X 25/100 : 3 = 3.58</t>
  </si>
  <si>
    <t>Examen semestru, Evaluare pe parcurs (curs), Evaluare pe parcurs (seminar), Restanță, Transport public de persoane III ITT</t>
  </si>
  <si>
    <t>18 stud. : 3 = 6;18 stud. : 3 = 6; 18 stud. : 3 = 6; 18 stud. X25/100 : 3 =  1.5</t>
  </si>
  <si>
    <t>Examen semestru, Evaluare pe parcurs (curs), Evaluare pe parcurs (laborator), Restanță, Reexaminari, Toleranțe și control dimensional II, TCM+II SPD (43+13 stud=56 stud)</t>
  </si>
  <si>
    <t>56 stud. : 3 = 18.6; 56 stud. : 3 = 18.6; 56 stud. : 3 = 18.6; 56 stud. X 25/100: 3 = 4.6;  56 stud. X 10/100: 3 = 1.86</t>
  </si>
  <si>
    <t>62,26</t>
  </si>
  <si>
    <t>Examen semestru, Evaluare pe parcurs (curs), Evaluare pe parcurs (seminar), Restanță, Evaluarea riscurilor, asigurari IV ITT (23 stud)</t>
  </si>
  <si>
    <t xml:space="preserve">23 stud. : 3 = 7.6; 23 stud. : 3 = 7.6; 23 stud. : 3 = 7.6;  23 stud. X25/100:3 =1.92 </t>
  </si>
  <si>
    <t>Licență ITT (21 stud sesiunea iunie+ 1 student sesiunea februarie=22 studenti)</t>
  </si>
  <si>
    <t>2/3x2 = 14.66</t>
  </si>
  <si>
    <t xml:space="preserve">Evaluare pe parcurs (I IEDM 2 sgr) </t>
  </si>
  <si>
    <t xml:space="preserve">Evaluare pe parcurs (I IEI 1 sgr) </t>
  </si>
  <si>
    <t xml:space="preserve">Evaluare finala III ISM (C </t>
  </si>
  <si>
    <t xml:space="preserve">Evaluare finala IV EA (C </t>
  </si>
  <si>
    <t xml:space="preserve">Evaluare finala IV EM (C </t>
  </si>
  <si>
    <t xml:space="preserve">Evaluare pe parcurs (IV IEDM 2 sgr) </t>
  </si>
  <si>
    <t xml:space="preserve">Evaluare pe parcurs (IV IEI 2 sgr) </t>
  </si>
  <si>
    <t xml:space="preserve">Evaluare pe aprcurs (II TCM </t>
  </si>
  <si>
    <t>Evaluare pe parcurs - Tehnologia Materialelor - curs - 56 studenți</t>
  </si>
  <si>
    <t>Examen - Tehnologia Materialelor -  56 studenți</t>
  </si>
  <si>
    <t>Evaluare pe parcurs - Tehnologia Materialelor - laborator - 13 studenți</t>
  </si>
  <si>
    <t>Evaluare pe parcurs - Tratamente Termice - laborator - 30 studenți</t>
  </si>
  <si>
    <t>Evaluare pe parcurs - Tratamente termice - curs - 48 studenți</t>
  </si>
  <si>
    <t>Examen - Tratamente termice -  30 studenți</t>
  </si>
  <si>
    <t>Evaluare licență TCM - 43 studenți</t>
  </si>
  <si>
    <t>Membru în comisia de licență  - TCM</t>
  </si>
  <si>
    <t>1,5 studenți/punct</t>
  </si>
  <si>
    <t>Evaluare disertație MPE - 15 studenți</t>
  </si>
  <si>
    <t>Membru în comisia de disertație - MPE</t>
  </si>
  <si>
    <t>1 student/punct</t>
  </si>
  <si>
    <t>Examen de semestru. Managementul resurselor umane. IV IMAPA. Nr. Studenți: 11</t>
  </si>
  <si>
    <t>Evaluare seminar. Managementul resurselor umane. II mMPA. Nr. Studenți: 11</t>
  </si>
  <si>
    <t xml:space="preserve">Asistent. </t>
  </si>
  <si>
    <t>Examen de semestru. Ingineria sistemelor de productie. IV TTC. Nr. Studenți: 10</t>
  </si>
  <si>
    <t>Examen de semestru. Evaluarea riscurilor și managementul securității și sănătății în muncă. I mMAI. Nr. Studenți: 27</t>
  </si>
  <si>
    <t>Examen de semestru. Comunicare. I IEDM. Nr. Studenți: 23</t>
  </si>
  <si>
    <t xml:space="preserve">Examen de semestru. Capitalul uman in organizatii. I mMAI. Nr. Studenți: 27 </t>
  </si>
  <si>
    <t xml:space="preserve">Examen de semestru. Managementul echipelor de proiect. I mMPE. Nr. Studenți: 24 </t>
  </si>
  <si>
    <t>Examen de semestru. Managementul resurselor umane. I mMC. Nr. Studenți: 20</t>
  </si>
  <si>
    <t>Examen de semestru. Comunicare. III IPMI . Nr. Studenți: 10</t>
  </si>
  <si>
    <t xml:space="preserve">Examen de semestru. Managementul resurselor umane. III IEI. Nr. Studenți: 21 </t>
  </si>
  <si>
    <t>Examen de semestru. Confortabilitate si ergonomie. III ITT. Nr. Studenți: 20</t>
  </si>
  <si>
    <t>Examen de semestru. Leadership în organizații. I mMAI. Nr. Studenți: 27</t>
  </si>
  <si>
    <t xml:space="preserve">Examen de semestru. Leadership în proiecte. I mMPE. Nr. Studenți: 24 </t>
  </si>
  <si>
    <t>Evaluare parcurs Trafic rutier</t>
  </si>
  <si>
    <t>Examen Trafic rutier</t>
  </si>
  <si>
    <t>Evaluare parcurs Logistica</t>
  </si>
  <si>
    <t>Examen Logistica</t>
  </si>
  <si>
    <t>Examen Logistica transporturilor</t>
  </si>
  <si>
    <t>Examen finalizare a studiilor de licenta ITT</t>
  </si>
  <si>
    <t>Examen finalizare a studiilor de masterat LI</t>
  </si>
  <si>
    <t>Examen finalizare a studiilor de licenta STIF</t>
  </si>
  <si>
    <t>Proba de verificare a cunostintelor- master iulie</t>
  </si>
  <si>
    <t>Proba de verificare a cunostintelor- master septembrie</t>
  </si>
  <si>
    <t>EXAMEN Protectia mediului</t>
  </si>
  <si>
    <t>EXAMEN Economisirea hidrocarburilor</t>
  </si>
  <si>
    <t>EXAMEN TM 2</t>
  </si>
  <si>
    <t>EXAMEN Instalatii sanitare si de gaze</t>
  </si>
  <si>
    <t xml:space="preserve">EXAMEN Termotehnica </t>
  </si>
  <si>
    <t>EXAMEN Transport hidrocarburilor</t>
  </si>
  <si>
    <t>EXAMEN Fizico-chimia zacamintelor</t>
  </si>
  <si>
    <t>EXAMEN TM</t>
  </si>
  <si>
    <t>EXAMEN Forajul sondelor</t>
  </si>
  <si>
    <t>EXAMEN Reabilitarea struct gazeifere</t>
  </si>
  <si>
    <t>SECRETAR Comisie</t>
  </si>
  <si>
    <t>Antreprenoriat și dezvoltarea afacerilor (mMAI) - Evaluare periodică proiect</t>
  </si>
  <si>
    <t>Studii th-ec pentru proiecte (mMP) - Evaluare periodică proiect</t>
  </si>
  <si>
    <t>Managementul proiectelor complexe (mMAI) - Restanță</t>
  </si>
  <si>
    <t>Managementul proiectelor complexe (mMC) - Restanță</t>
  </si>
  <si>
    <t>Managementul proiectelor complexe (mAAIE) -Restanță</t>
  </si>
  <si>
    <t>Managementul proiectelor complexe (mMP) - Restanță</t>
  </si>
  <si>
    <t>Managementul proiectelor de mediu(IPMI) - Evaluare periodică proiect</t>
  </si>
  <si>
    <t>Managementul proiectelor de mediu (IPMI) - Evaluare proiect</t>
  </si>
  <si>
    <t>Managementul proiectelor de mediu - Evaluare periodică curs</t>
  </si>
  <si>
    <t>Managementul proiectelor de mediu - Examen</t>
  </si>
  <si>
    <t>Managementul proiectului (IEI)- Evaluare periodică</t>
  </si>
  <si>
    <t>Managementul proiectului (IEI)- Evaluare proiect</t>
  </si>
  <si>
    <t>Examen de disertație specializarea Advanced Computing Systems 11 iulie 2023</t>
  </si>
  <si>
    <t>Membru comisie ACS iulie 2023</t>
  </si>
  <si>
    <t>Examen de diploma proba 1. Evaluarea cunostintelor fund. Si de specialitate 03-07 iulie 2023</t>
  </si>
  <si>
    <t>Membru Comisie Licenta Calculatoare</t>
  </si>
  <si>
    <t>Examen de diploma proba 2. Prezentarea si sustinerea proiectului de diploma 03-07 iulie 2023</t>
  </si>
  <si>
    <t>Examen de diploma proba 1. Evaluarea cunostintelor fund. Si de specialitate 29-01 iulie 2023</t>
  </si>
  <si>
    <t>Membru Comisie TI</t>
  </si>
  <si>
    <t>Examen de diploma proba 2. Prezentarea si sustinerea proiectului de diploma 29-01 iulie 2023</t>
  </si>
  <si>
    <t>Examen de diploma proba 1. Evaluarea cunostintelor fund. Si de specialitate 07-08 iulie 2023</t>
  </si>
  <si>
    <t>Presedinte Comisie ISM</t>
  </si>
  <si>
    <t>Examen de diploma proba 2. Evaluarea cunostintelor fund. Sisteme dedicate 07-08 iulie 2023</t>
  </si>
  <si>
    <t>Examen de diploma proba 1. Evaluarea cunostintelor fund. Si de specialitate 03 Martie 2023</t>
  </si>
  <si>
    <t>Membru Comisie ICAI</t>
  </si>
  <si>
    <t>Examen de diploma proba 2. Evaluarea cunostintelor fund. Si de specialitate 03 Martie 2023</t>
  </si>
  <si>
    <t>Admitere Master Iulie 2023</t>
  </si>
  <si>
    <t xml:space="preserve">Membru Comisie </t>
  </si>
  <si>
    <t>LICENȚĂ ȘI MASTER_semestrul II, an univ. 2022-2023</t>
  </si>
  <si>
    <t>LICENȚĂ ȘI MASTER_semestrul I, an univ. 2022-2023</t>
  </si>
  <si>
    <t>RESTANȚE_LICENȚĂ_anul IV _sem. II, an univ. 2022-2023</t>
  </si>
  <si>
    <t>RESTANȚE_LICENȚĂ_anul III _sem. II, an univ. 2022-2023</t>
  </si>
  <si>
    <t>RESTANȚE_LICENȚĂ_anul IV _sem. I, an univ. 2022-2023</t>
  </si>
  <si>
    <t>REEXAMINARI LICENȚĂ ȘI MASTER_AN UNIV_2022-2023</t>
  </si>
  <si>
    <t>Examen admitere doctorat 14.09.2023</t>
  </si>
  <si>
    <t xml:space="preserve">Evaluare pe parcurs an 2 C - curs PLA - 69 studenti
Examen, restanta, reexaminare an 2 C - curs PLA - 69 studenti
Evaluare pe parcurs an 2 C -curs GAC - 69 studenti
Examen, restanta, reexaminare an 2 C -curs GAC - 69 studenti
Evaluare pe parcurs an 4 C+TI -curs SM - 53 studenti
Examen, restanta, reexaminare an 4 C+TI -curs SM - 53 studenti
Evaluare pe parcurs an 3 ISM - curs PAM - 23 studenti
Examen, restanta, reexaminare an 3 ISM - curs PAM - 23 studenti
Evaluare pe parcurs an 2 ICAI - curs PAG - 27 studenti
Examen, restanta, reexaminare an 2 ICAI - curs PAG - 27 studenti
Evaluare an 2 ICAI - proiect PAG - 27 studenti
Evaluare an 2 ICAI - laborator PAG - 27 studenti
Evaluare pe parcurs an 3 ISM - curs PGA - 23 studenti
Examen, restanta, reexaminare an 3 ISM - curs PGA - 23 studenti
Evaluare an 3 ISM - laborator PGA -23 studenti
</t>
  </si>
  <si>
    <t>264*1.35/3=118.8
341/3=113.66</t>
  </si>
  <si>
    <t>Evaluare licenta 
ISM iulie = 29</t>
  </si>
  <si>
    <t>29 / 3 *2 =19.33</t>
  </si>
  <si>
    <t>Evaluare dizertatie
ICAI iulie = 17</t>
  </si>
  <si>
    <t>17 / 3 *3 =11.33</t>
  </si>
  <si>
    <t xml:space="preserve">Examen licență </t>
  </si>
  <si>
    <t>49 studenti/3=16.33x2=38</t>
  </si>
  <si>
    <t>Examen dizertație</t>
  </si>
  <si>
    <t>10 studenti/3=3.33x3=10</t>
  </si>
  <si>
    <t>Examene de semestru licență</t>
  </si>
  <si>
    <t>59 studenti/3=19.66</t>
  </si>
  <si>
    <t>Evaluări pe parcurs licență</t>
  </si>
  <si>
    <t>Examene restanță</t>
  </si>
  <si>
    <t>14 studenti/3=7</t>
  </si>
  <si>
    <t>Examene de semestru dizertație</t>
  </si>
  <si>
    <t>(11 studenti/3)*3=11</t>
  </si>
  <si>
    <t>Admitere</t>
  </si>
  <si>
    <t>38 studenti/3=16.33x2=25.33</t>
  </si>
  <si>
    <t xml:space="preserve">Evaluare de parcurs  an IV C - Laborator Prelucrarea imaginilor - 15 studenti 
Evaluare finala  an IV C - Laborator Prelucrarea imaginilor - 15 studenti 
Evaluare finala an III C - Curs Retele de Calculatoare - 71 studenti  
Evaluare finala an IV C - Curs Securitatea datelor - 87 studenti
Evaluare finala an IV TI - Curs Criptografie si securit. inform. - 35 studenti  
Evaluare finala an IV C - Curs Prelucrarea imaginilor - 87 studenti 
=====================================================   
TOTAL 310 studenti +  77 studenti restanta + 31 studenti reexaminare    =  418 studenti                                                                                                                                                                                                                                         
</t>
  </si>
  <si>
    <t xml:space="preserve">Examen de licenta 
C febr = 8 studenti       
TI febr+iulie = 4+40 = 44 studenti    
=============================================================
TOTAL 52 studenti                                                                                                                                                                                                                                                                                                                                                                                                                                                                                                                                                                                                                                                                                                                                                                                                                                                                                                                                                                                                                                                                                                                                                                                                                                                                                                                                                                                                                                                                                                                                                                                                                                                                                                                                                                                                                                                                                                                                                                                                                                                                                                                                                                                                                                                                                                                                                                                                                                                                                                                                                                                                                                                                                                                                                    </t>
  </si>
  <si>
    <t xml:space="preserve">Examen de dizertatie 
ACS febr+iulie = 1+18 = 19 studenti              =============================================================    
TOTAL 19 studenti                                                                                                                                                                                                                                                                                                                                                                                                                                                                                                                                                                                                                                                                                                                                                                                                                                                                                                                                                                                                                                                                                                                                                                                                                                                                                                                                                                                                                                                                                                                                                                                                                                                                                                                                                                                                                                                                                                                                                                                                                                                                                                                                                                                                                                                                                                                                                                                                                                                                                                                                                                                                                                                                                                                                           </t>
  </si>
  <si>
    <t xml:space="preserve">Examen de dizertatie 
ES iulie =  5 studenti              =============================================================    
TOTAL 5 studenti                                                                                                                                                                                                                                                                                                                                                                                                                                                                                                                                                                                                                                                                                                                                                                                                                                                                                                                                                                                                                                                                                                                                                                                                                                                                                                                                                                                                                                                                                                                                                                                                                                                                                                                                                                                                                                                                                                                                                                                                                                                                                                                                                                                                                                                                                                                                                                                                                                                                                                                                                                                                                                                                                                                                           </t>
  </si>
  <si>
    <t xml:space="preserve">Examen admitere master
ACS+ES+ICAI iulie+septembrie = 75 + 32 = 107 studenti
=============================================================    
TOTAL 107 studenti                                                               </t>
  </si>
  <si>
    <t>Examen admitere doctorat
Calculatoare si Tehnologia Informatiei septembrie = 3</t>
  </si>
  <si>
    <t>Examen, restanțe, reexaminare - Producerea, transp.si distrib. en.el. - 4 EM - 16 stud</t>
  </si>
  <si>
    <t>Evaluare pe parcurs - Producerea, transp.si distrib. en.el. - 4 EM - 16 stud</t>
  </si>
  <si>
    <t>Examen, restanțe, reexaminare - Teoria circuitelor electrice - 1EM (12) si 1 EA (17)  Curs - 29 stud</t>
  </si>
  <si>
    <t>Evaluare pe parcurs - Teoria circuitelor electrice - 1EM (12) si 1 EA (17)  Curs - 29 stud</t>
  </si>
  <si>
    <t>Examen, restanțe, reexaminare - Electrotehnică - 1C - 90 stud</t>
  </si>
  <si>
    <t>Evaluare pe parcurs - Electrotehnică - 1C - 90 stud</t>
  </si>
  <si>
    <t>Examen, restanțe, reexaminare - Analiza si sinteza circuitelor -  1 EA - seminar - 17 stud</t>
  </si>
  <si>
    <t>Evaluare pe parcurs - Analiza si sinteza circuitelor -  1 EA - seminar - 17 stud</t>
  </si>
  <si>
    <t>Examen, restanțe, reexaminare - Introducere in inginerie electrica - 1EM -  seminar - 12 stud</t>
  </si>
  <si>
    <t>Evaluare pe parcurs - Introducere in inginerie electrica - 1EM -  seminar  - 12 stud</t>
  </si>
  <si>
    <t>Licenta Electromecanica ( 3 febr + 20 iulie) - 23 stud</t>
  </si>
  <si>
    <t>Disertație AAIE (1 febr + 9 iulie ) - 10 stud</t>
  </si>
  <si>
    <t>Admitere master AAIE (22 iulie + 16 sept) - 38 stud</t>
  </si>
  <si>
    <t>Admitere master iul. - proba de verif. a cunost. (75st.)</t>
  </si>
  <si>
    <t>Admitere master sept. - proba de verif. a cunost. (32 s.)</t>
  </si>
  <si>
    <t>Admitere doctorat (3s)</t>
  </si>
  <si>
    <t xml:space="preserve">Evaluare licenta 
ISM febr+iulie = 3+29 = 32
</t>
  </si>
  <si>
    <t>32 *2 / 3 = 21,3</t>
  </si>
  <si>
    <t>Evaluare disertatie
ACS martei + iulie = 1 + 18 = 19</t>
  </si>
  <si>
    <t>19 / 3 * 3 = 19</t>
  </si>
  <si>
    <t>Examen mACS ASOSE an 2 (23 s)</t>
  </si>
  <si>
    <t>23*1,35 / 3 = 10,35</t>
  </si>
  <si>
    <t>Examen AII C an 4 (63 s)</t>
  </si>
  <si>
    <t>63*1,35 / 3 = 28.35</t>
  </si>
  <si>
    <t>Examen ISI TI an 4 (30 s)</t>
  </si>
  <si>
    <t>30*1,35 / 3 = 13,5</t>
  </si>
  <si>
    <t>Evaluare an 2 C - curs POO - 69 studenti
Evaluare an 2 EM+EA - curs PCLP2+POO - 17+18 studenti
Evaluare an 4 ISM - curs CIM - 30 studenti
Evaluare an 3 C - curs SO - 71 studenti
======================================
TOTAL 205 studenti</t>
  </si>
  <si>
    <t>205 * 1.35 / 3 = 92.25</t>
  </si>
  <si>
    <t>Evaluare pe parcurs an 2 C - 4 sgr Proiect - 46 studenti
======================================
TOTAL 46 studenti</t>
  </si>
  <si>
    <t>46 / 3 = 15.33</t>
  </si>
  <si>
    <t>Evaluare licenta 
C martie+iulie = 8+84 = 92
TI martie+iulie = 4+40 = 44
EA martie+iulie = 3+25 = 28
=====================
TOTAL 164 studenti</t>
  </si>
  <si>
    <t>164 / 3 *2 = 109.33</t>
  </si>
  <si>
    <t>Evaluare disertatie
ES martie+iulie = 0 + 5 = 5</t>
  </si>
  <si>
    <t>5 / 3 * 3 = 5</t>
  </si>
  <si>
    <t>Evaluare an 2 C - curs WEB - 69 studenti
Evaluare an 3 ISM - curs Web avansat - 23 stdenti
Evaluare an 4 ISM - curs SDED - 30 studenti
Evaluare an 3 C - curs IA - 71 studenti
======================================
TOTAL 193 studenti</t>
  </si>
  <si>
    <t>193 * 1.35 / 3 = 86.85</t>
  </si>
  <si>
    <t>Evaluare an 4 ISM - lab SDED - 30 studenti</t>
  </si>
  <si>
    <t>30/3=10</t>
  </si>
  <si>
    <t>Evaluare licenta 
ISM febr+iulie = 29
=====================
TOTAL 32 studenti</t>
  </si>
  <si>
    <t>29/ 3 *2 = 19.33</t>
  </si>
  <si>
    <t>Evaluare disertatie
ICAI febr+iulie = 5 + 17 = 22</t>
  </si>
  <si>
    <t>22 / 3 * 3 = 22</t>
  </si>
  <si>
    <t>Evalaure proba limba engleza admitere - licenta</t>
  </si>
  <si>
    <t>44/3*2</t>
  </si>
  <si>
    <t>Evalaure proba limba engleza admitere - master</t>
  </si>
  <si>
    <t>42/3*2</t>
  </si>
  <si>
    <t>Evaluare an II Calculatoare SIO
- 69 studenti examen
- 17 studenti restanta
- 7 studenti reexaminare
Total 93</t>
  </si>
  <si>
    <t>Evaluare an II Calculatoare - Laborator  SIO - 2 sgr 30 studenti</t>
  </si>
  <si>
    <t>Evaluare an II Calculatoare -Proiect POO -2 sgr 30 studenti</t>
  </si>
  <si>
    <t>Evaluare an IV Calculatoare -Invatare Automata laborator 2 sgr 30 studenti</t>
  </si>
  <si>
    <t>Evaluare an IV ISM -Data Mining
- examen 30 studenti
- 7 studneti restanta
- 3 studenti reexaminare</t>
  </si>
  <si>
    <t>Evaluare an III C+Ti - Regasirea Informatiei (III Calculatoare+ III TI - Alegere)
- 36 examen
- 8 restanta
- 3 reexaminare</t>
  </si>
  <si>
    <t>Examinare an 2 C, curs Analiza Alg.: 69 st.
Examinare an 2 TI+ISM, curs Pr. Alg.: 47 st.
----------------------------
Total: 116 studenți</t>
  </si>
  <si>
    <t>116 * 1.35 / 3</t>
  </si>
  <si>
    <t>Evaluare de parcurs an 2 C, curs Analiza Alg.: 69 st.
Evaluare de parcurs an 2 TI+ISM, curs Pr. Alg.: 47 st.
----------------------------
Total: 116 studenți</t>
  </si>
  <si>
    <t>116 / 3</t>
  </si>
  <si>
    <t>Examinare an 4 C 3 sgr., lab. Prel. Imag.: 45 st.
Examinare an 4 C 1 sgr., lab. APD: 15 st.
----------------------------
Total: 60 studenți</t>
  </si>
  <si>
    <t>60 * 1.35 * 0.5 / 3</t>
  </si>
  <si>
    <t>Evaluare de parcurs an 4 C 3sgr., lab. Prel. Img.: 45 st.
Evaluare de parcurs an 4 C 1 sgr., lab. APD: 15 st.
----------------------------
Total: 60 studenți</t>
  </si>
  <si>
    <t>60 / 3</t>
  </si>
  <si>
    <t>Admitere master iul. - proba de verif. a cunost. (75 st.)
Admitere master sept. - proba de verif. a cunost. (32 s.)
----------------------------
Total: 107 candidați</t>
  </si>
  <si>
    <t>107 * 2 / 3</t>
  </si>
  <si>
    <t>Licență, C, febr. 2023 (8 stud.)
Licență, C, iul. 2023 (84 stud.)
Licență, ISM, febr. 2023 (3 stud.)
Licență, ISM, iul. 2023 (29 stud.)
Licență, TI, febr. 2003 (4 stud.)
Licență, TI, iul. 2003 (40 stud.)
----------------------------
Total: 168 studenți</t>
  </si>
  <si>
    <t>Membru comisie</t>
  </si>
  <si>
    <t>168 * 2 / 3</t>
  </si>
  <si>
    <t>Disertație, ICAI, iul. 2023 (17 stud.)</t>
  </si>
  <si>
    <t>17 * 3 / 3</t>
  </si>
  <si>
    <t>Admitere la doctorat "Calc. și tehn. inf.", sept. 2023 (3 stud.)</t>
  </si>
  <si>
    <t>3 * 3 / 3</t>
  </si>
  <si>
    <t>Examen de licenta - Iul 2023 ISM An4</t>
  </si>
  <si>
    <t xml:space="preserve">29 / 3 X 2 </t>
  </si>
  <si>
    <t>Examen de licenta - Feb 2023 ISM An4</t>
  </si>
  <si>
    <t xml:space="preserve">3 / 3 X 2 </t>
  </si>
  <si>
    <t>Examen + restanta + reexaminare Interactiune om Calculator - Iun 2023 (ISM) An4</t>
  </si>
  <si>
    <t>(30*1,35)/3</t>
  </si>
  <si>
    <t>Examen + restanta + reexaminare Interactiune om Calculator - Feb 2023 (Calc, TI) An4</t>
  </si>
  <si>
    <t>(122*1,35)/3</t>
  </si>
  <si>
    <t>Colocviu Baze de date + restanta + reexaminare - Ian 2023 (Calc) An 3</t>
  </si>
  <si>
    <t>(71*1,35)/3</t>
  </si>
  <si>
    <t>Laborator Interactiunea Om Cal sgr1</t>
  </si>
  <si>
    <t xml:space="preserve">12 studenti /3 </t>
  </si>
  <si>
    <t>Laborator Interactiunea Om Cal sgr2</t>
  </si>
  <si>
    <t xml:space="preserve">13 studenti / 3 </t>
  </si>
  <si>
    <t>FiNG2</t>
  </si>
  <si>
    <t>Examen semestru SD Calculatoare 1C 90 studenți</t>
  </si>
  <si>
    <t>Evaluare finala laborator SD 3 semigrupe 45 studenți</t>
  </si>
  <si>
    <t>Evaluare finala laborator LP 6 semigrupe 90 studenți</t>
  </si>
  <si>
    <t>Evaluare SD pe parcurs Calculatoare 1C 90 studenți</t>
  </si>
  <si>
    <t>Evaluare laborator SD pe parcurs 3 semigrupe 45 studenți</t>
  </si>
  <si>
    <t>Evaluare laborator LP pe parcurs 6 semigrupe 90 studenți</t>
  </si>
  <si>
    <t>Asistenta examen semestruLLP Calculatoare 1C 90 studenți</t>
  </si>
  <si>
    <t>Examen + restanta +reexaminări  SS</t>
  </si>
  <si>
    <t>1.35x18/3</t>
  </si>
  <si>
    <t>Evaluare pe parcurs SS</t>
  </si>
  <si>
    <t>18/03/2024</t>
  </si>
  <si>
    <t>Evaluare seminar SS</t>
  </si>
  <si>
    <t>Examen + restanta +reexaminări TTI</t>
  </si>
  <si>
    <t>Evaluare pe parcurs TTI</t>
  </si>
  <si>
    <t>Evaluare laborator TTI</t>
  </si>
  <si>
    <t>Examen + restanta +reexaminări  ICD</t>
  </si>
  <si>
    <t>1.35x32/3</t>
  </si>
  <si>
    <t>Evaluare proiect ICD</t>
  </si>
  <si>
    <t>Evaluare laborator ICD</t>
  </si>
  <si>
    <t>Examen + restanta +reexaminări  uC</t>
  </si>
  <si>
    <t>Examen licenta</t>
  </si>
  <si>
    <t>2x28/3</t>
  </si>
  <si>
    <t>examen semestru, I EA/EM Programare (29 studenti)</t>
  </si>
  <si>
    <t>evaluare curs semestru, I EA/EM Programare (29 studenti)</t>
  </si>
  <si>
    <t>evaluare laborator POO II C (4 sgrt-47 stud)</t>
  </si>
  <si>
    <t>evaluare laborator POO IIEA (1 sgrt -18 stud)</t>
  </si>
  <si>
    <t>evaluare laborator SD I C (1 sgr -15 stud)</t>
  </si>
  <si>
    <t>examen sem I Structuri date (C) 30</t>
  </si>
  <si>
    <t>examen sem IIPOO (C) 47 stud</t>
  </si>
  <si>
    <t>Evaluare an 1 EM - curs IA - 12 studenti
Evaluare an 1 EA - curs IA  - 17 studenti
Evaluare an 2 EM - curs TCE - 17 studenti
Evaluare an 2 EA - curs BE_II - 18 studenti
Evaluare an 3 EA - curs MAE - 32 studenti
TOTAL 96 STUDENTI</t>
  </si>
  <si>
    <t>96/3*1,35=43,2</t>
  </si>
  <si>
    <t>Evaluare pe parcurs
an 2 EA - curs BE_II - 18 studenti
an 2 EM - curs TCE - 17 studenti
Total 35 studenti</t>
  </si>
  <si>
    <t>35/3=11,67</t>
  </si>
  <si>
    <t>Evaluare pe parcurs an 3 EA - curs MAE - 32 studenti</t>
  </si>
  <si>
    <t>32/3=10,67</t>
  </si>
  <si>
    <t>Evaluare licenta
EM iulie+febr = 20+3=23 studenti</t>
  </si>
  <si>
    <t>23/3*2=15,34</t>
  </si>
  <si>
    <t>Evaluare disertatie
AAIE iulie+febr =9+1=10  studenti</t>
  </si>
  <si>
    <t>10/3*3=10</t>
  </si>
  <si>
    <t xml:space="preserve">Asistenta examene sem. I si II, la prof.dr.ing.Vintan Maria:
an I EM  - 12*2=24 studenti
an I EA  - 17*2=34 studenti
Total 58 studenti
</t>
  </si>
  <si>
    <t>58/3*1,35*0,5=13,05</t>
  </si>
  <si>
    <t>Admitere disertatie iulie - sept:
22+16=38 candidati</t>
  </si>
  <si>
    <t>38/3*2=25,34</t>
  </si>
  <si>
    <t>Curs an 2 EM: Electronica, 17 studenți, Examen, Restanță, Reexaminare</t>
  </si>
  <si>
    <t>17x(1+0.25+0.1)/3 =7,65</t>
  </si>
  <si>
    <t>Curs an 2 EM: Electronica, 17 studenți, Verificare pe parcurs</t>
  </si>
  <si>
    <t>17/3 = 5,67</t>
  </si>
  <si>
    <t>Lab. an 2 EM: Electronica, 17 studenți</t>
  </si>
  <si>
    <t>Curs an 4 EA: Compatibilitate electromagnetică, 24 studenți, Examen, Restanță, Reexaminare</t>
  </si>
  <si>
    <t>24x(1+0.25+0.1)/3 = 10,8</t>
  </si>
  <si>
    <t>Curs an 4 EA: Compatibilitate electromagnetică, 24 studenți, Verificare pe parcurs</t>
  </si>
  <si>
    <t>24/3 = 8</t>
  </si>
  <si>
    <t>Lab. an 4 EA: Compatibilitate electromagnetică, 24 studenți</t>
  </si>
  <si>
    <t>Lab. an 2 EA: Circuite integrate digitale, 18 studenți</t>
  </si>
  <si>
    <t>18/3 = 6</t>
  </si>
  <si>
    <t>Proiect. an 2 EA: Circuite integrate digitale, 18 studenți</t>
  </si>
  <si>
    <t>18/3=6</t>
  </si>
  <si>
    <t>Curs an 4 EA: Televiziune, 24 studenți, Examen, Restanță, Reexaminare</t>
  </si>
  <si>
    <t>Curs an 4 EA: Televiziune, 24 studenți, Verificare pe parcurs</t>
  </si>
  <si>
    <t>Lab. an 4 EA: Televiziune, 24 studenți</t>
  </si>
  <si>
    <t>Pr.. an 4 EA: Televiziune, 24 studenți</t>
  </si>
  <si>
    <t>Examen Admitere, 38 studenți</t>
  </si>
  <si>
    <t>(38/3)x2 = 25,33</t>
  </si>
  <si>
    <t>25,33</t>
  </si>
  <si>
    <t>Examen Licență EA, 25 studenți</t>
  </si>
  <si>
    <t>(25/3)x2 = 32.66</t>
  </si>
  <si>
    <t>Examen, restanță, reexaminare - Mașini electrice speciale - 4 EM - 16 stud</t>
  </si>
  <si>
    <t>16*1.35/3</t>
  </si>
  <si>
    <t>Evaluare pe parcurs curs - Mașini electrice speciale -4EM - 16 stud</t>
  </si>
  <si>
    <t>16/03/2024</t>
  </si>
  <si>
    <t>Evaluare pe parcurs L,P - Mașini electrice speciale - 4 EM - 16 stud</t>
  </si>
  <si>
    <t>Colocviu, restanță, reexaminare - Acționări electrice I - 3 EM - 24 stud</t>
  </si>
  <si>
    <t>24*1.35/3</t>
  </si>
  <si>
    <t>Evaluare pe parcurs, curs - Acționări electrice I -3EM -24 stud</t>
  </si>
  <si>
    <t>24/03/2024</t>
  </si>
  <si>
    <t>Evaluare pe parcurs , L, - Acționări electrice I - 3 EM - 24 stud</t>
  </si>
  <si>
    <t>Examen, restanță, reexaminare - Acționări electrice II - 3 EM -24 stud</t>
  </si>
  <si>
    <t>Evaluare pe parcurs - Acționări electrice II - 3 EM - 24 stud.</t>
  </si>
  <si>
    <t>Colocviu, restanță, reexaminare - Electrotehnică și mașini electrice  - 2 TDDH - 13 stud</t>
  </si>
  <si>
    <t>13*1.35/3</t>
  </si>
  <si>
    <t>Evaluare pe parcurs, curs -Electrotehnică și mașini  2TDDH   -13 stud</t>
  </si>
  <si>
    <t>13/03/2024</t>
  </si>
  <si>
    <t>Evaluare pe parcurs ,L- Electrotehnică și mașini electrice - 2 TDDH - 13 stud</t>
  </si>
  <si>
    <t>Evaluare pe parcurs - Masurari senzori și traductoare - 2 TI - 27 stud</t>
  </si>
  <si>
    <t>Examen, restanta, reexaminare - Măsurări senzori si traductoare, 2Ti -27 stud</t>
  </si>
  <si>
    <t>27*1.35*0.5/3</t>
  </si>
  <si>
    <t>Evaluare pe parcurs - Electrotehnică și acționări electrice - 2ITT - 22 stud</t>
  </si>
  <si>
    <t>Examen, restanta, reexaminare -Electrotehnică și actionări, 2ITT -22 stud</t>
  </si>
  <si>
    <t>22*1.35*0.5/3</t>
  </si>
  <si>
    <t>Evaluare pe parcurs - 2 IEI - Electrotehnică - 11 stud</t>
  </si>
  <si>
    <t>Examen, restanta, reexaminare - Electrotehnică, 2IEI -11 stud</t>
  </si>
  <si>
    <t>11*1.35*0.5/3</t>
  </si>
  <si>
    <t>Evaluare an 1 C - curs Limbaje de programare - 90 studenti
Evaluare an 4 ISM - curs Programarea jocurilor - 30 studenti
Evaluare an 1 ICAI - curs SDA - 30 studenti
Evaluare an 3 C - curs IS - 71 studenti
======================================
TOTAL 221 studenti
Evaluare an 1 ICAI - proiect+laborator SDA - 30 studenti
======================================
TOTAL 30 studenti</t>
  </si>
  <si>
    <t>221 * 1.35 / 3 + 30/3 = 109.45</t>
  </si>
  <si>
    <t xml:space="preserve">Evaluare licenta 
C martie+iulie = 8+84 = 92
</t>
  </si>
  <si>
    <t>92 / 3 *2 = 61.33</t>
  </si>
  <si>
    <t>22 / 3 * 3 = 23</t>
  </si>
  <si>
    <t>Evaluare de parcurs nov 2022: Modelarea si Simularea Sistemelor (EA an IV 24 stud.)</t>
  </si>
  <si>
    <t>Examen sesiune ian 2023: Modelarea si Simularea Sistemelor (EA an IV 24 stud.)</t>
  </si>
  <si>
    <t>Restanta feb 2023: Modelarea si Simularea Sistemelor (EA an IV 24 stud.)</t>
  </si>
  <si>
    <t>Reexaminare feb 2023: Modelarea si Simularea Sistemelor (EA an IV 24 stud.)</t>
  </si>
  <si>
    <t>Evaluare de parcurs nov 2022: Metode Numerice (EA an III 32 stud. + EM an III 24 stud.)</t>
  </si>
  <si>
    <t>Examen sesiune ian 2023: Metode Numerice (EA an III 32 stud. + EM an III 24 stud.)</t>
  </si>
  <si>
    <t>Restanta feb 2023: Metode Numerice (EA an III 32 stud. + EM an III 24 stud.)</t>
  </si>
  <si>
    <t>Reexaminare feb 2023: Metode Numerice (EA an III 32 stud. + EM an III 24 stud.)</t>
  </si>
  <si>
    <t>Evaluare de parcurs nov 2022: Prelucrarea Digitala a Semnalelor (EA an III 32 stud.)</t>
  </si>
  <si>
    <t>Examen sesiune ian 2023: Prelucrarea Digitala a Semnalelor (EA an III 32 stud.)</t>
  </si>
  <si>
    <t>Restanta feb 2023: Prelucrarea Digitala a Semnalelor (EA an III 31 stud.)</t>
  </si>
  <si>
    <t>Reexaminare feb 2023: Prelucrarea Digitala a Semnalelor (EA an III 32 stud.)</t>
  </si>
  <si>
    <t>Evaluare de parcurs nov 2022: Modelarea si Identificarea Sistemelor (ISM an IV 30 stud.)</t>
  </si>
  <si>
    <t>Examen sesiune ian 2023: Modelarea si Identificarea Sistemelor (ISM an IV 30 stud.)</t>
  </si>
  <si>
    <t>Restanta feb 2023: Modelarea si Identificarea Sistemelor (ISM an IV 30 stud.)</t>
  </si>
  <si>
    <t>Reexaminare feb 2023: Modelarea si Identificarea Sistemelor (ISM an IV 30 stud.)</t>
  </si>
  <si>
    <t>Examen licenta EA (iulie 2023)</t>
  </si>
  <si>
    <t>Comisie Licenta</t>
  </si>
  <si>
    <t>Examen licenta EA (martie 2023)</t>
  </si>
  <si>
    <t>Admitere master AAIE (iulie 2023)</t>
  </si>
  <si>
    <t>Comisie admitere</t>
  </si>
  <si>
    <t>Admitere master AAIE (septembrie 2023)</t>
  </si>
  <si>
    <t xml:space="preserve">Curs an 2 EM: Inginerie software pentru conducerea proceselor industriale, 17 studenți
Exame, Restanță, Reexaminare
</t>
  </si>
  <si>
    <t xml:space="preserve">Curs an 2 EM: Inginerie software pentru conducerea proceselor industriale, 17 studenți
Verificare pe parcurs
</t>
  </si>
  <si>
    <t xml:space="preserve">Lab. an 2 EM: Inginerie software pentru conducerea proceselor industriale, 17 studenți
</t>
  </si>
  <si>
    <t>Curs an 2 EA: Programare în Matlab, 18 studenți
Exame, Restanță, Reexaminare</t>
  </si>
  <si>
    <t>Curs an 2 EA: Programare în Matlab, 18 studenți
Verificare pe parcurs</t>
  </si>
  <si>
    <t>Curs an 4 C: PNS, 87 studenți
Exame, Restanță, Reexaminare</t>
  </si>
  <si>
    <t>Curs an 4 C: PNS, 87 studenți
Verificare pe parcurs</t>
  </si>
  <si>
    <t>Lab. an 4 C: PNS, 6sgr, 87 studenți</t>
  </si>
  <si>
    <t>Lab. an 4 EA:Rețele Neurale, 24 studenți</t>
  </si>
  <si>
    <t>Evaluare an 2 Paradigme de programare + Ingineria sistemelor de programe I Laborator - 50 studenti
Evaluare an 2 Grafica asistata de calculator Laborator - 45 studenti
Evaluare an 3 Inginerie Software Laborator - 74 studenti
===================
Total 169 studenti</t>
  </si>
  <si>
    <t>169 / 3</t>
  </si>
  <si>
    <t>Evaluare licenta 
C iulie 84</t>
  </si>
  <si>
    <t>84 / 3 * 2</t>
  </si>
  <si>
    <t>Evaluare disertatie
ES iulie 5</t>
  </si>
  <si>
    <t>5 / 3 * 3</t>
  </si>
  <si>
    <t>Evaluare an 4 C - lab EIM - 87 studenti
Evaluare an 4 TI - lab IDP - 35 studenti
Evaluare an 4 ISM - lab AMDM - 30 studenti
Evaluare an 3 ISM - lab LC - 23 studenti
Evaluare an 2 C - 3 sgr lab PDP - 34 stundeti
Evaluare an 2 ISM - 1 sgr lab ISP 1 - 10 studenti
=====================================
TOTAL 219 studenti</t>
  </si>
  <si>
    <t>219 / 3 = 73</t>
  </si>
  <si>
    <t>Evaluare licenta
TI martie+iulie = 4 + 40 = 44</t>
  </si>
  <si>
    <t>44 / 3 * 2 = 30</t>
  </si>
  <si>
    <t>Evaluare an 2 C+TI - curs PLA - 6 semigrupe = 6 * 15 = 90
Evaluare an 3 ISM - curs Programarea aplicatiilor multimedia - 2 semigrupe = 2 * 15 = 30
Evaluare an 4 (C) - curs Sisteme Multimedia 3 semigrupe= 3 * 15  = 45
Evaluare an 4 ISM - curs Codare Audio Video 2 semigrupe = 2 * 15 studenti = 30
Evaluare an 4 (C) - curs Sistem prelucrare grafica 1 semigrupa = 15  
Evaluare an 3 ISM - curs Editare si productie Audio-Video 1 semigrupa = 15 
90 + 30 + 45 + 30 + 15 + 15 = 225
======================================
TOTAL 225 studenti</t>
  </si>
  <si>
    <t>225 * 0.5 / 3 = 37.5</t>
  </si>
  <si>
    <t>ACS Secretar</t>
  </si>
  <si>
    <t>18 * 3/ 3 = 18</t>
  </si>
  <si>
    <t>Evaluare  intermediara laborator:
Evaluare an 2 C+TI - curs PLA - 6 semigrupe = 6 * 15 = 90
Evaluare an 3 ISM - curs Programarea aplicatiilor multimedia - 2 semigrupe = 2 * 15 = 30
Evaluare an 4 (C) - curs Sisteme Multimedia 3 semigrupe= 3 * 15  = 45
Evaluare an 4 ISM - curs Codare Audio Video 2 semigrupe = 2 * 15 studenti = 30
Evaluare an 4 (C) - curs Sistem prelucrare grafica 1 semigrupa = 15  
Evaluare an 3 ISM - curs Editare si productie Audio-Video 1 semigrupa = 15 
90 + 30 + 45 + 30 + 15 + 15 = 225
======================================
TOTAL 225 studenti</t>
  </si>
  <si>
    <t>Examen admitere corector</t>
  </si>
  <si>
    <t>Evaluare an 2  - curs POO - 27 studenti</t>
  </si>
  <si>
    <t>27*1.35/3*0.5</t>
  </si>
  <si>
    <t>Evaluare an 2 - lab POO - 27</t>
  </si>
  <si>
    <t>27/3 =9</t>
  </si>
  <si>
    <t>Evaluare an 3 - curs SO - 121</t>
  </si>
  <si>
    <t>98*1.35/3*0.5</t>
  </si>
  <si>
    <t>Evaluare an 3 - lab SO - 98</t>
  </si>
  <si>
    <t>98 / 3</t>
  </si>
  <si>
    <t>Evaluare an 4 - Curs DM - 30</t>
  </si>
  <si>
    <t>30*1.35/3*0.5</t>
  </si>
  <si>
    <t>Evaluare an 4 - Laborator DM - 30</t>
  </si>
  <si>
    <t>30 \3</t>
  </si>
  <si>
    <t>Evaluare an 3 - Curs Regasire - 24</t>
  </si>
  <si>
    <t>24*1.35/3*0.5</t>
  </si>
  <si>
    <t>Evaluare an 3 - Lab Regasire - 24</t>
  </si>
  <si>
    <t>24 / 3</t>
  </si>
  <si>
    <t xml:space="preserve">Evaluare Admitere 2023 Vara </t>
  </si>
  <si>
    <t>Corector 2</t>
  </si>
  <si>
    <t>Evaluare an IV EM</t>
  </si>
  <si>
    <t>=16/3*1.35</t>
  </si>
  <si>
    <t>Evaluare an IV EM pe parcurs</t>
  </si>
  <si>
    <t>=16/3</t>
  </si>
  <si>
    <t>Evaluare an IV EM proiect</t>
  </si>
  <si>
    <t>Evaluare an IV EA</t>
  </si>
  <si>
    <t>=24/3*1.35</t>
  </si>
  <si>
    <t>Evaluare an IV EA pe parcurs</t>
  </si>
  <si>
    <t>=24/3</t>
  </si>
  <si>
    <t>Evaluare an IV EA proiect</t>
  </si>
  <si>
    <t>Evaluare an II EM</t>
  </si>
  <si>
    <t>=18/3*1.35</t>
  </si>
  <si>
    <t>Evaluare an II EM pe parcurs</t>
  </si>
  <si>
    <t>=18/3</t>
  </si>
  <si>
    <t>Evaluare an II EA</t>
  </si>
  <si>
    <t>=17/3*1.35</t>
  </si>
  <si>
    <t>Evaluare an II EA pe parcurs</t>
  </si>
  <si>
    <t>=17/3</t>
  </si>
  <si>
    <t>Evaluare an III Mecatronica</t>
  </si>
  <si>
    <t>=27/3*1.35</t>
  </si>
  <si>
    <t>Evaluare an III Robotica</t>
  </si>
  <si>
    <t>Disertatie AAIE Iulie 2023</t>
  </si>
  <si>
    <t>=9/3*3</t>
  </si>
  <si>
    <t xml:space="preserve">Examen licență EM </t>
  </si>
  <si>
    <t>27 studenti/3=9x2=18</t>
  </si>
  <si>
    <t>Examene de semestru, restanță, reexaminare, 2EM, 2EA, 2C,2MEC, 2MEC-ENGL, 2ROB,3MEC,3ROB,3MEC-ENGL</t>
  </si>
  <si>
    <t>220x1,35 studenti/3=99</t>
  </si>
  <si>
    <t>Evaluări pe parcurs curs 2EM, 2EA, 1C,2C,2IIMECU+ROB,III MEC+ROB,3EM, 3EA</t>
  </si>
  <si>
    <t>220 studenti/3=73</t>
  </si>
  <si>
    <t>Colocviu EM 321 Materiale electrotehnice</t>
  </si>
  <si>
    <t>Colocviu EM 341 Tehnologii electrice</t>
  </si>
  <si>
    <t>Examen EM 331 Echipamente electrice 1</t>
  </si>
  <si>
    <t>Examen EM 331 Echipamente electrice 2</t>
  </si>
  <si>
    <t>Examen licenta EA</t>
  </si>
  <si>
    <t>(25/3)x2</t>
  </si>
  <si>
    <t>Examen licenta EM</t>
  </si>
  <si>
    <t>(20/3)x2</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</si>
  <si>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</si>
  <si>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</si>
  <si>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</si>
  <si>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</si>
  <si>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Membru - Comisia de concurs pentru ocuparea posturilor didactice: Asistent universitar. pozilia 61.</t>
  </si>
  <si>
    <t>Membru - Comisia pentru colaborari interne</t>
  </si>
  <si>
    <t>Membru comisia de admitere 2023</t>
  </si>
  <si>
    <t>Membru Consiliul Departamentului</t>
  </si>
  <si>
    <t>Membru in comisia de admitere</t>
  </si>
  <si>
    <t>Consiliul Departamentului MEI</t>
  </si>
  <si>
    <t>Consiliul Facultății de Inginerie</t>
  </si>
  <si>
    <t>Director al CSD SSIM</t>
  </si>
  <si>
    <t>Consiliului de Internaționalizare al ULBS</t>
  </si>
  <si>
    <t>Comisia de permanență - call center</t>
  </si>
  <si>
    <t>Secretar al Comisiei de admitere, Facultatea de Inginerie</t>
  </si>
  <si>
    <t>Comisia pentru cercetare științifică a Consiliului Facultății de Inginerie</t>
  </si>
  <si>
    <t>Comisia pentru  colaborări externe a Consiliului Facultății de Inginerie</t>
  </si>
  <si>
    <t>Comisia de verificare SIEPAS/GRADIS, dep. MEI</t>
  </si>
  <si>
    <t>Asistent universitar, pozilia 61, membru comisie de concurs</t>
  </si>
  <si>
    <t xml:space="preserve">Comisia de admitrere </t>
  </si>
  <si>
    <t>Comisia de analiza a activitatii didactie/ raportare GRADIS - departament</t>
  </si>
  <si>
    <t>Comisia concurs Post Asistent poz 61</t>
  </si>
  <si>
    <t>Comisia CF sociala si activitati studentesti</t>
  </si>
  <si>
    <t>membru în Consiliul Facultății de Inginerie</t>
  </si>
  <si>
    <t>membru în Senatul ULBS</t>
  </si>
  <si>
    <t>membru în comisia de Cercetare, Studii Doctorale și Internaționalizare a Senatului</t>
  </si>
  <si>
    <t>membru în comisia pentru Cercetare Științifică a Consiliului Facultății de Inginerie</t>
  </si>
  <si>
    <t>membru în comisia pentru Baza materială și sănătatea și securitatea în muncă a Consiliului Facultății de Inginerie</t>
  </si>
  <si>
    <t>membru În Consiliul Științific al ULBS</t>
  </si>
  <si>
    <t>membru în comisia de selecție a mobilităților Erasmus - cadre didactice și studenți</t>
  </si>
  <si>
    <t>Comisia de admitere Facultatea de Inginerie</t>
  </si>
  <si>
    <t>Comisia de admitere</t>
  </si>
  <si>
    <t>Membru in comisia de admitere - sesiunea iulie / septembrie 2023</t>
  </si>
  <si>
    <t>Membru în comisia de admitere -iunie/iulie 2023</t>
  </si>
  <si>
    <t>Comisia de verificare GRADIS</t>
  </si>
  <si>
    <t xml:space="preserve">Comisia de admitere Inginerie </t>
  </si>
  <si>
    <t>Membru  in comisia CSD- Școala Doctorală de Științe Inginerești și Matematică</t>
  </si>
  <si>
    <t>Membru in comisia de admitere - iunie/iulie 2023</t>
  </si>
  <si>
    <t>Comisia de admitere a facultatii</t>
  </si>
  <si>
    <t>Subcomisia validare dosare, Facultatea de Inginerie, Admitere 2023</t>
  </si>
  <si>
    <t>Comisia pentru învățământ și evaluarea calității a Consiliului Facultății (colectivul de întocmire a orarului)</t>
  </si>
  <si>
    <t>Comisia socială și activități studențești a Consiliului Facultății</t>
  </si>
  <si>
    <t>Asistent universitar, poziția 61, sem.2, Comisia de analiză a îndeplinirii standardelor</t>
  </si>
  <si>
    <t>Comisia de admitere Inginerie</t>
  </si>
  <si>
    <t xml:space="preserve">Comisia privind programele de studii și asigurarea calitatii (Comisie Senat - HS 3705/25.09.2020 ) </t>
  </si>
  <si>
    <t>Consiliul academic al ULBS</t>
  </si>
  <si>
    <t xml:space="preserve">Comisia de Securitate si Sanatate in Munca la nivel de ULBS </t>
  </si>
  <si>
    <t>Senat</t>
  </si>
  <si>
    <t>CSUD</t>
  </si>
  <si>
    <t>CA</t>
  </si>
  <si>
    <t>Membru comisia centrala de admitere a ULBS</t>
  </si>
  <si>
    <t>Comisia Consiliului Facultății de Inginerie pentru Invatamant si evaluarea calitatii</t>
  </si>
  <si>
    <t>Comisia Consiliului Facultății de Inginerie pentru cercetarea stiintifica</t>
  </si>
  <si>
    <t>Comisia Consiliului Facultății de Inginerie socială și activităti studentesti</t>
  </si>
  <si>
    <t>Comisia Consiliului Facultății de Inginerie pentru colaborari interne</t>
  </si>
  <si>
    <t>Comisia Consiliului Facultății de Inginerie pentru colaborari externe</t>
  </si>
  <si>
    <t>Comisia Consiliului Facultății de Inginerie pentru informare, imagine si publicitate</t>
  </si>
  <si>
    <t>Comisia Consiliului Facultății de Inginerie pentru baza materiala si sanatatea si securitatea in munca</t>
  </si>
  <si>
    <t>Comisia de contestatii MEI</t>
  </si>
  <si>
    <t>Asistent universitar, poziția 61,Comisia de concurs, sem II, membru</t>
  </si>
  <si>
    <t>conferentiar, pozitia 23, AFT, Comisia de consurs, membru</t>
  </si>
  <si>
    <t>conferentiar, pozitia 22, AFT, Comisia de consurs, membru</t>
  </si>
  <si>
    <t>profesor, pozitia 8, UTCN, Comisia de consurs, membru</t>
  </si>
  <si>
    <t>profesor, pozitia 10, UPIT, Comisia de consurs, membru</t>
  </si>
  <si>
    <t xml:space="preserve">comisie abilitare, UGAL, </t>
  </si>
  <si>
    <t>comisie abilitare, UPIT</t>
  </si>
  <si>
    <t>membru in consiliul facultății</t>
  </si>
  <si>
    <t>Membru Comisie de selectie ERASMUS-ESAYEP (nov. 2022)</t>
  </si>
  <si>
    <t>Fing4</t>
  </si>
  <si>
    <t>Comisia pentru informatizare, imagine și publicitate</t>
  </si>
  <si>
    <t>Comisie Admitere</t>
  </si>
  <si>
    <t>7. Comisia pentru baza materiala si sanatatea si securitatea in munca: C7.2 Colectivul pentru sanatatea si securitatea in munca</t>
  </si>
  <si>
    <t>Comisia de concurs: Asistent universitar. pozilia 61 - membru</t>
  </si>
  <si>
    <t>Senatul ULBS</t>
  </si>
  <si>
    <t>Comisia de contestații din cadrul Departamentului Mașini și Echipamente Industriale (MEI)</t>
  </si>
  <si>
    <t>Președinte Comisie contestatii post poz. 61, Asist univ (MEI)</t>
  </si>
  <si>
    <t>Membru în comisia de concurs pentru postul de Conferențiar (poz. 17) din cadrul Departamentului Mecanică și Rezistența Materialelor al Facultății de Inginerie Mecanică din cadrul Universității Transilvania din Brașov 
(Deciziei Rectorului, nr. 12293 din 13.12.2022)</t>
  </si>
  <si>
    <t>Membru în comisia de concurs pentru postul de Conferențiar (poz. 12) din cadrul Departamentului Mecanică și Rezistența Materialelor al Facultății de Mecanică din cadrul Universității Politehnica Timișoara
(Deciziei Rectorului, nr. 652/112/C/ din 29.05.2023)</t>
  </si>
  <si>
    <t>Membru în comisia de concurs pentru postul de Conferențiar (poz. 13) din cadrul Departamentului Mecanică și Rezistența Materialelor al Facultății de Mecanică din cadrul Universității Politehnica Timișoara
(Deciziei Rectorului, nr. 653/112/C/ din 29.05.2023)</t>
  </si>
  <si>
    <t>Consiliul de Administrație al ULBS (01.10.2022 - 31.12.2022)</t>
  </si>
  <si>
    <t>Comisia patrimoniu si dezvoltare organizationala</t>
  </si>
  <si>
    <t>Comisia de Marketing ULBS  (01.10.2022 - 31.12.2022)</t>
  </si>
  <si>
    <t xml:space="preserve"> Consiliul de Administratie si Dezvoltarea Organizationala  (01.10.2022 - 31.12.2022)</t>
  </si>
  <si>
    <t>Comisia Consiliului Facultății de Inginerie pentru Invatamant si asigurarea calitatii</t>
  </si>
  <si>
    <t xml:space="preserve">Comisia echivalare note </t>
  </si>
  <si>
    <t>Asistent universitar, poziția 61,Comisia de concurs, sem II, presedinte</t>
  </si>
  <si>
    <t>Asistent universitar, poziția 61,Comisia de verificare standarde, sem II, presedinte</t>
  </si>
  <si>
    <t>Comisie de admitere Facultatea de inginerie</t>
  </si>
  <si>
    <t>Asistent universitar, poziția 61,Comisia de contestații, membru</t>
  </si>
  <si>
    <t>Comisia CF de Învățământ și evaluarea calității</t>
  </si>
  <si>
    <t>Comisia CF pentru colaborări externe</t>
  </si>
  <si>
    <t xml:space="preserve">Comisie GRADIS 2022 la nivel de facultate  decizie nr.412/19.06.2023 </t>
  </si>
  <si>
    <t xml:space="preserve">Comisie GRADIS 2022 la nivel de departament </t>
  </si>
  <si>
    <t xml:space="preserve">Asistent universitar, poziția 61,Comisia verificare standarde pentru concurs, sem II, HS 2481 /26.05.2023 </t>
  </si>
  <si>
    <t xml:space="preserve">Comisia de admitere </t>
  </si>
  <si>
    <t xml:space="preserve">Comisia SCEAC </t>
  </si>
  <si>
    <t>Comisia pentru invatamant si evaluarea calitatii-Colectivul pentru evaluarea ~i asigurarea calitatii</t>
  </si>
  <si>
    <t>Comisia de admitere inginerie</t>
  </si>
  <si>
    <t>Comisia de admitere - Facultatea de Inginerie</t>
  </si>
  <si>
    <t>Comisia Consiliului Facultății de Inginerie  pentru baza materială și sănătatea și securitatea în muncă</t>
  </si>
  <si>
    <t>Asistent universitar, poziția 61,Comisia de contestații, sem II, membru</t>
  </si>
  <si>
    <t xml:space="preserve">Bădescu Mircea </t>
  </si>
  <si>
    <t>https://www.ulbsibiu.ro/wp-content/uploads/documents/ca/2023/Anexa-2_Birourile-electorale-ale-sectiilor-de-votare.pdf</t>
  </si>
  <si>
    <t>Consiliul Departamentului</t>
  </si>
  <si>
    <t>Consiliul Facultății</t>
  </si>
  <si>
    <t>presedinte comisie concurs, post 39, sef lucr, iulie 2023</t>
  </si>
  <si>
    <t>presedinte comisie concurs, post 68 sef lucr,iulie.2023</t>
  </si>
  <si>
    <t>presedinte comisie concurs, post 82 asist, febr.2023</t>
  </si>
  <si>
    <t>presedinte comisie concurs, post 83 asist, febr.2023</t>
  </si>
  <si>
    <t>Membru în Consiliul facultății</t>
  </si>
  <si>
    <t xml:space="preserve">Comisia pt invatamant și evaluarea Calității </t>
  </si>
  <si>
    <t>Comisia pentru colaborări interne</t>
  </si>
  <si>
    <t>Comisia pentru colaborări externe</t>
  </si>
  <si>
    <t>Comisia pentru informatizare, imagine si publicitate</t>
  </si>
  <si>
    <t>Comisia de marketing a ULBS</t>
  </si>
  <si>
    <t>Consiliul Studențesc al ULBS</t>
  </si>
  <si>
    <t>Comisia socială și activități studențești</t>
  </si>
  <si>
    <t>Comisie raportare GRADIS la nivel de facultate</t>
  </si>
  <si>
    <t>Consiliul Facultatii</t>
  </si>
  <si>
    <t>Comisla SSM FING</t>
  </si>
  <si>
    <t>Comisia de  concurs pentru ocuparea postului didactic de conferențiar, poz 39, sem II</t>
  </si>
  <si>
    <t>Comisia de  concurs pentru ocuparea postului didactic de  șef lucrări, poz 68, sem I</t>
  </si>
  <si>
    <t>Comisia de analiză a îndeplinirii standardelor ULBS pentru ocuparea postului didactic de asistent, poz 82, sem I</t>
  </si>
  <si>
    <t>Comisia de analiză a îndeplinirii standardelor ULBS pentru ocuparea postului didactic de asistent, poz 83, sem I</t>
  </si>
  <si>
    <t>Subcomisia/colectivul pentru evaluarea și asigurarea calității a Facultății de Inginerie</t>
  </si>
  <si>
    <t>Consilliul Departamentului de Inginerie Industrială și Management</t>
  </si>
  <si>
    <t>Comisia de admitere 2023</t>
  </si>
  <si>
    <t>Comisia pentru colaborari interne</t>
  </si>
  <si>
    <t>Membru in consiliul facultatii</t>
  </si>
  <si>
    <t>Membru in consiliul departamentului</t>
  </si>
  <si>
    <t>Membru comisiei de concurs pentru ocuparea postului de șef de lucrări, poziția 82 din Statul de funcții al Departamentului IIM</t>
  </si>
  <si>
    <t>Membru comisiei de concurs pentru ocuparea postului de șef de lucrări, poziția 68 din Statul de funcții al Departamentului IIM</t>
  </si>
  <si>
    <t>Membru comisiei de contesatatii pentru ocuparea postului de profesor universitar, poz. 8, Departamentul de Ingineria Fabricatiei, Univeristatea Transilvania Brasov</t>
  </si>
  <si>
    <t>Comisie selectie Erasmus studenti</t>
  </si>
  <si>
    <t>Membru (comisie concurs)</t>
  </si>
  <si>
    <t>Comisia de verificare GRADIS la nivel de departament IIM</t>
  </si>
  <si>
    <t xml:space="preserve">Comisia Erasmus </t>
  </si>
  <si>
    <t xml:space="preserve">Comisia Admitere Inginerie </t>
  </si>
  <si>
    <t>Comisia indeplinire standarde concurs sl., poziția 68, concurs perioada nedeterminată sem I, HS 5249/22,12.2022 (fara candidat)</t>
  </si>
  <si>
    <t xml:space="preserve">Comisia indeplinire standarde concurs asistent univ., poziția 82, concurs perioada nedeterminată, sem I, HS 5249/22,12.2022, ( Branescu Horia) </t>
  </si>
  <si>
    <t>Comisia indeplinire standarde concurs asistent univ., poziția 83, concurs perioada nedeterminată, sem I, HS 5249/22,12.2022 (Lupu Diana)</t>
  </si>
  <si>
    <t>Comisia indeplinire standarde concurs conferențiar., poziția 39, concurs perioada nedeterminată, sem II, HS 2481/26.05.2023 (Oleksik Mihaela)</t>
  </si>
  <si>
    <t>Comisia indeplinire standarde concurs sl., poziția 68, concurs perioada nedeterminată sem I, HS 5249/22,12.2022 (Roșca Nicolae)</t>
  </si>
  <si>
    <t>membru în Consiliul Facultății</t>
  </si>
  <si>
    <t>membru în comisia SCEAC - Facultatea de Inginerie</t>
  </si>
  <si>
    <t>Comisia de Etică în Cercetarea Științifică (CECS) a Universității „Lucian Blaga” din Sibiu - membru</t>
  </si>
  <si>
    <t>H Senat 5249/22.12.2022 - comisii durata nedeterminata sem I 2022-2023 pozitia 82 Stat functiuni DepartamentIIM</t>
  </si>
  <si>
    <t>Consiliul facultății de inginerie</t>
  </si>
  <si>
    <t>Senat ULBS</t>
  </si>
  <si>
    <t>Participare comisii de evaluare ARACIS (2 comisii)</t>
  </si>
  <si>
    <t>Comisia de evaluare finală a cursanților din cadrul PROGRAMUL POSTUNIVERSITAR DE FORMARE ŞI DEZVOLTARE PROFESIONALĂ CONTINUĂ: EVALUAREA RISCURILOR ŞI AUDITAREA ÎN DOMENIIUL SECURITĂŢII ŞI SANATĂŢII ÎN MUNCĂ. Examen de finalizare a studiilor</t>
  </si>
  <si>
    <t>"Comisia de admitere 2023 a Facultății de Inginerie", subcomisia "Probă orală de verificare a cunoștințelor de domeniu și complementare (Master), domeniul Inginerie si Management (MC+MAI+MP)</t>
  </si>
  <si>
    <t>COMISIA FACULTATII DE INGINERIE Admitere 2023 (IF/ID/FR)</t>
  </si>
  <si>
    <t>Membru în Comisia de Etica</t>
  </si>
  <si>
    <t>Membru în Consiliul Departamentului</t>
  </si>
  <si>
    <t>Membru în Consiliul Facultăţii</t>
  </si>
  <si>
    <t>Membru comisie concurs post Fac. Inginerie poz. 82 Dep. IIM HS 2083/22.12.2022</t>
  </si>
  <si>
    <t>Membru comisie concurs post Fac. Inginerie poz. 83 Dep. IIM HS 5249/22.12.2022</t>
  </si>
  <si>
    <t>Membru comisie concurs post Fac. Inginerie poz. 39 Dep. IIM HS 2481/26.05.2023</t>
  </si>
  <si>
    <t>Membru comisie concurs post UTCN poz. 3 (29.06.2023),  HS UTCN 517/06.06.2023</t>
  </si>
  <si>
    <t>Membru comisie concurs post Univ. Tehn. "Gh. Asachi" Iasi poz. 8 (03.07.2023), poz. 9 (04.07.2023) HS TUIASI 109/19.05.2022</t>
  </si>
  <si>
    <t>Membru Comisie Admitere - proba orală de verificarea cunoştinţelor master Domeniul Inginerie şi Management</t>
  </si>
  <si>
    <t>Membru Comisii ale CF
1. Comisia pentru învăţământ şi evaluarea calităţii
5. Comisia pentru colaborari externe</t>
  </si>
  <si>
    <t>20x2</t>
  </si>
  <si>
    <t>comisia de admitere</t>
  </si>
  <si>
    <t>Comisia Facultatii de Inginerie admitere 2023</t>
  </si>
  <si>
    <t>Comisie cocurs conferențiar poz 18, Facultatea de Mecanică, Universitatea din Craiova</t>
  </si>
  <si>
    <t>Comisie cocurs conferențiar poz 39, departament IIM, Facultatea de Inginerie, ULBS</t>
  </si>
  <si>
    <t>Comisia de Admitere</t>
  </si>
  <si>
    <t>Comisia Colaborari Interne</t>
  </si>
  <si>
    <t>Comisia Informatizare etc</t>
  </si>
  <si>
    <t>Comisia Baza Materiala</t>
  </si>
  <si>
    <t>Comisie concurs sef lucr</t>
  </si>
  <si>
    <t>Comisie concurs asistent</t>
  </si>
  <si>
    <t>Consiliul Facultații de Inginerie, mandat 2020-2024</t>
  </si>
  <si>
    <t>Comisia pentru cercetarea științifică</t>
  </si>
  <si>
    <t>Comisie concurs post didactic pe perioada determinata, semestrul 2, an univ. 2022-2023 Asistent universitar pozitia 69 dep. Calculatoare și Inginerie Electrică</t>
  </si>
  <si>
    <t>Concurs Asistent universitar, pozitia 68 per. determinata, sem II 2022-2023</t>
  </si>
  <si>
    <t>Concurs Asistent universitar, pozitia 70 per. determinata, sem II 2022-2023</t>
  </si>
  <si>
    <t>membru în comisii de concurs pentru ocuparea posturilor didactice</t>
  </si>
  <si>
    <t>Comisia pentru informatizare, imagine si publicitate 2020 - 2024</t>
  </si>
  <si>
    <t>Membru consiliul de administrație</t>
  </si>
  <si>
    <t>Consiliul Editorial ULBS (HCA - 1 / 12.01.2022)</t>
  </si>
  <si>
    <t xml:space="preserve">Comisia pentru învățământ și evaluarea calității (CF - 13.07.2020) </t>
  </si>
  <si>
    <t xml:space="preserve">Comisia pentru baza materială și sănătatea și securitatea în muncă (CF - 13.07.2020) </t>
  </si>
  <si>
    <t>Comisia Evaluarea si Asigurarea Calitatii (SCEAC) HCA 27 din 15 iulie 2020</t>
  </si>
  <si>
    <t xml:space="preserve">Comisie GRADIS 2022 la nivel de facultate decizie nr.412/19.06.2023 </t>
  </si>
  <si>
    <t>Concurs asistent universitar, pozitia 68 per. Determinata</t>
  </si>
  <si>
    <t>Comisia colaborari interne</t>
  </si>
  <si>
    <t>Comisie etica Florea</t>
  </si>
  <si>
    <t>Comisia CF pentru invatamant si asigurarea calitatii</t>
  </si>
  <si>
    <t>Comisia CF pentru baza materiala si SSM</t>
  </si>
  <si>
    <t>Comisia CF pentru intocmire orar</t>
  </si>
  <si>
    <t>Consiliul departamentului CIE</t>
  </si>
  <si>
    <t>Consiliul facultatii de Inginerie</t>
  </si>
  <si>
    <t>Senatul universitatii ULBS</t>
  </si>
  <si>
    <t xml:space="preserve">Membru Comisia patrimoniu și dezvoltare organizațională (la senat) </t>
  </si>
  <si>
    <t>Comisia pentru cercetare stiintifica (facultate)</t>
  </si>
  <si>
    <t>Comisia pentru procesul de raportare GRADIS</t>
  </si>
  <si>
    <t xml:space="preserve">Comisia de admitere (prelucrare date si generare clasamente, pregatire Sali concurs, corectura, </t>
  </si>
  <si>
    <t xml:space="preserve">Comisia de analiza a indeplinirii standardelor ULBS (post poz 68, 69, 70, </t>
  </si>
  <si>
    <t>Membru în Consiliul Facultății</t>
  </si>
  <si>
    <t>CF-2, comisia pentru cercetare științifică</t>
  </si>
  <si>
    <t>CF-7.2, comisia pentru sănătatea și securitatea în muncă</t>
  </si>
  <si>
    <t>Comisia responsabilă cu procesul de raportare GRADIS</t>
  </si>
  <si>
    <t>Concurs post, s2, poz. 69, comisie concurs</t>
  </si>
  <si>
    <t>Membru Comisie Admitere</t>
  </si>
  <si>
    <t>ocupare post didactic poz 70</t>
  </si>
  <si>
    <t>membru comisie admitere</t>
  </si>
  <si>
    <t>COMISIA FACULTATII DE INGINERIE, Admitere 2022</t>
  </si>
  <si>
    <t>Membru comisie evaluare Gradis</t>
  </si>
  <si>
    <t>Comisia admitere</t>
  </si>
  <si>
    <t>Membru comisie concurs post asist univ,  poziție 68</t>
  </si>
  <si>
    <t>Bouleanu IUlian</t>
  </si>
  <si>
    <t xml:space="preserve">Membru comisie concurs post asist univ,  poziție 69 </t>
  </si>
  <si>
    <t>membru Consiliul al Facultatii</t>
  </si>
  <si>
    <t>membru in Comisia socială și activități studențești</t>
  </si>
  <si>
    <t>membru in Colectivul pentru sanatatea și securitatea in munca</t>
  </si>
  <si>
    <t>membru în Colectivul de intocmire al orarului:</t>
  </si>
  <si>
    <t>membru în Comisia de admitere în an superior</t>
  </si>
  <si>
    <t>membru in comisia de admitere</t>
  </si>
  <si>
    <t>membru in comisia de analiza a standardelor ULBS concurs poz.68</t>
  </si>
  <si>
    <t>membru in comisia de analiza a standardelor ULBS concurs poz.69</t>
  </si>
  <si>
    <t>membru in comisia de verificare Gradis -departament</t>
  </si>
  <si>
    <t>Evaluarea si Asigurarea Calitatii</t>
  </si>
  <si>
    <t>Membru Comisia de analiză a indeplinirii standardelor ULBS, pentru posturile de concurs:
- post poz.68</t>
  </si>
  <si>
    <t>Comisie de admitere</t>
  </si>
  <si>
    <t xml:space="preserve">Admitere 2022-2023 </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</si>
  <si>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</si>
  <si>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</si>
  <si>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</si>
  <si>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</si>
  <si>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</si>
  <si>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</si>
  <si>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</si>
  <si>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Consultații</t>
  </si>
  <si>
    <t>Tutorat - Mecatronica, anul 4</t>
  </si>
  <si>
    <t>Tutorat - Mecatronica Engleza, anul 4</t>
  </si>
  <si>
    <t>Tutorat ISPD</t>
  </si>
  <si>
    <t>Consultatii</t>
  </si>
  <si>
    <t>Tutorat 3 Mec ENG</t>
  </si>
  <si>
    <t>Tutorat 3 Mec RO</t>
  </si>
  <si>
    <t>Practica 3 Mec ENG</t>
  </si>
  <si>
    <t>Practica 3 Mec RO</t>
  </si>
  <si>
    <t>Tutorat an I SCCCDP</t>
  </si>
  <si>
    <t>Consultații discipline norma de bază</t>
  </si>
  <si>
    <t>Consultații TTC, IEI</t>
  </si>
  <si>
    <t>Tutorat II IEI</t>
  </si>
  <si>
    <t>Practica II IEI</t>
  </si>
  <si>
    <t>Tutorat III SPD</t>
  </si>
  <si>
    <t>practica III SPD</t>
  </si>
  <si>
    <t>consultatii</t>
  </si>
  <si>
    <t>Mecatronică I</t>
  </si>
  <si>
    <t>Mecatronica Eng I</t>
  </si>
  <si>
    <t>Robotica IV</t>
  </si>
  <si>
    <t>Tutorat, Robotică an 1</t>
  </si>
  <si>
    <t xml:space="preserve">Florea Adriana </t>
  </si>
  <si>
    <t>Tutoriat III IEI</t>
  </si>
  <si>
    <t>consultații</t>
  </si>
  <si>
    <t>Tutorat III TTC</t>
  </si>
  <si>
    <t>Practica de specialitate, III TTC</t>
  </si>
  <si>
    <t>Consultatii, TCM, SPD, ITT</t>
  </si>
  <si>
    <t>RACZ Sever Gabriel</t>
  </si>
  <si>
    <t xml:space="preserve">consultatii </t>
  </si>
  <si>
    <t>Tutorat - Robotică, anul 3</t>
  </si>
  <si>
    <t>Pratica de domeniu - Robotică, anul 3</t>
  </si>
  <si>
    <t>TUTORAT, anul III, IEI</t>
  </si>
  <si>
    <t>Consultații proiecte diplomă, IV, TTC+IEI</t>
  </si>
  <si>
    <t>Practica</t>
  </si>
  <si>
    <t>tutoriat: an II mSMA</t>
  </si>
  <si>
    <t>practica profesionala 1, 2: an II mSMA</t>
  </si>
  <si>
    <t>12 ore/sapt x14</t>
  </si>
  <si>
    <t>Consultații (conform activit din NB)</t>
  </si>
  <si>
    <t>Tutorat, Sisteme de producție digitale an 4</t>
  </si>
  <si>
    <t>Tutorat - Mecatronică (lb. engleză), anul 2</t>
  </si>
  <si>
    <t>Tutorat - Mecatronică (lb română), anul 2</t>
  </si>
  <si>
    <t>Practica Mecatronică (lb. engleză</t>
  </si>
  <si>
    <t>Practica Mecatronică</t>
  </si>
  <si>
    <t>Tutorat</t>
  </si>
  <si>
    <t>Tutorat I SMA</t>
  </si>
  <si>
    <t>Practica profesionala, sem. 1, I SMA</t>
  </si>
  <si>
    <t>Practica profesionala, sem. 2, I SMA</t>
  </si>
  <si>
    <t>Tutorat II Robotică</t>
  </si>
  <si>
    <t>Consultații discipline din norma de bază</t>
  </si>
  <si>
    <t>practica  II Robotica</t>
  </si>
  <si>
    <t>Tutorat 2 SPD</t>
  </si>
  <si>
    <t>Tutorat 2 SCCDP</t>
  </si>
  <si>
    <t>Practica 2 SPD</t>
  </si>
  <si>
    <t>Practica profesionala 2 SCCDP</t>
  </si>
  <si>
    <t>CONSULTATII</t>
  </si>
  <si>
    <t>Tutorat, anul IV TTC</t>
  </si>
  <si>
    <t>Consultații, TTC, IEI</t>
  </si>
  <si>
    <t>Consultații pentru examenele Bazele așchierii și generării suprafețelor II (III TCM și SPD),Transporturi speciale (IV ITT), Transport multimodal (IV ITT),Tehnici de asamblare în TDDH 2 (II TDDH), Logistica activităților de expediție și transport (II LI)</t>
  </si>
  <si>
    <t>Tutoriat gr. 112, I TCM</t>
  </si>
  <si>
    <t>Tutore an II TDDH</t>
  </si>
  <si>
    <t>Fălădău (Gligor) Alina</t>
  </si>
  <si>
    <t>Tutorat anul II TDDH / 522</t>
  </si>
  <si>
    <t>Practica de specialitate</t>
  </si>
  <si>
    <t>Consultatii curs Ingineria Calitatii IEDM3+IEI3</t>
  </si>
  <si>
    <t>Tutore Master Managementul calitatii I</t>
  </si>
  <si>
    <t>Tutore Master Managementul calitatii II</t>
  </si>
  <si>
    <t>Practica 1 - mMC an II</t>
  </si>
  <si>
    <t>Practica 2 - mMC an II</t>
  </si>
  <si>
    <t>Tutorat anul IV TCM / 141</t>
  </si>
  <si>
    <t>Consultatii cursuri</t>
  </si>
  <si>
    <t>Practică cercetare an II master MP, semestrul I+II, 12 ore/săpt. X 28 săpt.</t>
  </si>
  <si>
    <t>TUTORAT-ANUL I STIF</t>
  </si>
  <si>
    <t>TUTORAT-ANUL II STIF</t>
  </si>
  <si>
    <t xml:space="preserve">Practică de specialitate(profesionala) an I master STIF, semestre I+II, 12 ore/săpt. x 28 săptămâni </t>
  </si>
  <si>
    <t xml:space="preserve">Practică, an II master  STIF, semestrele I+II, (12+14) ore/săpt. x 14 săptămâni </t>
  </si>
  <si>
    <t>Tutorat anul II TCM / 122</t>
  </si>
  <si>
    <t>Practica de specialitate / 122</t>
  </si>
  <si>
    <t xml:space="preserve"> Consultatii</t>
  </si>
  <si>
    <t>Tutorat - an II TCM, grupa 121</t>
  </si>
  <si>
    <t>Tutorat anul 1 IPMI</t>
  </si>
  <si>
    <t>Practică de specialitate</t>
  </si>
  <si>
    <t>tutorat</t>
  </si>
  <si>
    <t>Miricescu Dan, Moraru Gina-Maria</t>
  </si>
  <si>
    <t>FING3, FING3</t>
  </si>
  <si>
    <t xml:space="preserve">Practică profesională, an I master MAI, semestre I+II, 12 ore/săpt. x 28 săptămâni </t>
  </si>
  <si>
    <t xml:space="preserve">Practică de cercetare, an II master MAI, semestre I+II, 12 ore/săpt. x 28 săptămâni </t>
  </si>
  <si>
    <t xml:space="preserve">Rosca Nicolae </t>
  </si>
  <si>
    <t>Consultatii (TDDH, IPMI, ITT, TCM, Mec, SPD)</t>
  </si>
  <si>
    <t>Tutorat, Inginerie economică în domeniul
mecanic, IV, grupa 441</t>
  </si>
  <si>
    <t>consultatii an IV IEDM</t>
  </si>
  <si>
    <t>Consultatii studenti</t>
  </si>
  <si>
    <t>Tutorat anul 2, ITT, grupa 424, zi</t>
  </si>
  <si>
    <t>Tutorat an III IPMI</t>
  </si>
  <si>
    <t>Consultații licență/disertație</t>
  </si>
  <si>
    <t>Tutorat an 1 IEDM</t>
  </si>
  <si>
    <t>Practica de specialitate MC an 1, semestrul 1</t>
  </si>
  <si>
    <t>Practica de specialitate MC an 1, semestrul 2</t>
  </si>
  <si>
    <t xml:space="preserve"> practica, an I mMP</t>
  </si>
  <si>
    <t>Tutorat (an III ITT)</t>
  </si>
  <si>
    <t>consultaţii</t>
  </si>
  <si>
    <t>Consultaţii</t>
  </si>
  <si>
    <t>Miricescu Dan, Moraru Gina Maria</t>
  </si>
  <si>
    <t>Practică profesională an I master MAI, semestrul I+II, 12 ore/săpt. X 28 săpt.</t>
  </si>
  <si>
    <t>Practică de cercetare an I master MAI, semestrul I+II, 12 ore/săpt. X 28 săpt.</t>
  </si>
  <si>
    <t>Tutore an I master MAI</t>
  </si>
  <si>
    <t>Tutore an II master MAI</t>
  </si>
  <si>
    <t>Tutorat gr. 111, I TCM</t>
  </si>
  <si>
    <t>practica</t>
  </si>
  <si>
    <t>Tutorat Anul I+II Managementul Proiectelor</t>
  </si>
  <si>
    <t>Tutorat an IV ITT, an i si II LI</t>
  </si>
  <si>
    <t>200 x3</t>
  </si>
  <si>
    <t>Practica profesionala anul I master LI</t>
  </si>
  <si>
    <t>Practica profesionala anul II master LI</t>
  </si>
  <si>
    <t>Consultatii, ITT, LI</t>
  </si>
  <si>
    <t>Tutorat 532 TDDH</t>
  </si>
  <si>
    <t>Practica 532 TDDH</t>
  </si>
  <si>
    <t>Practica profesionala - an 2 C sem 2</t>
  </si>
  <si>
    <t>Practica profesionala - an 2 ICAI sem 1 - 12 ore*14 sapt</t>
  </si>
  <si>
    <t>Practică de specialitate, anul 3 EM</t>
  </si>
  <si>
    <t>Tutorat I ES</t>
  </si>
  <si>
    <t>Tutorat II ES</t>
  </si>
  <si>
    <t xml:space="preserve">Practica II ES </t>
  </si>
  <si>
    <t>56,00</t>
  </si>
  <si>
    <t xml:space="preserve">tutorat AAIE anii 1 si 2 </t>
  </si>
  <si>
    <t>2*200</t>
  </si>
  <si>
    <t>Practica de cercetare anul II AAIE, sem 1</t>
  </si>
  <si>
    <t>12*14</t>
  </si>
  <si>
    <t>Practica cercetare - an 2 ACS sem 2 - 14 ore*14 sapt</t>
  </si>
  <si>
    <t>Practica profesionala - an 1 ICAI sem 2 - 12 ore/sapt * 14 sapt</t>
  </si>
  <si>
    <t>Crețulescu Radu George</t>
  </si>
  <si>
    <t>Practica an 3 TI</t>
  </si>
  <si>
    <t>Practică profesională, Embedded Systems, Anul 1, Sem. 2 (12 ore * 14 săpt.)</t>
  </si>
  <si>
    <t>Practica de specialitate  235, An 3 ISM</t>
  </si>
  <si>
    <t>practica 2C</t>
  </si>
  <si>
    <t>Tutorat an I EA</t>
  </si>
  <si>
    <t>Practica an 3 C</t>
  </si>
  <si>
    <t>Practica Electronica Aplicata an III</t>
  </si>
  <si>
    <t>Practica master Embedded Systems an I</t>
  </si>
  <si>
    <t>Practica de specialitate - an 3 TI sem 2</t>
  </si>
  <si>
    <t>practica grp. 233</t>
  </si>
  <si>
    <t>Practică de specialitate, anul II EM</t>
  </si>
  <si>
    <t>Practica de specialitate- an II EM - 12 ore/sapt * 14 sapt</t>
  </si>
  <si>
    <t>Consultatii an II EM grupa 321</t>
  </si>
  <si>
    <t>Tutoriat an II EM grupa 321</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</si>
  <si>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</si>
  <si>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</si>
  <si>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</si>
  <si>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</si>
  <si>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</si>
  <si>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</si>
  <si>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 xml:space="preserve"> Coordonare echipa pentru concursul national studențesc Rezistenta materialelor</t>
  </si>
  <si>
    <t>Sesiunea de comunicări științifice studențești, 26 mai 2023, membru comisie "Secţiunea IV BAZELE PROIECTARII MASINILOR"</t>
  </si>
  <si>
    <t>Sesiunea de comunicări ştiinţifice studenţeşti, 2023, membru secțiunea VII, Mașini, utilaje șI automatizarea proceselor tehnologice</t>
  </si>
  <si>
    <t>Lucrare sesiunea de comunicari stiintifice studentesti, Studiul si proiectarea sistemului de automatizare a unui element de filtrare, Trusca Robert-Ilie, IVSPD</t>
  </si>
  <si>
    <t>Coordonare echipa ZEM - proba Sisteme mecatronice</t>
  </si>
  <si>
    <t>Sesiunea de comunicări ştiinţifice studenţeşti, 2023, președinte secțiunea VIII, Mecatronică și Roboți</t>
  </si>
  <si>
    <t xml:space="preserve">Coordonare echipa Olimpiada de mecatronica 2023 </t>
  </si>
  <si>
    <t>Sesiunea de comunicari stiintifice studentesti - membru secțiunea VIII, Mecatronică și Roboți</t>
  </si>
  <si>
    <t>Lucrare sesiunea de comunicari stiintifice studentesti</t>
  </si>
  <si>
    <t>6*10</t>
  </si>
  <si>
    <t>Coordonare echipa studenti competitie ZEM</t>
  </si>
  <si>
    <t>Concursul de roboti mobili - powered by Marquardt (ediția a VI-a, etapa I - viteză), 22 noiembrie 2022, 40 echipe, 90 de participanti, membru in comitetul de organizare https://inginerie.ulbsibiu.ro/fara-categorie/concursul-de-roboti-mobili-powered-by-marquardt-rezultate-etapa-i-editia-a-vi-a/</t>
  </si>
  <si>
    <t>Concursul de roboti mobili - powered by Marquardt (ediția a VI-a, etapa a II-a - obstacole), 1 martie 2023,  40 echipe, 90 de participanti, membru in comitetul de organizare https://inginerie.ulbsibiu.ro/fara-categorie/concursul-de-roboti-mobili-powered-by-marquardt-etapa-a-ii-a-editia-a-vi-a/</t>
  </si>
  <si>
    <t>Coordonare echipa CyberTech pentru participarea la cocursul internațional de robotică EUROBOT (17-23 mai, La Roche-sur-Yon, Franța)
https://www.ulbsibiu.ro/news/studentii-facultatii-de-inginerie-din-cadrul-ulbs-premiati-la-olimpiada-nationala-de-mecatronica-si-participanti-la-concursul-international-de-robotica-eurob/</t>
  </si>
  <si>
    <t>Sesiunea de Comunicari Stiintifice Studențești 2023 - Facultatea de Inginerie, 26 mai 2023 - organizator principal</t>
  </si>
  <si>
    <t>Sesiunea de comunicari stiintifice studentesti, Inginerie, membru in comitetul de organizare</t>
  </si>
  <si>
    <t>Sesiunea de comunicari stiintifice studentesti, Secţiunea XIV: TEHNOLOGII TEXTILE, 26 mai 2023, 11 stud., membru in comitetul stiintific)</t>
  </si>
  <si>
    <t>Sesiunea de comunicari stiintifice studentesti, Secţiunea XIV: TEHNOLOGII TEXTILE, 26 mai 2023, 11 stud., coordonare lucrare stiintifica prezentata la conferinta)</t>
  </si>
  <si>
    <t>Coordonator echipa CONCURS STUDENŢESC NAȚIONAL EXTRACURRICULAR TEHNICO–ŞTIINŢIFIC: Grafică Inginerească cu AutoCAD”</t>
  </si>
  <si>
    <t>Sesiunea de comunicări științifice studențești, 26 mai 2023, secretar comisie Secţiunea VII: MASINI, UTILAJE ȘI AUTOMATIZAREA PROCESELOR TEHNOLOGICE</t>
  </si>
  <si>
    <t>Concursul de roboti mobili - powered by Marquardt (ediția a VI-a, etapa I), 22.11.2022, , membru in comitetul de organizare</t>
  </si>
  <si>
    <t>Concursul de roboti mobili - powered by Marquardt (ediția a VI-a, etapa a II-a), 01.03.2023, membru in comitetul de organizare</t>
  </si>
  <si>
    <t>Zilele Educatiei Mecatronice/Competitie nationala/ Coordonator</t>
  </si>
  <si>
    <t>Sesiunea de comunică științifice, 26.05.2023, coordonare lucrare "Realizarea unei platforme online pentru evidența situației școlare", coordonare Asist. drd. ing. Gabriela-Petruța RUSU, Asist. drd. ing. Fineas MORARIU</t>
  </si>
  <si>
    <t>Sesiunea de comunică științifice, 26.05.2023, coordonare lucrare "Studiul și proiectarea unui sitem inteligent de irigare a solului", coordonare Asist. drd. ing. Gabriela-Petruța RUSU</t>
  </si>
  <si>
    <t>Sesiunea de comunică științifice, 26.05.2023, coordonare lucrare "Studiul și proiectarea unui sistem de securitate pentru locuințe", coordonare Asist. drd. ing. Gabriela-Petruța RUSU</t>
  </si>
  <si>
    <t>Sesiunea de comunică științifice, 26.05.2023, coordonare lucrare "Realizarea unei aplicații pentru corelarea datelor din pachetul office", coordonare Asist. drd. ing. Gabriela-Petruța RUSU</t>
  </si>
  <si>
    <t>Sesiunea de comunică științifice, 26.05.2023, coordonare lucrare "Studiul și proiectarea unui acumulator din celule folosite", coordonare Asist. drd. ing. Gabriela-Petruța RUSU</t>
  </si>
  <si>
    <t>Sesiunea de comunică științifice, 26.05.2023, coordonare lucrare "Studiul și proiectarea unei prese pentru reciclare", coordonare Asist. drd. ing. Gabriela-Petruța RUSU</t>
  </si>
  <si>
    <t>Concursul de roboți mobili - Power by Marquardt, ediția a VI-a, etapa I, 22 Noiembrie 2022, membru în comitetul de organizare</t>
  </si>
  <si>
    <t>Concursul de roboți mobili - Power by Marquardt, ediția a VI-a, etapa II, 1 Martie 2023, membru în comitetul de organizare</t>
  </si>
  <si>
    <t>Coordonare echipă participantă la olimpiada de Mecatronica ZEM 2023</t>
  </si>
  <si>
    <t>Coordonare echipă participantă la concursul internațional Eurobot 17-20 mai 2023, în La Roche-sur-Yon, Franța</t>
  </si>
  <si>
    <t>Sesiunea de Comunicari Stiintifice Studentesti; Simpozion studentesc, 26 mai 2023. Peste 100 de participanti. Coordonator lucrare studenteasca</t>
  </si>
  <si>
    <t>Simpozion Științific Studențesc, HD-53-STUD; Simpozion studentesc. 12-13 mai 2023. Peste 100 de participanti. Coordonator lucrare studenteasca</t>
  </si>
  <si>
    <t>Simpozion Științific Studențesc, HD-53-STUD; Simpozion studentesc. 12-12 mai 2023. Peste 100 de participanti. Comitet stiintific</t>
  </si>
  <si>
    <t>International Exhibition INVENTCOR 4th Edition. Peste 100 de participanti. Coordonator lucrare studenteasca</t>
  </si>
  <si>
    <t>Concursul de roboti mobili - Power by Marquardt, editia a VI-a, etapa I, 22 noirmbrie 2022, membru in comitetul de organizare</t>
  </si>
  <si>
    <t>Concursul de roboti mobili - Power by Marquardt, editia a VI-a, etapa II, 1 martie 2023, membru in comitetul de organizare</t>
  </si>
  <si>
    <t>23.11.2022: Vizita de documentare cu studentii la SC JOYSON SYSTEMS SRL- 25 studenti</t>
  </si>
  <si>
    <t>14.12.2022: Vizita de documentare cu studentii la SC HIPIC PROD SRL- 60 studenti</t>
  </si>
  <si>
    <t>Sesiunea de comunicări ştiinţifice studenţeşti, 2023, membru comisie Secţiunea XV: TEHNOLOGII TEXTILE</t>
  </si>
  <si>
    <t>Lucrari sesiunea de comunicari stiintifice studentesti</t>
  </si>
  <si>
    <t>2*10</t>
  </si>
  <si>
    <t>vizita de documentare cu studenții S.C. HIPIC PROD Sibiu, 14.12.2022</t>
  </si>
  <si>
    <t>8 x 1</t>
  </si>
  <si>
    <t xml:space="preserve">Coordonare echipă participantă la concursul ZEM 2023 </t>
  </si>
  <si>
    <t>Sesiunea de comunicări științifice studențești, 26 mai 2023, secretar comisie "Secţiunea VIII MECATRONICĂ ŞI ROBOŢI"</t>
  </si>
  <si>
    <t>Sesiunea de comunicări științifice studențești, 26 mai 2023, coordonare lucrare "Direcții de cercetare pentru eficientizarea consumului energetic al locuințelor mici", student Rareș-Mihai MALENE (an 3 Mecatronica), conducator stiintific Asist. drd. ing. Mihai-Octavian POPP, Asist. dr. ing. Alexandru BÂRSAN</t>
  </si>
  <si>
    <t>Sesiunea de comunicări științifice studențești, 26 mai 2023, coordonare lucrare "Studiul unor sisteme de automatizare destinate unei case inteligente", studenti Ionuț-Lucian DIACONU, Radu-Petru IMBĂRUȘ, Andrei-Eduard MOZA (an 3 Robotica), conducator stiintific Asist. drd. ing. Mihai-Octavian POPP, Asist. dr. ing. Alexandru BÂRSAN</t>
  </si>
  <si>
    <t>Concursul de roboti mobili - powered by Marquardt (ediția a VI-a, etapa I), 22 noiembrie 2023, 173 de participanti, membru in comitetul de organizare</t>
  </si>
  <si>
    <t>Concursul de roboti mobili - powered by Marquardt (ediția a VI-a, etapa II), 1 martie 2023, 173 de participanti, membru in comitetul de organizare</t>
  </si>
  <si>
    <t>Coordonare echipa studenti - Olimpiada Nationala de Mecatronica 2023, Sectiunea "Sisteme mecatronice de zbor fara pilot"</t>
  </si>
  <si>
    <t>Lucrari coordonate sesiunea de comunicari stiintifice studentesti</t>
  </si>
  <si>
    <t>3 x 10</t>
  </si>
  <si>
    <t>Excursie de studii - Bekaert-Deslee, Miercurea Sibiului - studenti IEI + TTC - 16.11.2023</t>
  </si>
  <si>
    <t>Excursie de studii - HipicProd, Sibiu - studenți IEI + TTC - 04.10.2023</t>
  </si>
  <si>
    <t>Excursie de studii - Prada, Sibiu - studenți IEI + TTC - 14.12.2022</t>
  </si>
  <si>
    <t>Excursie de studii - Romanofir, Tălmaciu - studenți IEI_20.11.2023</t>
  </si>
  <si>
    <t>Excursie de studii - Joyson Safety Systems, Sibiu - studenți IEI_23.11.2022</t>
  </si>
  <si>
    <t>Excursie de studii - Romtap, Cisnădie - studenți IEI_25.05.2023</t>
  </si>
  <si>
    <t>Sesiunea de comunicari stiintifice studentesti 26.05.2023, presedinte comisie sect. VII "Mașini, Utiliaje și Automatizarea proceselor tehnologice"</t>
  </si>
  <si>
    <t>Sesiunea de comunică științifice, 26.05.2023, coordonare lucrare "Studiul unui sistem inteligent de mentenanță", coordonare conf. dr. ing. Ilie Popp</t>
  </si>
  <si>
    <t>Sesiunea de comunică științifice, 26.05.2023, coordonare lucrare "Sistem de monitorizare componente (MCCM- machine component condition monitoring)", coordonare conf. dr. ing. Ilie Popp</t>
  </si>
  <si>
    <t>Sesiunea de comunică științifice, 26.05.2023, coordonare lucrare "Studiul unui robot de gravat in 2 axe", coordonare conf. dr. ing. Ilie Popp</t>
  </si>
  <si>
    <t xml:space="preserve">Sesiunea de Comunicări Științifice Studențești 2022, secretar comisie secțiunea IV, BPM </t>
  </si>
  <si>
    <t>Concursul de Roboți Mobili</t>
  </si>
  <si>
    <t>Sesiunea de Comunicări Științifice Studențești - Președinte Secțiune Bazele Proiectării Mașinilor</t>
  </si>
  <si>
    <t>Coordonare pregătire echipa studenți pentru Concursul Național de Rezistența Materialelor „C.C. Teodorescu” (Faza națională a avut loc intre 11-13 mai 2023, la Universitatea Politehnica Timișoara)</t>
  </si>
  <si>
    <t>Sesiunea de comunicări științifice studențești, 26.05.2022, secretar comisie "Secţiunea VIII MECATRONICĂ ŞI ROBOŢI"</t>
  </si>
  <si>
    <t>Sesiunea de comunică științifice, 26.05.2023, coordonare lucrare "Studiul și proiectarea unui robot mobil urmăritor de linie", coordonare Ș.l. Mihai Crengăniș, Asist. drd. ing. Mihai-Octavian POPP</t>
  </si>
  <si>
    <t>Sesiunea de comunică științifice, 26.05.2023, coordonare lucrare "Direcții de cercetare pentru eficientizarea consumului energetic al locuințelor mici", coordonare Asist. drd. ing. Mihai-Octavian POPP, Asist. dr. ing. Alexandru BÂRSAN</t>
  </si>
  <si>
    <t>Sesiunea de comunică științifice, 26.05.2023, coordonare lucrare "Studiul și proiectarea unui panou fotovoltaic cu orientare automată după sursă de lumină", coordonare Asist. drd. ing. Mihai-Octavian POPP, Asist. cercetare Timotei MORARIU</t>
  </si>
  <si>
    <t>Sesiunea de comunică științifice, 26.05.2023, coordonare lucrare "Studiul unor sisteme de automatizare destinate unei case inteligente", coordonare Asist. drd. ing. Mihai-Octavian POPP, Asist. dr. ing. Alexandru BÂRSAN</t>
  </si>
  <si>
    <t>Sesiunea de comunică științifice, 26.05.2023, coordonare lucrare "Studiul și proiectarea unui termometru digital pentru măsurarea temperaturii la distanță", coordonare Asist. drd. ing. Mihai-Octavian POPP, Asist. cercetare Fineas MORARIU</t>
  </si>
  <si>
    <t>Sesiunea de comunică științifice, 26.05.2023, coordonare lucrare "Studiul și proiectarea unui sistem automat de irigare și monitorizare a plantelor", coordonare Asist. drd. ing. Mihai-Octavian POPP, Asist. cercetare Adrian-Iosif MAROȘAN</t>
  </si>
  <si>
    <t>Coordonare echipă participantă la concursul național "Zilele Educației Mecatronice", 23-26 mai 2023, în Cluj-Napoca</t>
  </si>
  <si>
    <t>Coordonare echipă studenti - Olimpiada Nationala de Mecatronica 2023, Sectiunea "Sisteme mecatronice de zbor fara pilot"</t>
  </si>
  <si>
    <t>FING7</t>
  </si>
  <si>
    <t>Sesiunea de comunicări științifice studențești, 26 mai 2023, coordonare lucrare "Studiul și proiectarea unui termometru digital pentru măsurarea temperaturii la distanță", studenti Remus-Aurel ACHIM, Ioan-Valentin DRAGOȘ, Dragoș COMȘA, (an 3 MEC) conducator stiintific Asist. drd. ing. Mihai-Octavian POPP, Asist. drd. ing.Fineas Morariu</t>
  </si>
  <si>
    <t>FING8</t>
  </si>
  <si>
    <t>Sesiunea de comunicări științifice studențești, 26 mai 2023, coordonare lucrare "Realizarea unei platforme online pentru evidența situației școlare", studenti Vlad ROMAN, Ovidiu-Ilie OPINCARIU, Andrei-Florin OPRIȘ, (an 3 MEC) conducator stiintific Asist. drd. ing. Gabriela-Petruța Rusu, Asist. drd. ing. Fineas Morariu</t>
  </si>
  <si>
    <t>SESIUNEA DE COMUNICĂRI ŞTIINŢIFICE STUDENŢEŞTI SIBIU, 2023 - membru in comitetul stiintic la sectiunea Tehnologii textile</t>
  </si>
  <si>
    <t>Coordonare echipe Olimpiada de mecatronica ZEM 2023, Cluj Napoca,  23-26. 05.2023</t>
  </si>
  <si>
    <t>Sesiunea de comunicări ştiinţifice studenţeşti, 2023, membru secțiunea VII, Mașini, utilaje și automatizarea proceselor tehnologice</t>
  </si>
  <si>
    <t>Concursul de Roboti mobili</t>
  </si>
  <si>
    <t>Coordonare lucrari sesiunea de comunicari stiintifice studentesti</t>
  </si>
  <si>
    <t>7*10</t>
  </si>
  <si>
    <t>Coordonare lucrare la Cadet INOVA 2023, Innovative technology for upper limb rehabilitation using virtual reality and leap motion controller, Topa Ionut &amp;Rusu Dan</t>
  </si>
  <si>
    <t>Coordonare echipa Olimpiada de mecatronica Sectiunea Realizari mecatronice</t>
  </si>
  <si>
    <t>MEMBRU IN COMITETUL ȘTIINȚIFIC Sesiune Com St. Studentesti</t>
  </si>
  <si>
    <t>COORDONARE LUCRARE STUDENTEASCA PREZENTATA Sesiune Com St. Studentesti (premiul II)</t>
  </si>
  <si>
    <t>Beotu Robert-Marian</t>
  </si>
  <si>
    <t xml:space="preserve">coordonare echipa de studenti pentru competitia "Managementul proiectelor investitionale" </t>
  </si>
  <si>
    <t>Sesiunea de comunicări științifice studențești, Sibiu, 2023. Teodora Maria Cazan, anIII IEDM, Diana Banciu, an III IEDMA, facere inovativă – Dezvoltarea unui nou produs, Vesta High Tech Evolution</t>
  </si>
  <si>
    <t xml:space="preserve">Sesiunea de comunicări Științifice studențești, Sibiu, 2023. Diana Banciu, an III IEDM, Teodora Maria Cazan, an III IEDM, Afacere inovativa - Dezvoltarea unui nou produs - Caserola Heat@Eat. </t>
  </si>
  <si>
    <t>Concursul de roboti mobili - powered by Marquardt (ediția a VI-a, etapa I - viteză), , 40 echipe, 90 de participanti, membru in comitetul de organizare https://inginerie.ulbsibiu.ro/fara-categorie/concursul-de-roboti-mobili-powered-by-marquardt-rezultate-etapa-i-editia-a-vi-a/</t>
  </si>
  <si>
    <t>Coordonare lucrări sesiunea de comunicări științifice sudențești,Inginerie, 26.05.2023</t>
  </si>
  <si>
    <t>Participare vizită de documentare cu studenții TTC și IEI la societatea SC Joyson Safety Systems Sibiu SRL, 23.11.2022, 25 participanți</t>
  </si>
  <si>
    <t>Participare vizită de documentare cu studenții TTC și IEI la societatea  SC Hipic Prod SRL,  Sibiu, 14.12. 2022, 60 participanți</t>
  </si>
  <si>
    <t>Sesiunea de comunicări științifice studențești, ULB Sibiu, 26 Mai 2023, Coordonare lucrare studențească prezentată la conferință. Studii asupra proiectării protezelor de șold (Autor: Maria Cristina GASTON, an IV TCM)</t>
  </si>
  <si>
    <t>Coordonare lucrare prezentată la Sesiunea de Comunicări Ştiinţifice - Fac de Inginerie
Cogenerarea și trigenerarea: Principii de funcționare și avantaje - VLAD ALEXANDRA MARIA - AN 4 TDDH.</t>
  </si>
  <si>
    <t xml:space="preserve">Vizita documentare studenti an 3 TDDH - Subtraversare obiective cu C.T.G.N. prin foraj orizontal </t>
  </si>
  <si>
    <t>Petrescu Valentin, Fălădău Maria Alina</t>
  </si>
  <si>
    <t>Sesiunea de comunicari stiintifice studentesti, Stiintific, 26.05.2023,39 studenti,Sectiunea Ingineria Gazelor, Coordonator, ''Modernizarea unei statii de reglare masurare gaze naturale din punct de vedere tehnologic si ecologic'', Autori: Loredana-Maria Veresezan, an III TDDH
Nicolae-Adrian Samartinean, an III TDDH</t>
  </si>
  <si>
    <t>Sesiunea de comunicari stiintifice studentesti, Stiintific, 26.05.2023,39 studenti,Sectiunea Ingineria Gazelor, Coordonator, ''Evaluarea riscurilor la Staţia de comprimare Botorca'', Autori: Andeas-Alfred Kurti, an IV TDDH</t>
  </si>
  <si>
    <t xml:space="preserve"> Fălădău Maria Alina, Augustin STOICA</t>
  </si>
  <si>
    <t>Sesiunea de comunicari stiintifice studentesti, Stiintific, 26.05.2023,39 studenti,Sectiunea Ingineria Gazelor, Coordonator, ''Automatizarea și modernizarea SRM-urilor aferente gazelor naturale'', Roșca Nicolae Adrian, IV TDDH Moldovan Ionuţ Daniel, an IV TDDH</t>
  </si>
  <si>
    <t>Sesiunea de comunicari stiintifice studentesti, Stiintific, 26.05.2023,39 studenti,Sectiunea Ingineria Gazelor, Coordonator, 'Optimizarea activității de dispecerizare a fluxurilor de gaze cu ajutorul sistemului SCADA'', Autori: Miclea Paul Antonio, an IV TDDH, FR</t>
  </si>
  <si>
    <t>coordonare de echipa pentru competitii 2 echipe</t>
  </si>
  <si>
    <t>Asistență în organizarea sesiunii țtiințifice studențești, mai 2022</t>
  </si>
  <si>
    <t xml:space="preserve">Membru în comisia Secțiunii Inginerie Economică - Management la Sesiunea Științifică Studențească </t>
  </si>
  <si>
    <t>Coordonare lucrare studențească prezentată la Sesiunea Științifică Studențească din 23 mai 2023, Facultatea de Inginerie (ULBS): Studiu de oportunitate privind dezvoltarea societății comerciale BOSCH România prin deschiderea unei secții de vopsitorie, BUCȘĂ Alina Andreea, IV IEDM</t>
  </si>
  <si>
    <t>Coordonare lucrare studențească prezentată la Sesiunea Științifică Studențească din 23 mai 2023, Facultatea de Inginerie (ULBS):Studiu privind oportunitatea dezvoltării societății comerciale Harting Manufacturing SCS Sibiu prin crearea unei zone de audit în secția injecție mase plastice, NEGULEIU Nicoleta Ioana, IV IEDM</t>
  </si>
  <si>
    <t>Coordonare lucrare studențească prezentată la Sesiunea Științifică Studențească din 23 mai 2023, Facultatea de Inginerie (ULBS): Studiu de oportunitate privind înființarea unei afaceri în domeniul lemnului în județul Sibiu, SOCACI Andreea-Teodora, IV IEDM</t>
  </si>
  <si>
    <t>Coordonare lucrare studențească prezentată la Sesiunea Științifică Studențească din 23 mai 2023, Facultatea de Inginerie (ULBS): Studiu privind oportunitatea înființării unei afaceri de închirieri de biciclete în județul Sibiu, VEȘTEMEAN Flavia-Maria, IV IEDM</t>
  </si>
  <si>
    <t>Coordonare lucrare studențească prezentată la Sesiunea Științifică Studențească din 23 mai 2023, Facultatea de Inginerie (ULBS): Implementarea unui sistem de management al calității în societatea comerciala Faurecia din Sibiu utilizând metode specifice managementului de proiect, ALBĂSTROIU Elena-Alexandra, IV IEI</t>
  </si>
  <si>
    <t>Coordonare lucrare studențească prezentată la Sesiunea Științifică Studențească din 23 mai 2023, Facultatea de Inginerie (ULBS): Studiu privind oportunitatea înființării unei afaceri în domeniul producției de hanorace pentru bărbați, BODEA Vasile-Marius, IV IEI</t>
  </si>
  <si>
    <t>Coordonare lucrare studențească prezentată la Sesiunea Științifică Studențească din 23 mai 2023, Facultatea de Inginerie (ULBS): Managementul proiectului aplicat planificării înființării unei afaceri în domeniul rochiilor de mireasă, COMŞULEA Ana-Maria, IV IEI</t>
  </si>
  <si>
    <t>Coordonare lucrare studențească prezentată la Sesiunea Științifică Studențească din 23 mai 2023, Facultatea de Inginerie (ULBS):</t>
  </si>
  <si>
    <t>Coordonare lucrare studențească prezentată la Sesiunea Științifică Studențească din 23 mai 2023, Facultatea de Inginerie (ULBS): Studiu de oportunitate privind înființarea unei afaceri în domeniul rochiilor tricotate, FLOROIU Elena-Narcisa, IV IEI</t>
  </si>
  <si>
    <t>Coordonare lucrare studențească prezentată la Sesiunea Științifică Studențească din 23 mai 2023, Facultatea de Inginerie (ULBS): Studiu comparativ privind opțiunile de cumpărare între produsele bio și cele de import, Alina-Teodora DOBRESCU, an IV IEI</t>
  </si>
  <si>
    <t>Coordonare lucrare studențească prezentată la Sesiunea Științifică Studențească din 23 mai 2023, Facultatea de Inginerie (ULBS): Cercetare pe bază de chestionar în vederea identificării opiniei studenților și elevilor de liceu asupra specializării Inginerie economică în domeniul mecanic (IEDM) din cadrul Facultății de Inginerie, Sibiu, Denisa-Maria PLEȘCA, an IV IEDM</t>
  </si>
  <si>
    <t>Coordonare lucrare prezentată la Sesiunea de Comunicări Ştiinţifice - Fac de Inginerie
Îmbunătățirea procesului de dezvoltare a unui nou produse - Andreea Mihaela BĂRBUȘIU, an I MC, Andreea Gabriela SAVA, an I MC, Cristian POPA, an I MC</t>
  </si>
  <si>
    <t>Coordonare lucrare prezentată la Sesiunea de Comunicări Ştiinţifice - Fac de Inginerie
Rolul benchmarking-ului în dezvoltarea unui produs inovative - Andreea Mihaela BĂRBUȘIU, an I MC, Andreea Gabriela SAVA, an I MC, Cristian POPA, an I MC</t>
  </si>
  <si>
    <t>Vizite de documentare cu studenţii din anul II şi III - ITT la Stația Sibiu-Triaj (Sud)</t>
  </si>
  <si>
    <t>Coordonare echipă competiţii studenţeşti internaţionale - International Fair of Innovation an Creative Eucation for Youth, Suceava</t>
  </si>
  <si>
    <t xml:space="preserve">Coordonare echipă competiţii studenţeşti internaţionale - Salonul Internaţional al Inovării şi Cercetării Ştiinţifice Studenţeşti , ”Cadet INOVA’24” -®, Academia Forţelor Terestre “Nicolae Bălcescu”, Sibiu, </t>
  </si>
  <si>
    <t>Sesiunea de comunicări științifice studențești (26 mai 2023) - membru în comitetul științific Secțiunea V "Tehnologia construcțiior de mașini și Tehnologii neconvenționale"</t>
  </si>
  <si>
    <t>Sesiunea de comunicări științifice studențești (26 mai 2023) - coordonare lucrare studențească Secțiunea V "Evaluarea capabilității de măsurare a studenților în cadrul
laboratorului de Toleranțe și control dimensional” - Maria Gabriela ȘTEFAN, an IV TCM</t>
  </si>
  <si>
    <t>Sesiunea de comunicări științifice studențești (26 mai 2023) - coordonare lucrare studențească Secțiunea V "Analiza capabilității mijloacelor de măsurare în cadrul laboratorului de Toleranțe și control dimensional” - Ana Maria RADU, an IV TCM</t>
  </si>
  <si>
    <t>Sesiunea de comunicări științifice studențești (26 mai 2023) - coordonare lucrare studențească Secțiunea V "Analiza statistică a rezultatelor unui proces de măsurare în cadrul firmei HARTING România Manufacturing SCS” - Bogdan Dumitru HORGA, an IV TCM</t>
  </si>
  <si>
    <t>Sesiunea de comunicari stiintifice studentesti 2023 - coordonare 8 lucrari in cotutela</t>
  </si>
  <si>
    <t>8 lucrari *10 / 2 coordonatori</t>
  </si>
  <si>
    <t>Sesiunea de Comunicări Științifice Studențești 2022 (membru în comitetul științific)</t>
  </si>
  <si>
    <t>Sesiunea de Comunicări Științifice Studențești 2022 (coordonare lucrare studențească prezentată la conferință)-3 lucrări</t>
  </si>
  <si>
    <t>Coordonator vizita de documentare pentru a prezenta procesul de fabricare a sculelor aschietoare cu un grup de 12 studenti din anul III SPD la Firma GUHRING in data de 15.11.2023</t>
  </si>
  <si>
    <t>Coordonator vizita de documentare pentru a prezenta procesul de fabricare a sculelor aschietoare cu un grup de 23 studenti din anul II IEDM la Firma GUHRING in data de 11.05.2024</t>
  </si>
  <si>
    <t xml:space="preserve"> Vizita de studii firma Guhring semI</t>
  </si>
  <si>
    <t xml:space="preserve"> Vizita de studii firma Guhring semII</t>
  </si>
  <si>
    <t>Sesiune de comunicari stiintifice studentesti , stud Sebastian ANTAL, an IV TCM, Analiza și optimizarea operației de frezare frontală</t>
  </si>
  <si>
    <t>Sesiune de comunicari stiintifice studentesti , stud. Tudor BADESCU , an IV TCM,  Proiectarea unei scule complexe pentru prelucrarea alezajelor</t>
  </si>
  <si>
    <t xml:space="preserve">Sesiune de comunicari stiintifice studentesti , stud. Analiza și îmbunătățirea unor fluxuri de documente din cadrul companiei CNCF „CFR” </t>
  </si>
  <si>
    <t>Sesiunea de comunicari stiintifice studentesti - membru secțiunea I, Știința și tehnologia materialelor</t>
  </si>
  <si>
    <t>Sesiunea de comunicari stiintifice studentesti - membru secțiunea III, Protecția mediului in industrie</t>
  </si>
  <si>
    <t>Coordonare lucrari sesiunea de comunicari stiintifice studentesti sectiunea I (impreuna cu Bibu) - 3 lucrari</t>
  </si>
  <si>
    <t>Coordonare lucrari sesiunea de comunicari stiintifice studentesti secțiunea III, 6 lucrari</t>
  </si>
  <si>
    <t>Sesiunea de Comunicări Științifice Studențești a Facultății de Inginerie, 26 mai 2023, Președintele secțiunii XII, Inginerie economică - Marketing și coordonatorul procesului de colectare și transmitere a lucrărilor pentru secțiunile I, II, III, V, VI, XI, XII ale Sesiunii de comunicări (secțiuni ale Departamentului IIM)</t>
  </si>
  <si>
    <t>Sesiunea de Comunicări Științifice Studențești a Facultății de Inginerie, 26 mai 2023, 8 lucrări coordonate în cotutelă cu Săvescu Roxana (FING3) secțiunea XII, 1 lucrare coordonator unic secțiunea  XII; (8/2 + 1) x 10 puncte</t>
  </si>
  <si>
    <t>coordonare echipa pentru competitii managementul marketingului și cultură organizațională</t>
  </si>
  <si>
    <t>Sesiunea de comunicări științifice studențești a Facultății de Inginerie a ULBS, 26 mai 2023. Membru în comisia secțiunii a XII (Inginerie Economică - Marketing)</t>
  </si>
  <si>
    <t>Sesiunea de comunicări științifice studențești a Facultății de Inginerie a ULBS, 26 mai 2023. Coordonare lucrare în secțiunea a XI (Inginerie Economică - Management): 
Studiu privind efectele pandemiei de Covid-19 asupra angajaților unei firme (Vasilica Narcisa Angela BOGDAN, an III IEI; Maria BLAGA, al III IEI)</t>
  </si>
  <si>
    <t>Sesiunea de comunicări științifice studențești a Facultății de Inginerie a ULBS, 26 mai 2023. Coordonare lucrare în secțiunea a XI (Inginerie Economică - Management): 
Studiu privind relația dintre starea psihică a angajaților unei companii și activitatea economică a acesteia (Gabriela-Marinela CÎMPEANU, an III IEI; Maria-Camelia GIUREA, an III IEI; Cosmina-Adriana ONEȚ, an III IEI)</t>
  </si>
  <si>
    <t>Sesiunea de comunicări științifice studențești a Facultății de Inginerie a ULBS, 26 mai 2023. Coordonare lucrare în secțiunea a XII (Inginerie Economică - Marketing): 
Analiză economică a gradului de concentrare a pieței școlilor de șoferi din Sibiu (Theodora PARCEA, an III IEI; Miruna-Cristina VIRLAN, an III IEI; Nadia Elena ISTRATE, an III IEI)</t>
  </si>
  <si>
    <t>Sesiunea de comunicări științifice studențești a Facultății de Inginerie a ULBS, 26 mai 2023. Coordonare lucrare în secțiunea a XII (Inginerie Economică - Marketing): 
Cercetare privind sistemul de pensii din România (Ioana BARNA, an III IEDM;
Iulia BARNA, an III IEDM; Roxana DRAGOTĂ, an III IEDM)</t>
  </si>
  <si>
    <t>Excursie de studiu si vizita documentare studenti an 3,4 TDDH - Prezentare laborator metrologic Delgazgrid Medias si asistare la verificarea contoarelor de gaze naturale, conform normelor Biroului Roman de Metrologie Legala. Vizita a fost facuta cu 12 studenti, 3/zi, limita maxima admisa.</t>
  </si>
  <si>
    <t>Vizita documentare studenti an 3 ITT - AutoKlass Vizita a fost facuta cu 17 studenti, prezentarea si analiza motoarelor vehicolelor.</t>
  </si>
  <si>
    <t>8*2</t>
  </si>
  <si>
    <t>Vizita satia meteo si protectia mediului Aeroport Sibiu si Paltinis 3 ITT Analiza noxelor in aer</t>
  </si>
  <si>
    <t xml:space="preserve">COORDONARE CERC ȘTIINȚIFIC STUDENȚESC - "Cercul Stiintific Studentesc de Proprietate Intelectuală de la Universitatea Lucian Blaga din Sibiu", CERC ȘTIINȚIFIC, 1.10.2022-31.07.2023, 30 participanți, 2 grupe, săptămânal, Coordonatorul Cercului cu Girul OSIM București, Sub Marca și sub Egida ULBS în Cadrul Centrului Regional OSIM din Sibiu, (Cercul științific se desfășoară începând cu anul 2016 și a fost primul Cerc Științific de acest profil din România) - sala IM 100 - Facultatea de Inginerie. </t>
  </si>
  <si>
    <t>Coordonare lucrare științifică studențească la Sesiunea Studențească de la Facultatea de Inginerie 2023 - student Neluț Vasile VÎLCU, an IV ITT - "Proiectarea și implementarea unui sistem de transport călători pe ruta Sibiu-Brașov și retur utilizând două tipuri de locomotive diesel electrice"</t>
  </si>
  <si>
    <t>Coordonare lucrare științifică studențească la Sesiunea Studențească de la Facultatea de Inginerie 2023 - student Alexandru Ioan PĂTRUȚIU, an IV ITT - "Implementarea unui sistem de transport persoane pentru zona metropolitană a municipiului Sibiu prin Asociația Transport Metropolitan Sibiu"</t>
  </si>
  <si>
    <t>Coordonare lucrare științifică studențească la Sesiunea Studențească de la Facultatea de Inginerie 2023 - student Gheorghe Traian MĂTUȘA, an IV TCM  - "Îmbunătățirea managementului procesului pentru realizarea unei piese TULLENGHEHAUSE la HARTING Romania Manufacturing"</t>
  </si>
  <si>
    <t>Coordonare lucrare științifică studențească la Sesiunea Studențească de la Facultatea de Inginerie 2023 - student  Alexandru BOZDOGHINĂ, an IV TCM - "Creșterea calității procesului de lipire a lentilei pentru camerele video care echipează autoturisme din clasa Premium Mercedes Benz de la Continental Automotive Systems Sibiu"</t>
  </si>
  <si>
    <t>Coordonare lucrare științifică studențească la Sesiunea Studențească de la Facultatea de Inginerie 2023 - student  Maria Timeea MIHĂESCU, an IV TCM - "Managementul calității procesului de evaluare a riscurilor într-un departament din cadrul unei organizații industriale"</t>
  </si>
  <si>
    <t xml:space="preserve">Coordonare de echipă pentru competiții studențești naționale și internaționale - Participare împreună cu drd și studenții la Salonul Internațional de Inventică pentru tineret  INVENTCOR 2023 DEVA 14-16.09.2023 - drd Preda Cosmin, drd Bleotu Robert, studenții de la TCM anul III Florea Toader Denisa Gabriela, Cernea Daniela Elena, Paul Gliga, Gresoi Nicolae Claudiu, Ciuntu Sebastian Gabriel, Cisteian Silvana Denisa, Cornea Gabriela, Bitea Alexandru Paul </t>
  </si>
  <si>
    <t xml:space="preserve">Coordonare de echipă pentru competiții studențești naționale și internaționale - Participare împreună cu drd și studenții la Salonul Internațional de Inventică pentru tineret UGAL INVENT 2023 GALAȚI 9-10.11.2023 - drd Preda Cosmin, drd Bleotu Robert, studenții de la TCM anul III Cisteian Silvana Denisa, Cornea Gabriela, Bitea Alexandru Paul, Florea Toader Denisa Gabriela, Cernea Daniela Elena, Paul Gliga, Gresoi Nicolae Claudiu  </t>
  </si>
  <si>
    <t>Coordonare lucrare științifică studențească la Sesiunea Studențească de la Facultatea de Inginerie 2023 - student  Paul Vasile PANĂ, an IV TCM - "Îmbunătățirea calității funcționării unui panou de climă utilizat pentru autoturisme din clasa medie de la Marquardt Schaltsysteme Sibiu"</t>
  </si>
  <si>
    <t>Coordonare lucrare științifică studențească la Sesiunea Studențească de la Facultatea de Inginerie 2023 - student  Marius Ion TIȚA, an IV TCM - "Managementul procesului de asamblare a reperului cheie Audi d5/c8 la Marquardt Schaltsysteme Sibiu"</t>
  </si>
  <si>
    <t xml:space="preserve">Coordonare de echipă pentru competiții studențești naționale și internaționale - Participare împreună cu drd și studenții la Salonul Internațional de Inventică EUROINVENT 2023 IAȘI  11-13.05.2023 - drd Preda Cosmin, drd Bleotu Robert, studenții de la TCM anul III Marcu Donna Elena, Căpatină Alexandru - Ionut, Ciuntu Sebastian - Gabriel, Cisteian Silvana Denisa, Cornea Gabriela, Bitea Alexandru Paul, Florea Toader Denisa Gabriela, Cernea Daniela Elena, Paul Gliga, Gresoi Nicolae Claudiu  </t>
  </si>
  <si>
    <t xml:space="preserve">Coordonare de echipă pentru competiții studențești naționale și internaționale - Participare împreună cu drd și studenții la Salonul Internațional de Inventică pentru tineret ICE-USV SUCEAVA  7-9.07.2023 - drd Preda Cosmin, drd Bleotu Robert, studenții de la TCM anul III Marcu Donna Elena, Căpatină Alexandru - Ionut, Ciuntu Sebastian - Gabriel, Cisteian Silvana Denisa, Cornea Gabriela, Bitea Alexandru Paul, Florea Toader Denisa Gabriela, Cernea Daniela Elena, Paul Gliga, Gresoi Nicolae Claudiu  </t>
  </si>
  <si>
    <t>Coordonare de echipă pentru competiții studențești naționale și internaționale - Participare împreună cu drd Salonul de Inventică CADET INOVA 2023 SIBIU  4-6.05.2023 - drd Preda Cosmin, drd Bleotu Robert</t>
  </si>
  <si>
    <t xml:space="preserve">Organizare scoala de vara Romano - Americana (cu Univ.of Montana)  link: https://drl.ro/isib/ </t>
  </si>
  <si>
    <t>Sesiunea de comunicari stiintifice studentesti, 26 mai 2023, Secretar comisie sectiunea III</t>
  </si>
  <si>
    <t>Sesiunea de comunicari stiintifice studentesti, 26 mai 2023, coordonare lucrare Procese caracteristice implantării ionice, sectiunea I</t>
  </si>
  <si>
    <t>Sesiunea de comunicari stiintifice studentesti, 26 mai 2023, coordonare lucrare Metode de control şi caracteristici ale straturilor metalice
superficiale,  sectiunea I</t>
  </si>
  <si>
    <t>Sesiunea de comunicari stiintifice studentesti, 26 mai 2023, coordonare lucrare Metode și tehnici moderne utilizate în industrie în scopul
durificarii superficiala a pieselor, sectiunea I</t>
  </si>
  <si>
    <t>Sesiunea de comunicari stiintifice studentesti, 26 mai 2023, coordonare lucrare Sisteme biologice supuse radiaţiei laser, sectiunea I</t>
  </si>
  <si>
    <t>Sesiunea de comunicari stiintifice studentesti, 26 mai 2023, coordonare lucrare Instalaţii de electrofiltre destinate reţinerii particulelor aeropurtate, sectiunea III</t>
  </si>
  <si>
    <t>Sesiunea de comunicari stiintifice studentesti, 26 mai 2023, coordonare lucrare Aspecte ale reciclării în știința și ingineria materialelor, sectiunea III</t>
  </si>
  <si>
    <t>Sesiunea de comunicari stiintifice studentesti, 26 mai 2023, coordonare lucrare Tehnici privind producerea compostului din deşeuri biodegradabile, sectiunea III</t>
  </si>
  <si>
    <t>Sesiunea de comunicări științifice. Mai 2023. Coordonare lucrare.</t>
  </si>
  <si>
    <t>10*4 lucrări/2</t>
  </si>
  <si>
    <t>10*2 lucrări</t>
  </si>
  <si>
    <t>Sesiunea de comunicari studentesti,, sectiunea Marketing, 26.05.2023</t>
  </si>
  <si>
    <t>1 lucrre Sesiunea de comunicari studentesti,, sectiunea Marketing, 26.05.2023</t>
  </si>
  <si>
    <t>Secretar - Secțiunea V - Sesiunea științifică studențească organizată de Facultatea de Inginerie</t>
  </si>
  <si>
    <t>Coordonare lucrare prezentată la Sesiunea de Comunicări Ştiinţifice - Fac de Inginerie
1. Studiu privind infrastructura aeroporuară - Alina Velciu (Panciu) an III ITT, Mihaela Mutuleci an III ITT, Ştefan Mihai an III ITT
2. Studiu privind reducerea de accidente în intersecţia dintre DN1-DN7 cu strada Mihai Viteazul din Şelimbăr, Marius Ovidiu Vierescu, an IV ITT
3.Dronele militare, Răzvan- Gheorghe HAŞEGAN, an II ITT, Gabriel Alexandru PRUNEŞELU an II ITT, Ioan-Casian CIUCUR, an II ITT
4. Mobilitate urbană aeriană, Emilia-Violeta ŢICU, an II ITT, Laura TARCEA-ISAILĂ, an II ITT, Dumitru-Cristian VĂCARU, an II ITT
5.Avioanele ultrauşoare, Andreea-Nicoleta PĂNĂZAN, an II ITT, Maria-Bianca BUNESCU an II ITT</t>
  </si>
  <si>
    <t>Membru comitetul ştiinţific Sesiune de Comunicări Ştiinţifice, Facultatea de Inginerie</t>
  </si>
  <si>
    <t>Presedinte comisia Secțiunii Ingineria Gazelor la Sesiunea Științifică Studențească 26 Mai 2023</t>
  </si>
  <si>
    <t xml:space="preserve">Sesiunea de comunicari stiintifice studentesti, Stiintific,26.05.2023, coordonator 6 lucrari studentesti,
Racman Nicolae-Constantin, an I IMGN
</t>
  </si>
  <si>
    <t>Vizite de documentare cu studentii de la TDDH in campul de productie gaze naturale Deleni</t>
  </si>
  <si>
    <t>Vizite de documentare cu studentii TDDH zi la statia de uscare si comprimare Tigmandru</t>
  </si>
  <si>
    <t>Vizite de documentare cu masteranzii IMGN la statia de uscare si comprimare Tigmandru</t>
  </si>
  <si>
    <t>Vizite de documentare cu masteranzii IMGN in campul de productie gaze naturale Deleni</t>
  </si>
  <si>
    <t xml:space="preserve">Organizare  evenimente dedicat studenților de la specializarea Transportul, Depozitarea și Distribuția Hidrocarburilor în parteneriat cu Society of Petroleum Engineers-Secțiunea Română (locația evenimentului Centrul de documentare și Informare- Muzeul Gazelor Naturale, Mediaș– schimb de experiență privind cunoștiințe, lecții învățate, provocări contextuale  și soluții în industrie </t>
  </si>
  <si>
    <t>Miricescu Dan, Rotaru Mihaela</t>
  </si>
  <si>
    <t>12 lucrari coordonate Sesiunea de Comunicari Ştiinţifice Studenţeşti 03.06.2022 Secţiunea XI: INGINERIE ECONOMICĂ - MANAGEMENT</t>
  </si>
  <si>
    <t>12x5</t>
  </si>
  <si>
    <t>2 lucrari coordonate Sesiunea de Comunicari Ştiinţifice Studenţeşti 03.06.2022 Secţiunea XI: INGINERIE ECONOMICĂ - MARKETING</t>
  </si>
  <si>
    <t>2x10</t>
  </si>
  <si>
    <t>Preşedinte Comisie Sesiunea de Comunicari Ştiinţifice Studenţeşti 03.06.2022 Secţiunea XI: INGINERIE ECONOMICĂ - MANAGEMENT</t>
  </si>
  <si>
    <t>Coordonare echipe studenţi la competiţii de Logistică şi de Planuri de afaceri</t>
  </si>
  <si>
    <t>Miricescu Dan, Popa Daniela</t>
  </si>
  <si>
    <t>Vizită de documentare şi aprofundare practică la SC Grupo Antolin Romania SRL SBIU a studenţilor de la programele de licență Inginerie Economică în Domeniul Mecanic (IEDM) anul III şi Inginerie Economică Industrială (IEI) – anul III din cadrul Facultăţii de Inginerie</t>
  </si>
  <si>
    <t>Vizită de documentare şi aprofundare practică la SC Grupo Antolin Romania SRL SBIU a studenţilor de la programul de master Managementul Afacerilor Industriale (MAI) – anul II din cadrul Facultăţii de Inginerie</t>
  </si>
  <si>
    <t>Maria Cristina BĂLĂȘOIU, an IV IEDM, Studiu privind demersurile firmelor pentru creșterea capacității de inovare. Sesiunea de comunicari stiintifice studentesti FIN/ULBS</t>
  </si>
  <si>
    <t xml:space="preserve">Alexandru BÎRSAN, an IV IEDM, Studiu privind rezolvarea creativă a problemelor în domeniul transporturilor de mărfuri. Sesiunea de comunicari stiintifice studentesti FIN/ULBS </t>
  </si>
  <si>
    <t xml:space="preserve">Ionuț GROSU, an IV IEDM, Studiu privind modalitățile actuale de îmbunătățire a indicatorilor de performanță în cazul firmelor producătoare. Sesiunea de comunicari stiintifice studentesti FIN/ULBS </t>
  </si>
  <si>
    <t xml:space="preserve">Edvina-Elena POPESCU, an IV IEDM, Studiu privind tendințele de dezvoltare a mentenanței industriale încontextul digitalizării afacerilor. Sesiunea de comunicari stiintifice studentesti FIN/ULBS </t>
  </si>
  <si>
    <t>Sesiunea de comunicări științifice studențești, ULB Sibiu, 26 Mai 2023, Coordonare lucrare studențească prezentată la conferință. Studiu privind introducerea trenurilor cadentate in judetul Sibiu (Autori: Alina VELCIU (PANCIU), an III ITT, Mihaela MUTULECI, an III ITT, Mihai ȘTEFAN, an III ITT)</t>
  </si>
  <si>
    <t>Sesiunea de comunicări științifice studențești, ULB Sibiu, 26 Mai 2023, Coordonare lucrare studențească prezentată la conferință.  Analiza comparativă a infrastructurii rutiere în diferite țări din Europa (Autori: Ștefania BURNETE, an III ITT, Maria-Mirabela GHEORGHICA, an III ITT)</t>
  </si>
  <si>
    <t>Sesiunea de comunicări științifice studențești, ULB Sibiu, 26 Mai 2023, Coordonare lucrare studențească prezentată la conferință. Comparație între autobuzele cu motoare cu ardere internă și cele moderne din punct de vedere al poluării mediului  (Autori: Adrian-Dumitru GOIA, an III ITT, Andrei-Ștefan CÂNDEA, an III ITT)</t>
  </si>
  <si>
    <t>Sesiunea de comunicări științifice studențești, ULB Sibiu, 26 Mai 2023, membru în comitetul de prganizare</t>
  </si>
  <si>
    <t>Antreprenori de succes. Invata de la Sergiu Opris, intalniri cu mediu de afaceri, 14.11.2023, organizator</t>
  </si>
  <si>
    <t>Antreprenori de succes. Invata de la Hans Promm, intalniri cu mediu de afaceri, 28.11.2023, organizator</t>
  </si>
  <si>
    <t>Antreprenori de succes. Invata de la Andrei Razvan Badila, intalniri cu mediu de afaceri, 21.11.2023, organizator</t>
  </si>
  <si>
    <t xml:space="preserve">Giving Tuesday - eveniment ULBS </t>
  </si>
  <si>
    <t>SESIUNII DE COMUNICĂRI A CERCURILOR ȘTIINȚIFICE STUDENȚEȘTI 2023, eveniment stiitific, 26.05.2023,coordonare lucrare studenteasca prezentata la sesiune, titlu "1.Soluție pentru îmbunătățirea performanțelor în firma Bosch" studenti Bucșa Alina, an IV IEDM, Ivan Melissa, an IV IEDM, Țerbea Laura, an IV IEDM</t>
  </si>
  <si>
    <t>SESIUNII DE COMUNICĂRI A CERCURILOR ȘTIINȚIFICE STUDENȚEȘTI 2023, eveniment stiitific, 26.05.2023,coordonare lucrare studenteasca prezentata la sesiune, titlu "Soluție pentru îmbunătățirea performanțelor în firma Continental Automotive System" studenti Vîlcu Ana-Roxana, an IV IEDM
Dolmer Beatrice, an IV IEDM
Mitoc Maria-Daniela, an IV IEDM
Tăvală Mădălina, an IV IEDM</t>
  </si>
  <si>
    <t>SESIUNII DE COMUNICĂRI A CERCURILOR ȘTIINȚIFICE STUDENȚEȘTI 2023, eveniment stiitific, 26.05.2023,coordonare lucrare studenteasca prezentata la sesiune, titlu "3. Reducerea costurilor și îmbunătățirea eficienței: Soluția IFM pentru problema rebuturilor
Mihucz Annamaria, an IV IEDM
Micu Cristina, an IV IEDM
Ifrim Cătălin, an IV IEDM</t>
  </si>
  <si>
    <t xml:space="preserve">SESIUNII DE COMUNICĂRI A CERCURILOR ȘTIINȚIFICE STUDENȚEȘTI 2023, eveniment stiitific, 26.05.2023,coordonare lucrare studenteasca prezentata la sesiune, titlu "4. Roboții industriali: Cheia pentru îmbunătățirea calității și productivității la IFM
Bogorin Petra Vanesa, anul IV IEI
Cocos Loredana, anul IV  IEI
Marculescu Cristian, anul IV  IEI </t>
  </si>
  <si>
    <t>SESIUNII DE COMUNICĂRI A CERCURILOR ȘTIINȚIFICE STUDENȚEȘTI 2023, eveniment stiitific, 26.05.2023,coordonare lucrare studenteasca prezentata la sesiune, titlu "5. Fondurile de premiere o soluție pentru evitarea fluxului de personal
Bălășoiu Maria-Cristina, anul IV  IEDM
Cebuc Nicoleta-Silvia, anul IV  IEDM
Popescu Edvina-Elena, anul IV  IEDM
Străchinescu Elena-Denisa, anul IV  IEDM</t>
  </si>
  <si>
    <t>SESIUNII DE COMUNICĂRI A CERCURILOR ȘTIINȚIFICE STUDENȚEȘTI 2023, eveniment stiitific, 26.05.2023,coordonare lucrare studenteasca prezentata la sesiune, titlu "6. Productivitatea scazută într-un mediu organizațional complex: analiza strategiilor utilizate și propunerea de soluții inovatoare"
Comșulea Ana-Maria, anul IV IEI
Albăstroiu Alexandra, anul IV IEI
Bodea Marius, anul IV IEI</t>
  </si>
  <si>
    <t>SESIUNII DE COMUNICĂRI A CERCURILOR ȘTIINȚIFICE STUDENȚEȘTI 2023, eveniment stiitific, 26.05.2023,coordonare lucrare studenteasca prezentata la sesiune, titlu "7. Viitorul începe cu ajutorul roboților pentru creșterea productivității
Bogorin Petra Vanesa, anul IV IEI
Cocos Loredana, anul IV IEI
Marculescu Cristian, anul IV IEI</t>
  </si>
  <si>
    <t>SESIUNII DE COMUNICĂRI A CERCURILOR ȘTIINȚIFICE STUDENȚEȘTI 2023, eveniment stiitific, 26.05.2023,coordonare lucrare studenteasca prezentata la sesiune, titlu "8. Noul standard al eficienței: cum optimizarea lanțului de aprovizionare și organizarea avansată a depozitului sporesc productivitatea
Pleșca Denisa-Maria, anul IV  IEDM
Popa Natalia, anul IV  IEDM
Veștemean Flavia-Maria, anul IV  IEDM
Vulcu Remus, anul IV  IEDM</t>
  </si>
  <si>
    <t>SESIUNII DE COMUNICĂRI A CERCURILOR ȘTIINȚIFICE STUDENȚEȘTI 2023, eveniment stiitific, 26.05.2023,coordonare lucrare studenteasca prezentata la sesiune, titlu "9. Succesul în fabrică: reorganizarea procesului de producție pentru a elimina rebuturile și a onora comenzile la timp
Buta Mihaela, anul IV  IEDM
Ursu Adela-Maria, anul IV  IEDM
Voicu Maria-Izabela, anul IV  IEDM</t>
  </si>
  <si>
    <t>SESIUNII DE COMUNICĂRI A CERCURILOR ȘTIINȚIFICE STUDENȚEȘTI 2023, eveniment stiitific, 26.05.2023,coordonare lucrare studenteasca prezentata la sesiune, titlu "10. Eliminarea rebuturilor prin realizarea unor instrucțiuni
de asamblare
Chivu Maria-Lucia, anul IV  IEDM
Socaci Andreea-Teodora, anul IV  IEDM</t>
  </si>
  <si>
    <t>SESIUNII DE COMUNICĂRI A CERCURILOR ȘTIINȚIFICE STUDENȚEȘTI 2023, eveniment stiitific, 26.05.2023,coordonare lucrare studenteasca prezentata la sesiune, titlu "11. Optimizarea spațiului și reducerea timpului de producție: reorganizarea liniiilor și extinderea depozitului pentru eficiență maximă
Aron Nicole, anul IV  IEDM
Baciu Robert, anul IV  IEDM
Neguleiu Nicoleta, anul IV  IEDM</t>
  </si>
  <si>
    <t>SESIUNII DE COMUNICĂRI A CERCURILOR ȘTIINȚIFICE STUDENȚEȘTI 2023, eveniment stiitific, 26.05.2023,coordonare lucrare studenteasca prezentata la sesiune, titlu "12. Reducerea numărului de rebuturi prin programe de reinstruire
Armeanu Adina, anul IV  IEDM
Popa Ioana, anul IV  IEDM
Strava Georgiana, anul IV  IEDM
Sărășan Roxana, anul IV  IEDM</t>
  </si>
  <si>
    <t>Membru - Secțiunea V - Sesiunea studențească organizată de Facultatea de Inginerie</t>
  </si>
  <si>
    <t>Vizită la compania NTT DATA Romania S.A., având ca scop identificarea strategiilor de resurse umane practicate de angajator, cu studenții din anul III IEDM.  mai 2023</t>
  </si>
  <si>
    <t>Activități desfășurate în Școala Altfel și Școala Verde - 4 acțiuni cu elevii existente in programul ULBS</t>
  </si>
  <si>
    <t>10*4</t>
  </si>
  <si>
    <t>Coordonare lucrare prezentată la Sesiunea de Comunicări Ştiinţifice - Fac de Inginerie
Preocupări curente privind reducerea emisiilor de metan la obiectivele de exploatare hidrocarburi – Decarbonizarea sectorului E&amp;P
Nicolae-Adrian SĂMĂRTINEAN, an III TDDH
Loredana-Maria VEREȘEZAN, an III TDDH</t>
  </si>
  <si>
    <t>Coordonare lucrare prezentată la Sesiunea de Comunicări Ştiinţifice - Fac de Inginerie
Captarea și stocarea CO2 în zăcăminte depletate - posibile proiecte de tip CCS
Duma Diana, an III TDDH
Bogolea Cristian, an III TDDH</t>
  </si>
  <si>
    <t>Coordonare lucrare prezentată la Sesiunea de Comunicări Ştiinţifice - Fac de Inginerie
Eficientizarea producție prin colectarea datelor in timp real 
Radu Nicolae Antoniu,  an III TDDH
Aftenie Teodora,  an III TDDH</t>
  </si>
  <si>
    <t>Coordonare lucrare prezentată la Sesiunea de Comunicări Ştiinţifice - Fac de Inginerie
Studiu privind utilizarea conductelor din polietilenă la realizarea unui sistem modern de distribuție a gazelor naturale
Iuliana-Maria HANZU, an IV TDDH
Daiana-Daniela BLEOCA, an IV TDDH</t>
  </si>
  <si>
    <t>Vizita de studiu si documentare la Centrul de documentare- Muzeul Gazelor Naturale Medias cu studentii din anul III TDDH
Participare la eveniment stiintific SPE ~De la Prospect la Realitate~ 16 nov 2023</t>
  </si>
  <si>
    <t>pregătirea elevilor pentru bacalaureat, saptamanal incepand cu 28 Octombrie 2022 pana in Mai 2023</t>
  </si>
  <si>
    <t>Hackathon SID 2023, 5-6 Octombrie, 2023, 48+ studenti, organizator principal</t>
  </si>
  <si>
    <t>Membru în comitetul țtiințific HSE 2023 (11 -12 mai 2023)</t>
  </si>
  <si>
    <t>Președinte comisia sesiunii de comunicări științifice studențești, secțiunea inginerie electrică și electronică</t>
  </si>
  <si>
    <t>Coordonare lucrare: Sesiunea de comunicări șriințifice studențești, Secțiunea XIII  Radu-Cornel RUSU, an IV EA, Robot autonom pentru rezolvarea unui labirint</t>
  </si>
  <si>
    <t>Coordonare lucrare: Sesiunea de comunicări șriințifice studențești, Secțiunea XIII  Andrea-Ruxandra FIERARU, an IV EA, Sistem de securitate împotriva incendiilor</t>
  </si>
  <si>
    <t>HSE 2023</t>
  </si>
  <si>
    <t>Concurs studentesc de proiecte HSE2023, membru comitet organizare</t>
  </si>
  <si>
    <t>Sesiunea de Comunicări Științifice Studențesti 2023, presedinte sectiune Calculatoare și Tehnologia Informației</t>
  </si>
  <si>
    <t>Cre'ulescu Radu</t>
  </si>
  <si>
    <t>Organizare vizită prof. Vincente Cerveron, Universidad de Valencia, Spain 11.03.-14.03.2023</t>
  </si>
  <si>
    <t>Sesiunea de Comunicări Științifice Studențesti 2023, membru comitetul stiintific sectiune Calculatoare și Tehnologia Informației</t>
  </si>
  <si>
    <t>Concursul HSE 2023, membru in comisia de evaluare</t>
  </si>
  <si>
    <t>Sesiunea de Comunicari Științifice 2023, membru in comisia de evaluare</t>
  </si>
  <si>
    <t>Sesiune Stiintifica Facultatea de Inginerie Mai 2022 - membru în comitetul de organizare</t>
  </si>
  <si>
    <t>HSE 2023 - membru în comisia de concurs</t>
  </si>
  <si>
    <t xml:space="preserve">Concurs de proiecte HSE membru comitet stiintific </t>
  </si>
  <si>
    <t>HSE2023 membru comitet stiintific</t>
  </si>
  <si>
    <t>HSE2023 Lucrari coordonate: 2</t>
  </si>
  <si>
    <t>HSE 2022 eveniment stiintific, membru in comitetul de organizare</t>
  </si>
  <si>
    <t>Comisie organizare HSE 2024 (11 -12 mai 2023)</t>
  </si>
  <si>
    <t>Membru în comitetul științific HSE 2023 (11 -12 mai 2023)</t>
  </si>
  <si>
    <t>Membru în comisia sesiunii de comunicări științifice studențești, secțiunea inginerie electrică și electronică</t>
  </si>
  <si>
    <t>Coordonare echipă ULBS pentru competiția studenșească națională, TIE 2023</t>
  </si>
  <si>
    <t>Coordonare lucrare: Sesiunea de comunicări șriințifice studențești, Secțiunea XIII  Colgiu Ovidiu, Sistem portabil de senzori pentru câmpul de luptă, AFT, an 4</t>
  </si>
  <si>
    <t>Coordonare lucrare: Sesiunea de comunicări șriințifice studențești, Secțiunea XIII  Budreală Dănuț, Sursă de tensiune în comutație de putere, EA, an 4</t>
  </si>
  <si>
    <t>Coordonare lucrare: Sesiunea de comunicări șriințifice studențești, Secțiunea XIII  Hodârnău Silviu, Motor fără perii cu microcontroler, EA, an 4</t>
  </si>
  <si>
    <t>Coordonare lucrare: Sesiunea de comunicări șriințifice studențești, Secțiunea XIII  Nicula Alexandru Ionuț, Dispozitiv smarthome, EA, an 4</t>
  </si>
  <si>
    <t>Sesiunea de comunicari științifice studențești , 26 mai 2023</t>
  </si>
  <si>
    <t>Sesiune studențeasca 26, mai coord studenti</t>
  </si>
  <si>
    <t>Concurs HSE2023</t>
  </si>
  <si>
    <t>Advisor: IEEE Student Branch ULBS (STB60031668), Electronics Packaging Society (EPS) Student Branch Chapter (SBC) pentru ULBS</t>
  </si>
  <si>
    <t>Pregatire Bacalaureat 14.01; 21.01; 18.02; 01.04; 06.05</t>
  </si>
  <si>
    <t>Sesiunea de comunicari stiintifice studentesti, sectiunea XIII</t>
  </si>
  <si>
    <t>Concurs studentesc de proiecte HSE2023, membru comitet stiintific</t>
  </si>
  <si>
    <t>Concurs studentesc TIE, coordonator echipa</t>
  </si>
  <si>
    <t>Lucrare Sesiunea de comunicări științifice studențești,
Secțiunea X:
Implementare decodor coduri QR
Gabriela-Florentina STUPARU, an IV C</t>
  </si>
  <si>
    <t>HSE Comisie elevi – proiecte Electronică</t>
  </si>
  <si>
    <t>Hackathon SID 2023, 5-6 Octombrie, 2023, 48+ studenti, asistenta in organizare</t>
  </si>
  <si>
    <t>Concurs studentesc de proiecte HSE2023 - Sectiunea Software, membru comitet organizare</t>
  </si>
  <si>
    <t>SESIUNEA DE COMUNICĂRI ŞTIINŢIFICE STUDENŢEŞTI - Secţiunea IX CALCULATOARE SI TEHNOLOGIA INFORMAŢIEI, membru comitet organizare</t>
  </si>
  <si>
    <t>Concurs studentesc de proiecte HSE2023 - coordonare lucrare 2 studenti</t>
  </si>
  <si>
    <t>SESIUNEA DE COMUNICĂRI ŞTIINŢIFICE STUDENŢEŞTI - coordonare lucrare 2 studenti</t>
  </si>
  <si>
    <t>Concurs studentesc de proiecte HSE2023, membru comisia de evaluare</t>
  </si>
  <si>
    <t>Concurs studentesc de proiecte HSE2023, asistenta in organizare</t>
  </si>
  <si>
    <t>Vizite de documentare cu studentii</t>
  </si>
  <si>
    <t>8*5</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</si>
  <si>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</si>
  <si>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</si>
  <si>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</si>
  <si>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</si>
  <si>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</si>
  <si>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</si>
  <si>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GREEN ENGINEERING – Smart Energy </t>
  </si>
  <si>
    <t xml:space="preserve">Competitie activitati extracurriculare </t>
  </si>
  <si>
    <t xml:space="preserve">ULBS în parteneriat activ cu piața muncii </t>
  </si>
  <si>
    <t>CNFIS-FDI-2023-F-0381</t>
  </si>
  <si>
    <t>Marius Milcu</t>
  </si>
  <si>
    <t>http://www.cnfis.ro/wp-content/uploads/2023/03/Lista-proiecte-FDI-2023_rezultate-preliminare.pdf</t>
  </si>
  <si>
    <t>Platformă digitală pentru dezvoltarea și adaptarea proceselor educaționale la contextul actual, cu respectarea eticii și deontologiei academice</t>
  </si>
  <si>
    <t>CNFIS-FDI-2023-F-0408</t>
  </si>
  <si>
    <t>Ion Mironescu</t>
  </si>
  <si>
    <t>Optimizing Distance Learning Educational Programs (ODLEP)
2022-1-EL01-KA220-HED-000089152</t>
  </si>
  <si>
    <t>KA220-HED</t>
  </si>
  <si>
    <t>Partener
Buget ULBS: 37.000 euro (185.000 lei)
Coordnator:
ARISTOTELIO PANEPISTIMIO THESSALONIKIS
Parteneri:
UNIVERSITY OF MACEDONIA
UNIVERSITATEA LUCIAN BLAGA DIN SIBIU
UNIVERSITA TELEMATICA DEGLI STUDI IUL
UNIVERZITET U NISU
PANEPISTIMIO IOANNINON</t>
  </si>
  <si>
    <t>George Aretoulis - Director proiect ODLEP
Miricescu Dan - ULBS</t>
  </si>
  <si>
    <t>https://websites.auth.gr/odlep/</t>
  </si>
  <si>
    <t>Buget total:
250.000 euro
Buget ULBS: 37.000 euro (185.000 lei)</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</si>
  <si>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</si>
  <si>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</si>
  <si>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</si>
  <si>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</si>
  <si>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</si>
  <si>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Erasmus+ STT, Università degli Studi di Napoli Federico II. Italy, 9 - 13.10.2023</t>
  </si>
  <si>
    <t>Erasmus+, STA, Universidad de la Laguna, San Cristóbal de La Laguna, Spania 23.04.2023 - 01.05.2023</t>
  </si>
  <si>
    <t xml:space="preserve">Erasmus+, STA,College "Logos Centar" Mostar, Bišće polje bb, 88100 Mostar, Bosnia Herțegovina  19.05.2023  - 26.05.2023 </t>
  </si>
  <si>
    <t xml:space="preserve">ERASMUS+, STT, Universitatea ”Federico II” din Napoli, Italia (UNINA), 28.11.–05.12.2022 </t>
  </si>
  <si>
    <t>ERASMUS+, STT, Visoka Skola Logos Centar din Mostar, Bosnia și Hertegovina, 31.05.–05.06.2023</t>
  </si>
  <si>
    <t xml:space="preserve">ERASMUS+, STT, Universitatea ”Federico II” din Napoli, Italia (UNINA), 05.09.–11.09.2023 </t>
  </si>
  <si>
    <t>Erasmus+ - Staff Mobility For Training - Universidad de Málaga, martie 2023</t>
  </si>
  <si>
    <t>Erasmus+ - Università degli Studi di Napoli Federico II (UNINA) - mai 2023</t>
  </si>
  <si>
    <t xml:space="preserve">TRANSNATIONAL PROJECT MECTING ERASMUS+, Nr. 20-201-075989-KA2-SE-16A </t>
  </si>
  <si>
    <t>Erasmus+ STT, Universita Degli Studi di Napoli Federico II, Italia, 5.09.2023 – 11.09.2023</t>
  </si>
  <si>
    <t>Erasmus+ STT, Visoka Skola Logos Centar din Mostar, Bosnia si Hertegovina, 30.06.2023 – 5.06.2023</t>
  </si>
  <si>
    <t>ERASMUS (proiect SDGs Journalism Reporting Project), University Malaya - Kuala Lumpur, Malaysia, 09-24.05 2023</t>
  </si>
  <si>
    <t>ERASMUS, STT, Academia de Stiinte Economice a Moldovei, ASEM, 7.11.2022-14.11.2022</t>
  </si>
  <si>
    <t>Erasmus 22-28 sept 2023, Ungaria, University of Szeghed</t>
  </si>
  <si>
    <t>ERASMUS, ISTRIAN UNIVERSITY OF APPLIED SCIENCES, Croatia, 25-29.05.2023</t>
  </si>
  <si>
    <t>ERASMUS NON UE, UNIVERISTY OF MONTENEGRO PODGORICA, 20.06.2023 – 26.06.2023</t>
  </si>
  <si>
    <t>UNIVERSITY OF EAST SARAJEVO, BOSNIA-HERTEGOVIA,  04.05-08.05.2023</t>
  </si>
  <si>
    <t>CEEPUS, NETWORK M-RS-0304-15-2223-M-169054, Angel Kanchev University of Rousse, Bulgaria, 05.06.-09.06.2023</t>
  </si>
  <si>
    <t>CEEPUS, NETWORK M-RS-0304-15-2223-M-163423, Slovak University of Technology in Bratislava, 05.06.-09.06.2023 Faculty of Materials Science and Technology STU, 7.11-11.11.2022</t>
  </si>
  <si>
    <t xml:space="preserve"> Mobilitate CEEPUS  RS 0304  2223  nr. 161442 University of Banja Luka, Faculty of Mechanical Engieering, 24.10.2022 - 28.10.2022</t>
  </si>
  <si>
    <t xml:space="preserve"> Mobilitate CEEPUS  RS 0304  2223  nr. 161450 University of East Sarajevo, FACULTY OF MECHANICAL ENGINEERING, 1.11.2022 - 7.11.2022</t>
  </si>
  <si>
    <t>STT mobility, Yarmouk University, Irbid, Iordania. 17.03.2023-23.03.2023</t>
  </si>
  <si>
    <t>STT mobility, Hellenic Mediterranean University, HMU - GRECE, 15.05.2023 - 19.05.2023</t>
  </si>
  <si>
    <t xml:space="preserve">STOICA AUGUSTIN </t>
  </si>
  <si>
    <t>Predare, Universidad de la Laguna, Tenerife, Spania, 24 – 28 aprilie 2023</t>
  </si>
  <si>
    <t>Predare, University of Jordan, Iordania, 8 - 12 mai 2023</t>
  </si>
  <si>
    <t xml:space="preserve"> Johannes Guttenberg University, Mainz, Germania, STT, Nov 2023</t>
  </si>
  <si>
    <t>Universidad de Valencia, Valencia, Spania, STT, Oct 2023</t>
  </si>
  <si>
    <t>College “Logos centar” in Mostar, Bosnia, STA, Mai 2023</t>
  </si>
  <si>
    <t>Universidad de La Laguna, Spania, STA, Apr 2023</t>
  </si>
  <si>
    <t xml:space="preserve"> Mobilitate CEEPUS  RS 0304  2223  nr. 161503 University of Banja Luka, Faculty of Mechanical Engieering, 24.10.2022 - 28.10.2022</t>
  </si>
  <si>
    <t xml:space="preserve"> Mobilitate CEEPUS  RS 0304  2223  nr. 161507 University of East Sarajevo, FACULTY OF MECHANICAL ENGINEERING, 1.11.2022 - 7.11.2022</t>
  </si>
  <si>
    <t>STA, Academia de Studii Econsomice a Republicii Moldova ASEM, Chişinău,
Republica Moldova, Spania, 08-14.11.2022</t>
  </si>
  <si>
    <t>STT, College Logos Centar Mostar, Bosnia şi Herţegovina, 31.05-05.06.2023</t>
  </si>
  <si>
    <t>STT, Univesita Degli Studi Di Napoli Frederico ll, Italia, 05-11.09.2023</t>
  </si>
  <si>
    <t>Mobilitate de predare (STA) ERASMUS+, Visoka skola "Logos centar" u Mostaru, Mostar, Bosnia and Herzegovina, 19.05-24.05.2023</t>
  </si>
  <si>
    <t>Branescu Andrei-Horia</t>
  </si>
  <si>
    <t xml:space="preserve">STT, Università degli Studi di Napoli Federico II, Napoli, Italia,               mai 2023   </t>
  </si>
  <si>
    <t>STA, Università degli Studi di Napoli Federico II, Napoli, Italia,  25.11.2022-5.12.2022</t>
  </si>
  <si>
    <t>STA, University of Salerno, Salerno, Italy, 08/05/2023 to 12/05/2023</t>
  </si>
  <si>
    <t>STA, University Fernando Pesoa, Porto, Portugal, 21/11/2022 to 25/11/2022</t>
  </si>
  <si>
    <t>STT, University Johannes Guttenberg Mainz, Germany, 18-22 June, 2023</t>
  </si>
  <si>
    <t>Erasmus+ STA,  INP Bordeaux, France, 3 - 7.07.2023</t>
  </si>
  <si>
    <t>Mobilitate CEEPUS de 5 zile în martie 2023 la Universitatea din Szeged, Ungaria (anexat Letter of Confirmation)</t>
  </si>
  <si>
    <t>Mobilitate Erasmus+ de tip STA de 7 zile în septembrie 2023 la Universitatea din Szeged, Ungaria (anexat Letter of Confirmation)</t>
  </si>
  <si>
    <t>Mobilitate CEEPUS de 5 zile în noiembrie 2022 la Universitatea Tehnică din Bratislava, Trnava, Slovacia</t>
  </si>
  <si>
    <t>CEEPUS, NETWORK M-RS-0304-15-2223-M-163423, Slovak University of Technology in Bratislava,  Faculty of Materials Science and Technology STU, 7.11-11.11.2022</t>
  </si>
  <si>
    <t>Plasament ERASMUS, ULPGC, Gran Canaria, Spania, Septembrie - Decembrie 2023</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</si>
  <si>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</si>
  <si>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</si>
  <si>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</si>
  <si>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</si>
  <si>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</si>
  <si>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</si>
  <si>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</si>
  <si>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Tehnici și metode de inspecție asistată de calculator – Curs și aplicații</t>
  </si>
  <si>
    <t>Oleksik M., Simion C.</t>
  </si>
  <si>
    <t>Tehno Media</t>
  </si>
  <si>
    <t xml:space="preserve">978-606-616-504-4 </t>
  </si>
  <si>
    <t>Tehnici și metode de inspecție asistată de calculator. Curs și aplicații (https://www.technomedia.ro/links/Tehnici-si-metode-de-inspectie.html)</t>
  </si>
  <si>
    <t>OLEKSIK, M., SIMION, C.</t>
  </si>
  <si>
    <t>Techno Media</t>
  </si>
  <si>
    <t>978-606-616-504-4</t>
  </si>
  <si>
    <t>Grafică asistată de calculator cu aplicabilitate în industria textilă. Îndrumar (https://www.technomedia.ro/links/Grafica-asistata-pe-calculator.html)</t>
  </si>
  <si>
    <t>OLEKSIK, M.</t>
  </si>
  <si>
    <t>978-606-616-503-7</t>
  </si>
  <si>
    <t>Echipamente utilizate in instalatiile electrice</t>
  </si>
  <si>
    <t>978-973-677-371-6</t>
  </si>
  <si>
    <t>iulie</t>
  </si>
  <si>
    <t>151x2</t>
  </si>
  <si>
    <t>Stocarea energiei electrice și vehicule electrice, pentru o societate sustenabilă și rezilientă, bazată pe energie curate Aplicații</t>
  </si>
  <si>
    <t>Mihai Sănduleac, Cristina Efremov, Ionuț Damian, Alexandru Mandiș, Dorel Stănescu</t>
  </si>
  <si>
    <t>Politehnica Press</t>
  </si>
  <si>
    <t>976-606-9608-44-9</t>
  </si>
  <si>
    <t>Stnescu Dorel</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</si>
  <si>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</si>
  <si>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</si>
  <si>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</si>
  <si>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</si>
  <si>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</si>
  <si>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</si>
  <si>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</si>
  <si>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</si>
  <si>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Activitati administrative in cadrul Departamentului MEI</t>
  </si>
  <si>
    <t xml:space="preserve">Burghelea Melania </t>
  </si>
  <si>
    <t>TeD 2023 6.12.2024</t>
  </si>
  <si>
    <t xml:space="preserve">Secretar al comisiei de admitere a Facultății de Inginerie </t>
  </si>
  <si>
    <t xml:space="preserve">Alte activitați suport in cadrul departamentului MEI </t>
  </si>
  <si>
    <t xml:space="preserve">vizite de promovare a ofertei educaționale a ULBS în licee </t>
  </si>
  <si>
    <t>vizită de promovare Energetic Valcea 15.03.2023</t>
  </si>
  <si>
    <t>Participare targ educational Rm Valcea - 21.04.2023</t>
  </si>
  <si>
    <t>Alte activitati suport dep MEI</t>
  </si>
  <si>
    <t>Activitati administrative in cadrul departamentului MEI</t>
  </si>
  <si>
    <t xml:space="preserve">Realizarea de materiale promoționale cu oferta educațională a Fac.de Inginerie </t>
  </si>
  <si>
    <t>Promovare, vizita de promovare a ofertei educaționale la Liceul Avram Iancu Sibiu, 21.03.2023</t>
  </si>
  <si>
    <t>Promovare, vizita de promovare a ofertei educaționale la Liceul Ioan Lupas Saliste, 31.03.2023</t>
  </si>
  <si>
    <t>activitati administrative MEI</t>
  </si>
  <si>
    <t>Participare la realizarea orarului</t>
  </si>
  <si>
    <t>Participare la activitati administrative din cadrul departamentului MEI</t>
  </si>
  <si>
    <t>Vizita de promovare a ofertei educationale a ULBS in licee - Liceul Teoretic Gustav Gündisch, Cisnadie, 30.03.2023</t>
  </si>
  <si>
    <t>Vizita de promovare a ofertei educationale a ULBS in licee - Liceul Tehnologic , Cisnadie, 30.03.2023</t>
  </si>
  <si>
    <t xml:space="preserve">Vizita de promovare a ofertei educationale a ULBS in licee - Colegiul Tehnic August Treboniu Laurian Agnita, 25.04.2023
</t>
  </si>
  <si>
    <t xml:space="preserve">Vizita de promovare a ofertei educationale a ULBS in licee - Liceul Teoretic Stephan Ludwig Roth, Medias, 23.03.2023
</t>
  </si>
  <si>
    <t xml:space="preserve">Vizita de promovare a ofertei educationale a ULBS in licee - Liceul SNG, Medias, 23.03.2023
</t>
  </si>
  <si>
    <t>Vizita de promovare a ofertei educationale a ULBS in Facultatea de Inginerie - Liceul Tehnologic ”Petrache Poenaru” Bălcești, 06.09.2023</t>
  </si>
  <si>
    <t>Participare la realizarea site-ului WEB al departamentului Mașini și Echipamente Industriale</t>
  </si>
  <si>
    <t>Participare la realizarea site-ului WEB al Centrului de Studii si Cerceatri pentru Deformări plastice</t>
  </si>
  <si>
    <t>Vizita de promovare a ofertei educaționale a ULBS în licee - Liceul Axente Sever din Mediaș - 22.03.2023</t>
  </si>
  <si>
    <t>Vizita de promovare a ofertei educaționale a ULBS în licee -Liceul teoretic Roth-Oberth/ Colegiul "Școala Națională de Gaz" Mediaș - 22.03.2023</t>
  </si>
  <si>
    <t>Vizita de promovare a ofertei educaționale a ULBS în licee - Liceul tehnologic din Sebeș / Colegiului Național ”Lucian Blaga” din Sebeș - 04.04.2023</t>
  </si>
  <si>
    <t>Târgul educațional TeD ULBS Sibiu - 23.11.2022</t>
  </si>
  <si>
    <t>Promovarea Universitatii la Targul Educational Ramnicu Valcea, 21 aprilie 2023</t>
  </si>
  <si>
    <t>Promovarea Facultatii de Inginerie la Colegiul Tehnic A.T. Laurian Agnita, 25 aprilie 2023</t>
  </si>
  <si>
    <t>Promovarea Facultatii de Inginerie la Liceul Tehnologic Ioan Lupas Saliste, 31 martie.2023</t>
  </si>
  <si>
    <t>Promovarea Facultatii de Inginerie la Colegiul Tehnic Cibinium Sibiu, 21 martie 2023</t>
  </si>
  <si>
    <t>Promovarea Universitatii la Targul Educational Sibiu, 23 noiembrie 2022</t>
  </si>
  <si>
    <t>Activitate de promovare la Liceul Tehnologic ”Henri Coandă” Sibiu, 20.03.2023</t>
  </si>
  <si>
    <t>Activitate de promovare la Colegiul Cibinium Sibiu, 21.03.2023</t>
  </si>
  <si>
    <t>Activitate de promovare la Liceul Gustav Gundish Cisnadie, 30.03.2023</t>
  </si>
  <si>
    <t>Activitate de promovare la Liceul Tehnologic Cisnadie, 30.03.2023</t>
  </si>
  <si>
    <t>Activitate de promovare la Liceul Tehnologic din Sebes, 04.04.2023</t>
  </si>
  <si>
    <t>Activitate de promovare la Liceul Tehnologic din Sebes, 04.04.2022</t>
  </si>
  <si>
    <t>Activitati administrative la departamentul MEI</t>
  </si>
  <si>
    <t>participare la realizarea orarului</t>
  </si>
  <si>
    <t>activitati administrative in cadrul Departamentului MEI</t>
  </si>
  <si>
    <t>Realizarea de materiale promotionale</t>
  </si>
  <si>
    <t>Coordonator actiuni de promovare a Facultatii</t>
  </si>
  <si>
    <t>Realizarea site-ului Centrului de Studii și Cercetări pentru Deformări Plastice, https://centers.ulbsibiu.ro/cscdp/index.html</t>
  </si>
  <si>
    <t>Realizarea site-ului Centrului de Studii și Cercetări pentru Deformări Plastice, pe plaftorma ERRIS, https://eeris.eu/ERIF-2000-000T-0179</t>
  </si>
  <si>
    <t>Realizarea de materiale promoționale cu oferta ULBS</t>
  </si>
  <si>
    <t>Realizarea paginilor de social media Facultatii de Inginerie, octombrie 2022 - septembrie 2023</t>
  </si>
  <si>
    <t>Realizarea site-ului Facultatii de Inginerie, octombrie 2022 - septembrie 2024</t>
  </si>
  <si>
    <t>Participare la Târgul Educațional TeD ULBS, 23 noiembrie 2022</t>
  </si>
  <si>
    <t>Realizarea de materiale promoționale cu oferta ULBS (materiale promotionale printate 3D)</t>
  </si>
  <si>
    <t>Vizita de promovare a ofertei educationale a ULBS in licee -Liceul Tehnologic Avram Iancu Sibiu, 21.03.2023</t>
  </si>
  <si>
    <t>Vizita de promovare a ofertei educationale a ULBS in licee - Colegiul Energetic Râmnicu Vâlcea , 16.05.2023</t>
  </si>
  <si>
    <t>Alte acrivitati suport</t>
  </si>
  <si>
    <t>Activitate de promovare la Liceul Axente Sever din Mediaș, 22.03.2023</t>
  </si>
  <si>
    <t>Activitate de promovare la Liceul Roth din Mediaș, 23.03.2023</t>
  </si>
  <si>
    <t>Participare TED SIBIU, 23 noiembrie 2022</t>
  </si>
  <si>
    <t>Participare TED SIBIU, 06 decembrie 2023</t>
  </si>
  <si>
    <t>Participare TED Rm. Vâlcea, 21 aprilie 2023</t>
  </si>
  <si>
    <t>Updatare GHID BOBOCI INGINERIE</t>
  </si>
  <si>
    <t>Vizita de promovare a ofertei educationale a ULBS in licee - Colegiul Radu Negru Făgăraș</t>
  </si>
  <si>
    <t>Vizita de promovare a ofertei educaționale a ULBS în licee - Liceul Teoretic Ion Codru Drăgușanu, Victoria</t>
  </si>
  <si>
    <t>Ralizarea paginilor de social media ale departamentului</t>
  </si>
  <si>
    <t>Activitati suport in cadrul Departamentului MEI</t>
  </si>
  <si>
    <t>Vizita de promovare a ofertei educaționale a ULBS în licee - Liceul Tehnologic "Henri Coandă" Sibiu - 20.03.2023</t>
  </si>
  <si>
    <t>Vizita de promovare a ofertei educaționale a ULBS în licee - Colegiului tehnic Cibinium Sibiu - 21.03.2023</t>
  </si>
  <si>
    <t>Vizita de promovare a ofertei educationale a ULBS in licee - Colegiul Radu Negru Făgăraș, 24.04.2022</t>
  </si>
  <si>
    <t>Vizita de promovare a ofertei educationale a ULBS in licee - Henri Coandă Sibiu , 20.03.2022</t>
  </si>
  <si>
    <t>Vizita de promovare a ofertei educationale a ULBS in licee - Liceul Tehnologic Avram Iancu, 21.03.2022</t>
  </si>
  <si>
    <t xml:space="preserve">Alte activitati suport </t>
  </si>
  <si>
    <t>Narcisa VRINCEANU</t>
  </si>
  <si>
    <t xml:space="preserve">participare la admitere (asistenta) </t>
  </si>
  <si>
    <t>Gestionare site web departament</t>
  </si>
  <si>
    <t>Gestionare pagini de social media departament</t>
  </si>
  <si>
    <t>FING9</t>
  </si>
  <si>
    <t xml:space="preserve">Coordonare realizare materiale promotionale </t>
  </si>
  <si>
    <t>Activitati administrative la dep MEI</t>
  </si>
  <si>
    <t>participarea la realizarea orarului</t>
  </si>
  <si>
    <t>Alte activități suport acordate de către directorul de departament</t>
  </si>
  <si>
    <t>Activitati administrative MEI</t>
  </si>
  <si>
    <t>Promovarea Facultatii de Inginerie la Liceul Tehnologic Cisnadie, 30.Martie.2023</t>
  </si>
  <si>
    <t>Promovarea Facultatii de Colegiul Energetic Rm. Valcea, 15 martie 2023</t>
  </si>
  <si>
    <t>Alte activitati suport (intocmire fise discipline, intocmire state functii, documente necesare acreditarii diferitelor specializari, corespondenta institutionala,etc.)</t>
  </si>
  <si>
    <t>Participare la Târgul Educațional TeD ULBS, 6 decembrie 2023</t>
  </si>
  <si>
    <t>Vizită de promovare a ofertei educaționale a ULBS în licee - Liceul Axente Sever Mediaș</t>
  </si>
  <si>
    <t>Vizită de promovare a ofertei educaționale a ULBS în licee -Liceul Gustav Gundisch, Cisnădie</t>
  </si>
  <si>
    <t>Vizită de promovare a ofertei educaționale a ULBS în licee -Liceul Tehnologic Cisnădie</t>
  </si>
  <si>
    <t>Vizită de promovare a ofertei educaționale a ULBS în licee Liceul Ioan Lupaș Săliște</t>
  </si>
  <si>
    <t>Vizită de promovare a ofertei educaționale a ULBS în licee - Colegiul Național Mircea Cel Bătrân - Râmnicu Vâlcea</t>
  </si>
  <si>
    <t>Vizită de promovare oferta educațională a Fac.de Inginerie, Liceul Teoretic "Gustav Gundisch" și Liceul Tehnologic, Cisnădie, 30.03.2023.</t>
  </si>
  <si>
    <t>Vizită de promovare oferta educațională a Fac.de Inginerie, Colegiul Național "Lucian Blaga" și Liceul Tehnologic, Sebeș, Alba, .04.04.2023.</t>
  </si>
  <si>
    <t>participare admitere</t>
  </si>
  <si>
    <t>8p/zi</t>
  </si>
  <si>
    <t>promovarea ofertei educaționale a ULBS</t>
  </si>
  <si>
    <t>realizarea de materiale promoționale cu oferta ULBS</t>
  </si>
  <si>
    <t>Alte activitati suport</t>
  </si>
  <si>
    <t>Activitati administrative la nivel de departament, coordonare generală</t>
  </si>
  <si>
    <t>Coordonare orar</t>
  </si>
  <si>
    <t>Alte activități suport</t>
  </si>
  <si>
    <t>Coordonator acțiuni de promovare la nivelul facultății:</t>
  </si>
  <si>
    <t xml:space="preserve">Gestionarea paginii/paginilor de social media a(le) facultății </t>
  </si>
  <si>
    <t>Realizare de materiale promotionale pentru programul de Master Managementul Calitatii</t>
  </si>
  <si>
    <t>Promovare la companii a programului de Master Managementul Calitatii</t>
  </si>
  <si>
    <t>16-17 octombrie 2023 sesiuni de formare oferite de către consilieri DAAD</t>
  </si>
  <si>
    <t>Participare la admitere</t>
  </si>
  <si>
    <t>Activitati suport</t>
  </si>
  <si>
    <t>Vizita de promovare a ofertei educaționale a ULBS în licee - Saliste, Liceul Tehnologic Ioan Lupas, 31.03.2023</t>
  </si>
  <si>
    <t>Vizita de promovare a ofertei educaționale a ULBS în licee - Rm. Valcea, Colegiul Național Mircea cel Bătrân, 30.05.2023</t>
  </si>
  <si>
    <t>Vizita de promovare a ofertei educaționale a ULBS în licee - Rm. Valcea, Colegiul National Alexandru Lahovari, 16.08.2023</t>
  </si>
  <si>
    <t>Vizita de promovare a ofertei educaționale a ULBS în licee - Rm. Valcea, Colegiul Energetic, 17.08.2023</t>
  </si>
  <si>
    <t>Alte activitati</t>
  </si>
  <si>
    <t>Alte activitati-suport</t>
  </si>
  <si>
    <t>realizare și gestionare site centru cercetare:Research Center for Sustainable Products and Processes http://centers.ulbsibiu.ro/ccpps/</t>
  </si>
  <si>
    <t>Realizare materiale promotionale</t>
  </si>
  <si>
    <t>Alte activitati suport - centralizare GRADIS, colectare fise disciplina, etc.</t>
  </si>
  <si>
    <t xml:space="preserve">Participare la alte activități-suport: </t>
  </si>
  <si>
    <t>subcomisia de suport tehnic, admitere 2023</t>
  </si>
  <si>
    <t>alte activitati suport</t>
  </si>
  <si>
    <t>VIZITE PROMOVARE OFERTA EDUCATIONALA FACULTATEA DE INGINERIE (Tirnaveni, Dumbraveni, Medias 1, Medias 2, Ramnicu Valcea, Targu Mures)</t>
  </si>
  <si>
    <t>REALIZARE MATERIALE PROMOTIONALE FACULTATEA DE INGINERIE DEP. IIM (flyer, prezentare PPT) TTDH, IPMI</t>
  </si>
  <si>
    <t>PARTICIPARE ADMITERE</t>
  </si>
  <si>
    <t>Participare ca Reprezentant din partea ULBS, delegat de către Rectorul ULBS, la Salonul Internațional de Invenții de la Geneva 2023 - PROMOVARE ULBS (coordonare acțiune de promovare a ULBS din perspectiva Protecției Proprietății Intelectuale - Inventică)</t>
  </si>
  <si>
    <t>Participare ca Reprezentant din partea ULBS, delegat de către Rectorul ULBS, la Salonul Internațional de Invenții de la TORONTO 2023 - PROMOVARE ULBS  (coordonare acțiune de promovare a ULBS din perspectiva Protecției Proprietății Intelectuale - Inventică)</t>
  </si>
  <si>
    <t>Participare ca Reprezentant din partea ULBS, delegat de către Rectorul ULBS, la Salonul Internațional de Invenții E-NNOVATE Polonia 2023 - PROMOVARE ULBS  (coordonare acțiune de promovare a ULBS din perspectiva Protecției Proprietății Intelectuale - Inventică)</t>
  </si>
  <si>
    <t>Participare ca Reprezentant din partea ULBS, delegat de către Rectorul ULBS, la Salonul Internațional de Invenții EUROINVENT 2023 Iași (ULBS câștigă aici un număr important de recunoașteri) - PROMOVARE ULBS (coordonare acțiune de promovare a ULBS din perspectiva Protecției Proprietății Intelectuale - Inventică)</t>
  </si>
  <si>
    <t xml:space="preserve">Participare ca Reprezentant din partea ULBS, delegat de către Rectorul ULBS, la Salonul Internațional de Invenții INVENTICA 2023 Iași (ULBS câștigă la acest Salon Marele Premiu) - PROMOVARE ULBS  (coordonare acțiune de promovare a ULBS din perspectiva Protecției Proprietății Intelectuale - Inventică) </t>
  </si>
  <si>
    <t>Crearea site-ului SmartHUB - Piata muncii din cadrul Centrului pentru Servicii integrate pentru studenti SmartHUB - https://proiecte.ulbsibiu.ro/smarthub/</t>
  </si>
  <si>
    <t>realizarea site-ului departamentului IIM</t>
  </si>
  <si>
    <t>realizarea materiale promotionala cu oferta ULBS, postate pe site-ului departamentului IIM</t>
  </si>
  <si>
    <t>alte activități suport (punctaj acordat de directorul de departament)</t>
  </si>
  <si>
    <t>Activitati suport IIM</t>
  </si>
  <si>
    <t>Coordonator program postuniversitar</t>
  </si>
  <si>
    <t>Promovare liceu Agnita</t>
  </si>
  <si>
    <t>Promovare programe studii Medias</t>
  </si>
  <si>
    <t>Promovare programe studii Valcea</t>
  </si>
  <si>
    <t>verificare raportare SIEPAS, targuri educationale, Admitere, etc</t>
  </si>
  <si>
    <t>Alte activităţi suport</t>
  </si>
  <si>
    <t>Vizite de promovare la licee</t>
  </si>
  <si>
    <t>Coordonator acţiuni promovare departament</t>
  </si>
  <si>
    <t>Realizarea de materiale promoţionale programe Inginerie şi Management (IEDM, MAI)</t>
  </si>
  <si>
    <t>Vizite promovare Gustav Gundisch Cisnadie, Gh. Bariţiu Sibiu</t>
  </si>
  <si>
    <t>8x2</t>
  </si>
  <si>
    <t>Coordonare programe ID (IEDM, TDDH)</t>
  </si>
  <si>
    <t>80x2</t>
  </si>
  <si>
    <t>Alte activităţi suport departament</t>
  </si>
  <si>
    <t>Vizita promovarea Facultatii licee Cisnadie</t>
  </si>
  <si>
    <t>Vizita promovarea Facultatii licee Medias</t>
  </si>
  <si>
    <t>Vizita promovarea Facultatii liceu CNOG Sibiu</t>
  </si>
  <si>
    <t>Vizita promovarea Facultatii liceu Radu Negru Fagaras</t>
  </si>
  <si>
    <t>Participare la aditere (Call center)</t>
  </si>
  <si>
    <t>vizite de promovare in licee (liceul economic Sibiu</t>
  </si>
  <si>
    <t>vizite de promovare in licee Rm Valcea</t>
  </si>
  <si>
    <t>Activități administrative la nivel de departament și gestionare documente raportare CNFIS</t>
  </si>
  <si>
    <t>Vizită de promovare a ofertei educaționale Liceul Thnologic Mihai Viteazul Râmnicu Vâlcea, martie 2023</t>
  </si>
  <si>
    <t>Vizită de promovare a ofertei educaționale Liceul Gustav Gundish Cisnadie, martie 2023</t>
  </si>
  <si>
    <t>Alte activități-suport</t>
  </si>
  <si>
    <t xml:space="preserve">Lupu Diana </t>
  </si>
  <si>
    <t xml:space="preserve">FING 3 </t>
  </si>
  <si>
    <t>Curs Design Thinking - 
ULBS D-School; 5 zile: 13,20, 27 ianuarie, 3,17 februarie 2023.</t>
  </si>
  <si>
    <t>8 p./zi</t>
  </si>
  <si>
    <t xml:space="preserve"> Vizită de promovare a ofertei
 educaționale a ULBS în liceul Economic; 3 feb. 2023.</t>
  </si>
  <si>
    <t>8 p. /zi</t>
  </si>
  <si>
    <t xml:space="preserve"> Vizită de promovare a ofertei
 educaționale a ULBS în liceul Economic; 10 feb. 2023.</t>
  </si>
  <si>
    <t xml:space="preserve"> Vizită de promovare a ofertei
 educaționale a ULBS în cadrul Colegiului Octavian Goga; 2 martie 2023.</t>
  </si>
  <si>
    <t>Curs Blockchain Arc Stake Sibiu; 2 zile: 16,17 martie 2023.</t>
  </si>
  <si>
    <t>Prezentare LSP,  promovare a ofertei
 educaționale a ULBS, vizită Colegiul Gh Lazăr Sibiu; 28 martie 2023.</t>
  </si>
  <si>
    <t xml:space="preserve"> Vizită de promovare a ofertei
 educaționale a ULBS în cadrul Liceului Gustav Gundish Cisnădie; martie - aprilie2023.</t>
  </si>
  <si>
    <t>Future Manager; 30 martie, 1 apr., 11 mai 2023.</t>
  </si>
  <si>
    <t>Realizare materiale promotionale departament</t>
  </si>
  <si>
    <t>Participarea la intalniri cu companii si realizarea de acorduri de colaborare, Interviu Digitalio (15.09.2023) Interviu la ViaTV Cluj (30.09.2023) pentru promovarea evenimentului Sibiu Innovation Days si Hackathonul pentru studenti</t>
  </si>
  <si>
    <t>Alte activități-suport:</t>
  </si>
  <si>
    <t xml:space="preserve"> coordonare programe postuniversitare</t>
  </si>
  <si>
    <t>participare admitere corectura</t>
  </si>
  <si>
    <t>Corector admitere iulie 2022</t>
  </si>
  <si>
    <t>Participare realizare orar</t>
  </si>
  <si>
    <t>Activități suport</t>
  </si>
  <si>
    <t>Participare la admitere
- sesiuna vara afisare rezultate 7 zile
- sesiunea vara confirmari 7 zile
- sesiunea toamna rezultate 5 zile
- sesiunea toamna confirmari 5 zile
total 24 zile</t>
  </si>
  <si>
    <t>8*24</t>
  </si>
  <si>
    <t xml:space="preserve">Alte activități suport </t>
  </si>
  <si>
    <t>Participarea la realizarea, modificarea si intretinerea site-ului facultatii - mereu 2023</t>
  </si>
  <si>
    <t>De la Director departament</t>
  </si>
  <si>
    <t>alte</t>
  </si>
  <si>
    <t xml:space="preserve">Activități suport </t>
  </si>
  <si>
    <t>Realizarea orarului</t>
  </si>
  <si>
    <t>Neghina Mihai</t>
  </si>
  <si>
    <t>Alte activitățoi suport</t>
  </si>
  <si>
    <t>Ale activități suport:
- colectarea și verificarea fișelor de disciplina
- dosar ARACIS specializare EM</t>
  </si>
  <si>
    <t>Chiș Radu</t>
  </si>
  <si>
    <t>Bărglăzan Adrian</t>
  </si>
  <si>
    <t>Realizare site ACAPS</t>
  </si>
  <si>
    <t>Realizare site departament / platforma selectie diplome</t>
  </si>
  <si>
    <t>Participare realizare platforma Gradis</t>
  </si>
  <si>
    <t>Genstionare pagina LinkedIn</t>
  </si>
  <si>
    <t xml:space="preserve">Diodiu Ioan Lucian </t>
  </si>
</sst>
</file>

<file path=xl/styles.xml><?xml version="1.0" encoding="utf-8"?>
<styleSheet xmlns="http://schemas.openxmlformats.org/spreadsheetml/2006/main" xmlns:x14ac="http://schemas.microsoft.com/office/spreadsheetml/2009/9/ac" xmlns:mc="http://schemas.openxmlformats.org/markup-compatibility/2006">
  <numFmts count="4">
    <numFmt numFmtId="164" formatCode="#,##0.0"/>
    <numFmt numFmtId="165" formatCode="0.00;[Red]0.00"/>
    <numFmt numFmtId="166" formatCode="0.000"/>
    <numFmt numFmtId="167" formatCode="#,##0\ &quot;lei&quot;;[Red]\-#,##0\ &quot;lei&quot;"/>
  </numFmts>
  <fonts count="107">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rgb="FF000000"/>
      <name val="Calibri"/>
    </font>
    <font>
      <sz val="11.0"/>
      <color rgb="FFFF0000"/>
      <name val="Calibri"/>
    </font>
    <font>
      <sz val="12.0"/>
      <color theme="1"/>
      <name val="Times New Roman"/>
    </font>
    <font>
      <sz val="11.0"/>
      <color rgb="FF000000"/>
      <name val="Arial Narrow"/>
    </font>
    <font>
      <sz val="12.0"/>
      <color rgb="FF000000"/>
      <name val="Arial Narrow"/>
    </font>
    <font/>
    <font>
      <sz val="9.0"/>
      <color rgb="FF000000"/>
      <name val="Arial Narrow"/>
    </font>
    <font>
      <sz val="9.0"/>
      <color rgb="FF000000"/>
      <name val="Calibri"/>
    </font>
    <font>
      <u/>
      <sz val="10.0"/>
      <color theme="10"/>
      <name val="Arial Narrow"/>
    </font>
    <font>
      <u/>
      <sz val="10.0"/>
      <color theme="10"/>
      <name val="Arial Narrow"/>
    </font>
    <font>
      <u/>
      <sz val="10.0"/>
      <color rgb="FF0000FF"/>
      <name val="Arial Narrow"/>
    </font>
    <font>
      <u/>
      <sz val="10.0"/>
      <color theme="1"/>
      <name val="Arial Narrow"/>
    </font>
    <font>
      <sz val="10.0"/>
      <color rgb="FF323232"/>
      <name val="Arial Narrow"/>
    </font>
    <font>
      <sz val="10.0"/>
      <color rgb="FF2E2E2E"/>
      <name val="Arial Narrow"/>
    </font>
    <font>
      <u/>
      <sz val="10.0"/>
      <color theme="1"/>
      <name val="Arial Narrow"/>
    </font>
    <font>
      <sz val="10.0"/>
      <color rgb="FF222222"/>
      <name val="Arial Narrow"/>
    </font>
    <font>
      <i/>
      <sz val="10.0"/>
      <color theme="1"/>
      <name val="Arial Narrow"/>
    </font>
    <font>
      <sz val="10.0"/>
      <color rgb="FFDD0806"/>
      <name val="Arial Narrow"/>
    </font>
    <font>
      <b/>
      <sz val="12.0"/>
      <color rgb="FF000000"/>
      <name val="Arial Narrow"/>
    </font>
    <font>
      <b/>
      <sz val="10.0"/>
      <color rgb="FF000000"/>
      <name val="Arial Narrow"/>
    </font>
    <font>
      <b/>
      <sz val="9.0"/>
      <color rgb="FF000000"/>
      <name val="Arial Narrow"/>
    </font>
    <font>
      <b/>
      <sz val="9.0"/>
      <color rgb="FF000000"/>
      <name val="Calibri"/>
    </font>
    <font>
      <b/>
      <sz val="11.0"/>
      <color theme="1"/>
      <name val="Calibri"/>
    </font>
    <font>
      <b/>
      <sz val="10.0"/>
      <color rgb="FFFF0000"/>
      <name val="Arial Narrow"/>
    </font>
    <font>
      <b/>
      <sz val="10.0"/>
      <color rgb="FF000000"/>
      <name val="Calibri"/>
    </font>
    <font>
      <u/>
      <sz val="11.0"/>
      <color rgb="FF0000FF"/>
      <name val="Calibri"/>
    </font>
    <font>
      <sz val="11.0"/>
      <color theme="1"/>
      <name val="Arial Narrow"/>
    </font>
    <font>
      <b/>
      <sz val="10.0"/>
      <color rgb="FFDD0806"/>
      <name val="Arial Narrow"/>
    </font>
    <font>
      <sz val="10.0"/>
      <color rgb="FFFF0000"/>
      <name val="Arial Narrow"/>
    </font>
    <font>
      <u/>
      <sz val="10.0"/>
      <color theme="1"/>
      <name val="Arial Narrow"/>
    </font>
    <font>
      <u/>
      <sz val="10.0"/>
      <color rgb="FF0000FF"/>
      <name val="Arial Narrow"/>
    </font>
    <font>
      <u/>
      <sz val="10.0"/>
      <color theme="10"/>
      <name val="Arial Narrow"/>
    </font>
    <font>
      <u/>
      <sz val="10.0"/>
      <color theme="10"/>
      <name val="Arial Narrow"/>
    </font>
    <font>
      <u/>
      <sz val="10.0"/>
      <color theme="10"/>
      <name val="Arial Narrow"/>
    </font>
    <font>
      <u/>
      <sz val="10.0"/>
      <color rgb="FF0000FF"/>
      <name val="Arial Narrow"/>
    </font>
    <font>
      <u/>
      <sz val="10.0"/>
      <color theme="10"/>
      <name val="Arial Narrow"/>
    </font>
    <font>
      <u/>
      <sz val="10.0"/>
      <color theme="10"/>
      <name val="Arial Narrow"/>
    </font>
    <font>
      <u/>
      <sz val="10.0"/>
      <color rgb="FF0000FF"/>
      <name val="Arial Narrow"/>
    </font>
    <font>
      <sz val="10.0"/>
      <color rgb="FF333333"/>
      <name val="Arial Narrow"/>
    </font>
    <font>
      <sz val="10.0"/>
      <color rgb="FF212121"/>
      <name val="Arial Narrow"/>
    </font>
    <font>
      <u/>
      <sz val="10.0"/>
      <color rgb="FF0070C0"/>
      <name val="Arial Narrow"/>
    </font>
    <font>
      <sz val="10.0"/>
      <color rgb="FF424242"/>
      <name val="Arial Narrow"/>
    </font>
    <font>
      <u/>
      <sz val="10.0"/>
      <color theme="1"/>
      <name val="Arial Narrow"/>
    </font>
    <font>
      <u/>
      <sz val="10.0"/>
      <color rgb="FF0000FF"/>
      <name val="Arial Narrow"/>
    </font>
    <font>
      <u/>
      <sz val="10.0"/>
      <color theme="10"/>
      <name val="Arial Narrow"/>
    </font>
    <font>
      <b/>
      <sz val="12.0"/>
      <color theme="1"/>
      <name val="Arial Narrow"/>
    </font>
    <font>
      <color theme="1"/>
      <name val="Calibri"/>
    </font>
    <font>
      <b/>
      <sz val="11.0"/>
      <color rgb="FF000000"/>
      <name val="Arial Narrow"/>
    </font>
    <font>
      <sz val="11.0"/>
      <color rgb="FFDD0806"/>
      <name val="Calibri"/>
    </font>
    <font>
      <u/>
      <sz val="10.0"/>
      <color theme="10"/>
      <name val="Arial Narrow"/>
    </font>
    <font>
      <u/>
      <sz val="10.0"/>
      <color rgb="FF0000FF"/>
      <name val="Arial Narrow"/>
    </font>
    <font>
      <u/>
      <sz val="10.0"/>
      <color theme="1"/>
      <name val="Arial Narrow"/>
    </font>
    <font>
      <u/>
      <sz val="10.0"/>
      <color theme="10"/>
      <name val="Arial Narrow"/>
    </font>
    <font>
      <u/>
      <sz val="10.0"/>
      <color theme="1"/>
      <name val="Arial Narrow"/>
    </font>
    <font>
      <u/>
      <sz val="10.0"/>
      <color rgb="FF0000FF"/>
      <name val="Arial Narrow"/>
    </font>
    <font>
      <u/>
      <sz val="10.0"/>
      <color theme="10"/>
      <name val="Arial Narrow"/>
    </font>
    <font>
      <u/>
      <sz val="10.0"/>
      <color theme="10"/>
      <name val="Arial Narrow"/>
    </font>
    <font>
      <u/>
      <sz val="10.0"/>
      <color rgb="FF0000FF"/>
      <name val="Arial Narrow"/>
    </font>
    <font>
      <u/>
      <sz val="10.0"/>
      <color rgb="FF000000"/>
      <name val="Arial Narrow"/>
    </font>
    <font>
      <sz val="10.0"/>
      <color rgb="FF006621"/>
      <name val="Arial Narrow"/>
    </font>
    <font>
      <u/>
      <sz val="11.0"/>
      <color theme="10"/>
      <name val="Calibri"/>
    </font>
    <font>
      <u/>
      <sz val="11.0"/>
      <color theme="10"/>
      <name val="Calibri"/>
    </font>
    <font>
      <u/>
      <sz val="11.0"/>
      <color theme="10"/>
      <name val="Calibri"/>
    </font>
    <font>
      <u/>
      <sz val="10.0"/>
      <color rgb="FF0000FF"/>
      <name val="Calibri"/>
    </font>
    <font>
      <u/>
      <sz val="10.0"/>
      <color rgb="FF0000FF"/>
      <name val="Arial Narrow"/>
    </font>
    <font>
      <u/>
      <sz val="10.0"/>
      <color theme="1"/>
      <name val="Arial Narrow"/>
    </font>
    <font>
      <sz val="10.0"/>
      <color theme="1"/>
      <name val="Arial"/>
    </font>
    <font>
      <u/>
      <sz val="10.0"/>
      <color theme="1"/>
      <name val="Arial"/>
    </font>
    <font>
      <u/>
      <sz val="11.0"/>
      <color theme="10"/>
      <name val="Calibri"/>
    </font>
    <font>
      <u/>
      <sz val="10.0"/>
      <color theme="1"/>
      <name val="Arial"/>
    </font>
    <font>
      <sz val="10.0"/>
      <color rgb="FF000000"/>
      <name val="Arial"/>
    </font>
    <font>
      <u/>
      <sz val="11.0"/>
      <color theme="1"/>
      <name val="Calibri"/>
    </font>
    <font>
      <sz val="9.0"/>
      <color rgb="FF3359A8"/>
      <name val="Arial"/>
    </font>
    <font>
      <u/>
      <sz val="11.0"/>
      <color theme="10"/>
      <name val="Calibri"/>
    </font>
    <font>
      <sz val="11.0"/>
      <color theme="10"/>
      <name val="Calibri"/>
    </font>
    <font>
      <u/>
      <sz val="11.0"/>
      <color rgb="FF0000FF"/>
      <name val="Calibri"/>
    </font>
    <font>
      <u/>
      <sz val="11.0"/>
      <color theme="10"/>
      <name val="Calibri"/>
    </font>
    <font>
      <u/>
      <sz val="11.0"/>
      <color theme="10"/>
      <name val="Calibri"/>
    </font>
    <font>
      <sz val="8.0"/>
      <color theme="1"/>
      <name val="Helvetica Neue"/>
    </font>
    <font>
      <sz val="9.0"/>
      <color theme="1"/>
      <name val="Arial Narrow"/>
    </font>
    <font>
      <sz val="10.0"/>
      <color rgb="FF152935"/>
      <name val="Arial"/>
    </font>
    <font>
      <sz val="10.0"/>
      <color theme="1"/>
      <name val="Source sans pro"/>
    </font>
    <font>
      <u/>
      <sz val="11.0"/>
      <color rgb="FF0000FF"/>
      <name val="Calibri"/>
    </font>
    <font>
      <u/>
      <sz val="11.0"/>
      <color rgb="FF000000"/>
      <name val="Calibri"/>
    </font>
    <font>
      <u/>
      <sz val="10.0"/>
      <color rgb="FF000000"/>
      <name val="Arial Narrow"/>
    </font>
    <font>
      <u/>
      <sz val="11.0"/>
      <color theme="10"/>
      <name val="Calibri"/>
    </font>
    <font>
      <u/>
      <sz val="10.0"/>
      <color theme="1"/>
      <name val="Arial Narrow"/>
    </font>
    <font>
      <u/>
      <sz val="11.0"/>
      <color theme="10"/>
      <name val="Calibri"/>
    </font>
    <font>
      <u/>
      <sz val="10.0"/>
      <color theme="10"/>
      <name val="Arial Narrow"/>
    </font>
    <font>
      <u/>
      <sz val="10.0"/>
      <color theme="10"/>
      <name val="Arial Narrow"/>
    </font>
    <font>
      <sz val="9.0"/>
      <color theme="1"/>
      <name val="Calibri"/>
    </font>
    <font>
      <u/>
      <sz val="11.0"/>
      <color theme="10"/>
      <name val="Calibri"/>
    </font>
    <font>
      <u/>
      <sz val="11.0"/>
      <color theme="10"/>
      <name val="Calibri"/>
    </font>
    <font>
      <u/>
      <sz val="11.0"/>
      <color rgb="FF0000FF"/>
      <name val="Calibri"/>
    </font>
    <font>
      <u/>
      <sz val="11.0"/>
      <color theme="10"/>
      <name val="Calibri"/>
    </font>
    <font>
      <u/>
      <sz val="10.0"/>
      <color rgb="FF0000FF"/>
      <name val="Arial Narrow"/>
    </font>
    <font>
      <u/>
      <sz val="10.0"/>
      <color theme="1"/>
      <name val="Arial Narrow"/>
    </font>
    <font>
      <u/>
      <sz val="10.0"/>
      <color rgb="FF0000FF"/>
      <name val="Arial Narrow"/>
    </font>
    <font>
      <u/>
      <sz val="11.0"/>
      <color theme="10"/>
      <name val="Calibri"/>
    </font>
    <font>
      <sz val="10.0"/>
      <color theme="1"/>
      <name val="Aptos narrow"/>
    </font>
    <font>
      <u/>
      <sz val="10.0"/>
      <color theme="10"/>
      <name val="Arial Narrow"/>
    </font>
  </fonts>
  <fills count="11">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rgb="FFFFFFFF"/>
        <bgColor rgb="FFFFFF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s>
  <borders count="32">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right/>
      <top style="thin">
        <color rgb="FF000000"/>
      </top>
      <bottom style="thin">
        <color rgb="FF000000"/>
      </bottom>
    </border>
    <border>
      <left style="thin">
        <color rgb="FF000000"/>
      </left>
      <top style="thin">
        <color rgb="FF000000"/>
      </top>
      <bottom style="thin">
        <color rgb="FF000000"/>
      </bottom>
    </border>
    <border>
      <left/>
      <right style="thin">
        <color rgb="FF000000"/>
      </righ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top/>
      <bottom/>
    </border>
    <border>
      <top/>
      <bottom/>
    </border>
    <border>
      <right style="thin">
        <color rgb="FF000000"/>
      </right>
      <top style="thin">
        <color rgb="FF000000"/>
      </top>
    </border>
    <border>
      <left style="thin">
        <color rgb="FF000000"/>
      </left>
      <right style="thin">
        <color rgb="FF000000"/>
      </right>
      <top style="thin">
        <color rgb="FF000000"/>
      </top>
    </border>
    <border>
      <left/>
      <top/>
      <bottom style="thin">
        <color rgb="FF000000"/>
      </bottom>
    </border>
    <border>
      <top/>
      <bottom style="thin">
        <color rgb="FF000000"/>
      </bottom>
    </border>
    <border>
      <right style="thin">
        <color rgb="FF000000"/>
      </right>
      <top/>
      <bottom style="thin">
        <color rgb="FF000000"/>
      </bottom>
    </border>
    <border>
      <left/>
      <right/>
      <top/>
    </border>
    <border>
      <left style="thin">
        <color rgb="FF000000"/>
      </left>
      <top/>
      <bottom/>
    </border>
    <border>
      <left style="thin">
        <color rgb="FF000000"/>
      </left>
      <bottom style="thin">
        <color rgb="FF000000"/>
      </bottom>
    </border>
    <border>
      <left style="thin">
        <color rgb="FF000000"/>
      </left>
      <right style="thin">
        <color rgb="FF000000"/>
      </right>
      <bottom style="thin">
        <color rgb="FF000000"/>
      </bottom>
    </border>
    <border>
      <left style="thin">
        <color rgb="FF000000"/>
      </left>
      <right/>
      <top style="thin">
        <color rgb="FF000000"/>
      </top>
      <bottom/>
    </border>
    <border>
      <left style="thin">
        <color rgb="FF000000"/>
      </left>
      <right style="thin">
        <color rgb="FF000000"/>
      </right>
    </border>
    <border>
      <right style="thin">
        <color rgb="FF000000"/>
      </right>
      <bottom style="thin">
        <color rgb="FF000000"/>
      </bottom>
    </border>
    <border>
      <left style="thin">
        <color rgb="FF000000"/>
      </left>
      <top style="thin">
        <color rgb="FF000000"/>
      </top>
    </border>
    <border>
      <left style="medium">
        <color rgb="FF000000"/>
      </left>
      <right style="medium">
        <color rgb="FF000000"/>
      </right>
      <top style="medium">
        <color rgb="FF000000"/>
      </top>
      <bottom style="medium">
        <color rgb="FF000000"/>
      </bottom>
    </border>
    <border>
      <left style="medium">
        <color rgb="FFCCCCCC"/>
      </left>
      <right style="medium">
        <color rgb="FF000000"/>
      </right>
      <top style="medium">
        <color rgb="FF000000"/>
      </top>
      <bottom style="medium">
        <color rgb="FF000000"/>
      </bottom>
    </border>
    <border>
      <left style="medium">
        <color rgb="FFCCCCCC"/>
      </left>
      <top style="medium">
        <color rgb="FF000000"/>
      </top>
      <bottom style="medium">
        <color rgb="FF000000"/>
      </bottom>
    </border>
    <border>
      <left style="thin">
        <color rgb="FF000000"/>
      </left>
      <right style="thin">
        <color rgb="FF000000"/>
      </right>
      <top/>
      <bottom style="thin">
        <color rgb="FF000000"/>
      </bottom>
    </border>
    <border>
      <right style="thin">
        <color rgb="FF000000"/>
      </right>
    </border>
    <border>
      <left style="medium">
        <color rgb="FFCCCCCC"/>
      </left>
      <right style="medium">
        <color rgb="FF000000"/>
      </right>
      <top style="medium">
        <color rgb="FFCCCCCC"/>
      </top>
      <bottom style="medium">
        <color rgb="FF000000"/>
      </bottom>
    </border>
  </borders>
  <cellStyleXfs count="1">
    <xf borderId="0" fillId="0" fontId="0" numFmtId="0" applyAlignment="1" applyFont="1"/>
  </cellStyleXfs>
  <cellXfs count="587">
    <xf borderId="0" fillId="0" fontId="0" numFmtId="0" xfId="0" applyAlignment="1" applyFont="1">
      <alignment readingOrder="0" shrinkToFit="0" vertical="bottom" wrapText="0"/>
    </xf>
    <xf borderId="0" fillId="0" fontId="1" numFmtId="0" xfId="0" applyFont="1"/>
    <xf borderId="0" fillId="0" fontId="1" numFmtId="0" xfId="0" applyAlignment="1" applyFont="1">
      <alignment horizontal="center"/>
    </xf>
    <xf borderId="0" fillId="0" fontId="2" numFmtId="0" xfId="0" applyFont="1"/>
    <xf borderId="1" fillId="2" fontId="3" numFmtId="0" xfId="0" applyBorder="1" applyFill="1" applyFont="1"/>
    <xf borderId="1" fillId="0" fontId="4" numFmtId="0" xfId="0" applyAlignment="1" applyBorder="1" applyFont="1">
      <alignment horizontal="center" readingOrder="0"/>
    </xf>
    <xf borderId="0" fillId="0" fontId="4" numFmtId="0" xfId="0" applyAlignment="1" applyFont="1">
      <alignment horizontal="center"/>
    </xf>
    <xf borderId="0" fillId="0" fontId="1" numFmtId="0" xfId="0" applyAlignment="1" applyFont="1">
      <alignment horizontal="center" shrinkToFit="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center" shrinkToFit="0" vertical="center" wrapText="1"/>
    </xf>
    <xf borderId="2" fillId="2" fontId="5" numFmtId="0" xfId="0" applyAlignment="1" applyBorder="1" applyFont="1">
      <alignment horizontal="center" readingOrder="0" shrinkToFit="0" vertical="center" wrapText="1"/>
    </xf>
    <xf borderId="2"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1" fillId="0" fontId="2" numFmtId="0" xfId="0" applyAlignment="1" applyBorder="1" applyFont="1">
      <alignment horizontal="center" shrinkToFit="0" vertical="center" wrapText="1"/>
    </xf>
    <xf borderId="1" fillId="6" fontId="2" numFmtId="0" xfId="0" applyAlignment="1" applyBorder="1" applyFill="1" applyFont="1">
      <alignment horizontal="left" shrinkToFit="0" vertical="center" wrapText="1"/>
    </xf>
    <xf borderId="3" fillId="6" fontId="2" numFmtId="0" xfId="0" applyAlignment="1" applyBorder="1" applyFont="1">
      <alignment horizontal="center" shrinkToFit="0" vertical="center" wrapText="1"/>
    </xf>
    <xf borderId="1" fillId="0" fontId="2" numFmtId="0" xfId="0" applyAlignment="1" applyBorder="1" applyFont="1">
      <alignment horizontal="center" vertical="center"/>
    </xf>
    <xf borderId="1" fillId="0" fontId="2" numFmtId="2" xfId="0" applyAlignment="1" applyBorder="1" applyFont="1" applyNumberFormat="1">
      <alignment horizontal="center" vertical="center"/>
    </xf>
    <xf borderId="1" fillId="4" fontId="2" numFmtId="4" xfId="0" applyAlignment="1" applyBorder="1" applyFont="1" applyNumberFormat="1">
      <alignment horizontal="center" vertical="center"/>
    </xf>
    <xf borderId="1" fillId="0" fontId="2" numFmtId="4" xfId="0" applyAlignment="1" applyBorder="1" applyFont="1" applyNumberFormat="1">
      <alignment horizontal="center" vertical="center"/>
    </xf>
    <xf borderId="1" fillId="5" fontId="2" numFmtId="4" xfId="0" applyAlignment="1" applyBorder="1" applyFont="1" applyNumberFormat="1">
      <alignment horizontal="center" vertical="center"/>
    </xf>
    <xf borderId="0" fillId="0" fontId="2" numFmtId="0" xfId="0" applyAlignment="1" applyFont="1">
      <alignment vertical="center"/>
    </xf>
    <xf borderId="1" fillId="0" fontId="2" numFmtId="0" xfId="0" applyAlignment="1" applyBorder="1" applyFont="1">
      <alignment horizontal="center"/>
    </xf>
    <xf borderId="1" fillId="0" fontId="2" numFmtId="2" xfId="0" applyAlignment="1" applyBorder="1" applyFont="1" applyNumberFormat="1">
      <alignment horizontal="center"/>
    </xf>
    <xf borderId="1" fillId="0" fontId="6" numFmtId="0" xfId="0" applyBorder="1" applyFont="1"/>
    <xf borderId="1" fillId="0" fontId="1" numFmtId="0" xfId="0" applyBorder="1" applyFont="1"/>
    <xf borderId="1" fillId="0" fontId="2" numFmtId="0" xfId="0" applyAlignment="1" applyBorder="1" applyFont="1">
      <alignment vertical="center"/>
    </xf>
    <xf borderId="1" fillId="0" fontId="2" numFmtId="0" xfId="0" applyBorder="1" applyFont="1"/>
    <xf borderId="1" fillId="0" fontId="7" numFmtId="0" xfId="0" applyAlignment="1" applyBorder="1" applyFont="1">
      <alignment horizontal="center" shrinkToFit="0" vertical="center" wrapText="1"/>
    </xf>
    <xf borderId="3" fillId="6" fontId="2" numFmtId="0" xfId="0" applyAlignment="1" applyBorder="1" applyFont="1">
      <alignment horizontal="center" shrinkToFit="0" vertical="top" wrapText="1"/>
    </xf>
    <xf borderId="1" fillId="0" fontId="2" numFmtId="2" xfId="0" applyAlignment="1" applyBorder="1" applyFont="1" applyNumberFormat="1">
      <alignment horizontal="center" vertical="top"/>
    </xf>
    <xf borderId="1" fillId="0" fontId="2" numFmtId="0" xfId="0" applyAlignment="1" applyBorder="1" applyFont="1">
      <alignment horizontal="center" vertical="top"/>
    </xf>
    <xf borderId="4" fillId="0" fontId="2" numFmtId="4" xfId="0" applyAlignment="1" applyBorder="1" applyFont="1" applyNumberFormat="1">
      <alignment horizontal="center" vertical="center"/>
    </xf>
    <xf borderId="1" fillId="0" fontId="8" numFmtId="4" xfId="0" applyAlignment="1" applyBorder="1" applyFont="1" applyNumberFormat="1">
      <alignment horizontal="center" shrinkToFit="0" vertical="center" wrapText="1"/>
    </xf>
    <xf borderId="5" fillId="5" fontId="2" numFmtId="4" xfId="0" applyAlignment="1" applyBorder="1" applyFont="1" applyNumberFormat="1">
      <alignment horizontal="center" vertical="center"/>
    </xf>
    <xf borderId="0" fillId="0" fontId="2" numFmtId="4" xfId="0" applyAlignment="1" applyFont="1" applyNumberFormat="1">
      <alignment horizontal="center"/>
    </xf>
    <xf borderId="1" fillId="0" fontId="9" numFmtId="4" xfId="0" applyAlignment="1" applyBorder="1" applyFont="1" applyNumberFormat="1">
      <alignment horizontal="center" shrinkToFit="0" vertical="center" wrapText="1"/>
    </xf>
    <xf borderId="1" fillId="0" fontId="8" numFmtId="2" xfId="0" applyAlignment="1" applyBorder="1" applyFont="1" applyNumberFormat="1">
      <alignment horizontal="center" shrinkToFit="0" vertical="center" wrapText="1"/>
    </xf>
    <xf borderId="1" fillId="0" fontId="8" numFmtId="0" xfId="0" applyAlignment="1" applyBorder="1" applyFont="1">
      <alignment horizontal="center" shrinkToFit="0" vertical="center" wrapText="1"/>
    </xf>
    <xf borderId="1" fillId="6" fontId="2" numFmtId="0" xfId="0" applyAlignment="1" applyBorder="1" applyFont="1">
      <alignment horizontal="center" shrinkToFit="0" vertical="center" wrapText="1"/>
    </xf>
    <xf borderId="1" fillId="0" fontId="2" numFmtId="3" xfId="0" applyAlignment="1" applyBorder="1" applyFont="1" applyNumberFormat="1">
      <alignment horizontal="center" shrinkToFit="0" vertical="center" wrapText="1"/>
    </xf>
    <xf borderId="1" fillId="4" fontId="1" numFmtId="0" xfId="0" applyAlignment="1" applyBorder="1" applyFont="1">
      <alignment horizontal="center" shrinkToFit="0" vertical="center" wrapText="1"/>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5" fontId="1" numFmtId="0" xfId="0" applyAlignment="1" applyBorder="1" applyFont="1">
      <alignment horizontal="center" shrinkToFit="0" vertical="center" wrapText="1"/>
    </xf>
    <xf borderId="1" fillId="5" fontId="1" numFmtId="0" xfId="0" applyBorder="1" applyFont="1"/>
    <xf borderId="1" fillId="5" fontId="1" numFmtId="4" xfId="0" applyAlignment="1" applyBorder="1" applyFont="1" applyNumberFormat="1">
      <alignment horizontal="center" vertical="center"/>
    </xf>
    <xf borderId="1" fillId="5" fontId="1" numFmtId="16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Font="1" applyNumberFormat="1"/>
    <xf borderId="1" fillId="2" fontId="1" numFmtId="0" xfId="0" applyAlignment="1" applyBorder="1" applyFont="1">
      <alignment horizontal="left" vertical="center"/>
    </xf>
    <xf borderId="1" fillId="0" fontId="1" numFmtId="0" xfId="0" applyAlignment="1" applyBorder="1" applyFont="1">
      <alignment horizontal="center" vertical="center"/>
    </xf>
    <xf borderId="0" fillId="0" fontId="2" numFmtId="11" xfId="0" applyFont="1" applyNumberFormat="1"/>
    <xf borderId="1" fillId="4" fontId="1" numFmtId="0" xfId="0" applyAlignment="1" applyBorder="1" applyFont="1">
      <alignment horizontal="left" vertical="center"/>
    </xf>
    <xf borderId="1" fillId="5" fontId="1" numFmtId="0" xfId="0" applyAlignment="1" applyBorder="1" applyFont="1">
      <alignment horizontal="left" vertical="center"/>
    </xf>
    <xf borderId="1" fillId="5" fontId="1" numFmtId="0" xfId="0" applyAlignment="1" applyBorder="1" applyFont="1">
      <alignment horizontal="center" vertical="center"/>
    </xf>
    <xf borderId="0" fillId="0" fontId="1" numFmtId="0" xfId="0" applyAlignment="1" applyFont="1">
      <alignment shrinkToFit="0" vertical="top" wrapText="1"/>
    </xf>
    <xf borderId="0" fillId="0" fontId="2" numFmtId="0" xfId="0" applyAlignment="1" applyFont="1">
      <alignment shrinkToFit="0" vertical="top" wrapText="1"/>
    </xf>
    <xf borderId="4" fillId="7" fontId="10" numFmtId="0" xfId="0" applyAlignment="1" applyBorder="1" applyFill="1" applyFont="1">
      <alignment horizontal="center" shrinkToFit="0" vertical="top" wrapText="1"/>
    </xf>
    <xf borderId="6" fillId="0" fontId="11" numFmtId="0" xfId="0" applyBorder="1" applyFont="1"/>
    <xf borderId="7" fillId="0" fontId="11" numFmtId="0" xfId="0" applyBorder="1" applyFont="1"/>
    <xf borderId="0" fillId="0" fontId="6" numFmtId="0" xfId="0" applyAlignment="1" applyFont="1">
      <alignment shrinkToFit="0" vertical="top" wrapText="1"/>
    </xf>
    <xf borderId="4" fillId="7" fontId="4" numFmtId="0" xfId="0" applyAlignment="1" applyBorder="1" applyFont="1">
      <alignment horizontal="left" shrinkToFit="0" vertical="top" wrapText="1"/>
    </xf>
    <xf borderId="8" fillId="8" fontId="1" numFmtId="0" xfId="0" applyAlignment="1" applyBorder="1" applyFill="1" applyFont="1">
      <alignment shrinkToFit="0" vertical="top" wrapText="1"/>
    </xf>
    <xf borderId="8" fillId="8" fontId="6" numFmtId="0" xfId="0" applyAlignment="1" applyBorder="1" applyFont="1">
      <alignment shrinkToFit="0" vertical="top" wrapText="1"/>
    </xf>
    <xf borderId="0" fillId="0" fontId="1" numFmtId="0" xfId="0" applyAlignment="1" applyFont="1">
      <alignment horizontal="left" shrinkToFit="0" vertical="top" wrapText="1"/>
    </xf>
    <xf borderId="2" fillId="9" fontId="4" numFmtId="0" xfId="0" applyAlignment="1" applyBorder="1" applyFill="1" applyFont="1">
      <alignment horizontal="center" shrinkToFit="0" vertical="top" wrapText="1"/>
    </xf>
    <xf borderId="9" fillId="9" fontId="4" numFmtId="0" xfId="0" applyAlignment="1" applyBorder="1" applyFont="1">
      <alignment horizontal="center" shrinkToFit="0" vertical="top" wrapText="1"/>
    </xf>
    <xf borderId="9" fillId="9" fontId="1" numFmtId="0" xfId="0" applyAlignment="1" applyBorder="1" applyFont="1">
      <alignment horizontal="center" shrinkToFit="0" vertical="top" wrapText="1"/>
    </xf>
    <xf borderId="10" fillId="9" fontId="4" numFmtId="0" xfId="0" applyAlignment="1" applyBorder="1" applyFont="1">
      <alignment horizontal="center" shrinkToFit="0" vertical="top" wrapText="1"/>
    </xf>
    <xf borderId="8" fillId="10" fontId="6" numFmtId="0" xfId="0" applyAlignment="1" applyBorder="1" applyFill="1" applyFont="1">
      <alignment shrinkToFit="0" vertical="top" wrapText="1"/>
    </xf>
    <xf borderId="0" fillId="0" fontId="12" numFmtId="0" xfId="0" applyAlignment="1" applyFont="1">
      <alignment shrinkToFit="0" vertical="top" wrapText="1"/>
    </xf>
    <xf borderId="0" fillId="0" fontId="13" numFmtId="0" xfId="0" applyAlignment="1" applyFont="1">
      <alignment shrinkToFit="0" vertical="top" wrapText="1"/>
    </xf>
    <xf borderId="1" fillId="6" fontId="4" numFmtId="0" xfId="0" applyAlignment="1" applyBorder="1" applyFont="1">
      <alignment horizontal="left" shrinkToFit="0" vertical="top" wrapText="1"/>
    </xf>
    <xf borderId="1" fillId="0" fontId="14" numFmtId="0" xfId="0" applyAlignment="1" applyBorder="1" applyFont="1">
      <alignment horizontal="left" shrinkToFit="0" vertical="top" wrapText="1"/>
    </xf>
    <xf borderId="1" fillId="6" fontId="15" numFmtId="0" xfId="0" applyAlignment="1" applyBorder="1" applyFont="1">
      <alignment horizontal="left" shrinkToFit="0" vertical="top" wrapText="1"/>
    </xf>
    <xf borderId="1" fillId="6" fontId="4" numFmtId="49" xfId="0" applyAlignment="1" applyBorder="1" applyFont="1" applyNumberFormat="1">
      <alignment horizontal="left" shrinkToFit="0" vertical="top" wrapText="1"/>
    </xf>
    <xf borderId="1" fillId="0" fontId="4" numFmtId="0" xfId="0" applyAlignment="1" applyBorder="1" applyFont="1">
      <alignment horizontal="left" shrinkToFit="0" vertical="top" wrapText="1"/>
    </xf>
    <xf borderId="1" fillId="0" fontId="4" numFmtId="1" xfId="0" applyAlignment="1" applyBorder="1" applyFont="1" applyNumberFormat="1">
      <alignment horizontal="left" shrinkToFit="0" vertical="top" wrapText="1"/>
    </xf>
    <xf borderId="1" fillId="0" fontId="4" numFmtId="4" xfId="0" applyAlignment="1" applyBorder="1" applyFont="1" applyNumberFormat="1">
      <alignment horizontal="left" shrinkToFit="0" vertical="top" wrapText="1"/>
    </xf>
    <xf borderId="1" fillId="0" fontId="1" numFmtId="0" xfId="0" applyAlignment="1" applyBorder="1" applyFont="1">
      <alignment horizontal="left" shrinkToFit="0" vertical="top" wrapText="1"/>
    </xf>
    <xf borderId="1" fillId="0" fontId="4" numFmtId="49" xfId="0" applyAlignment="1" applyBorder="1" applyFont="1" applyNumberFormat="1">
      <alignment horizontal="left" shrinkToFit="0" vertical="top" wrapText="1"/>
    </xf>
    <xf borderId="1" fillId="0" fontId="16" numFmtId="0" xfId="0" applyAlignment="1" applyBorder="1" applyFont="1">
      <alignment horizontal="left" shrinkToFit="0" vertical="top" wrapText="1"/>
    </xf>
    <xf quotePrefix="1" borderId="1" fillId="0" fontId="4" numFmtId="4" xfId="0" applyAlignment="1" applyBorder="1" applyFont="1" applyNumberFormat="1">
      <alignment horizontal="left" shrinkToFit="0" vertical="top" wrapText="1"/>
    </xf>
    <xf quotePrefix="1" borderId="1" fillId="0" fontId="4" numFmtId="49" xfId="0" applyAlignment="1" applyBorder="1" applyFont="1" applyNumberFormat="1">
      <alignment horizontal="left" shrinkToFit="0" vertical="top" wrapText="1"/>
    </xf>
    <xf borderId="1" fillId="6" fontId="17" numFmtId="0" xfId="0" applyAlignment="1" applyBorder="1" applyFont="1">
      <alignment horizontal="left" shrinkToFit="0" vertical="top" wrapText="1"/>
    </xf>
    <xf borderId="1" fillId="0" fontId="1" numFmtId="2" xfId="0" applyAlignment="1" applyBorder="1" applyFont="1" applyNumberFormat="1">
      <alignment horizontal="left" shrinkToFit="0" vertical="top" wrapText="1"/>
    </xf>
    <xf borderId="1" fillId="0" fontId="4" numFmtId="2" xfId="0" applyAlignment="1" applyBorder="1" applyFont="1" applyNumberFormat="1">
      <alignment horizontal="left" shrinkToFit="0" vertical="top" wrapText="1"/>
    </xf>
    <xf borderId="1" fillId="0" fontId="18" numFmtId="0" xfId="0" applyAlignment="1" applyBorder="1" applyFont="1">
      <alignment horizontal="left" shrinkToFit="0" vertical="top" wrapText="1"/>
    </xf>
    <xf borderId="1" fillId="0" fontId="19" numFmtId="0" xfId="0" applyAlignment="1" applyBorder="1" applyFont="1">
      <alignment horizontal="left" shrinkToFit="0" vertical="top" wrapText="1"/>
    </xf>
    <xf borderId="1" fillId="0" fontId="20" numFmtId="0" xfId="0" applyAlignment="1" applyBorder="1" applyFont="1">
      <alignment horizontal="left" shrinkToFit="0" vertical="top" wrapText="1"/>
    </xf>
    <xf borderId="1" fillId="0" fontId="21" numFmtId="0" xfId="0" applyAlignment="1" applyBorder="1" applyFont="1">
      <alignment horizontal="left" shrinkToFit="0" vertical="top" wrapText="1"/>
    </xf>
    <xf borderId="1" fillId="0" fontId="22" numFmtId="0" xfId="0" applyAlignment="1" applyBorder="1" applyFont="1">
      <alignment horizontal="left" shrinkToFit="0" vertical="top" wrapText="1"/>
    </xf>
    <xf borderId="1" fillId="0" fontId="1" numFmtId="1" xfId="0" applyAlignment="1" applyBorder="1" applyFont="1" applyNumberFormat="1">
      <alignment horizontal="left" shrinkToFit="0" vertical="top" wrapText="1"/>
    </xf>
    <xf borderId="1" fillId="6" fontId="4" numFmtId="1" xfId="0" applyAlignment="1" applyBorder="1" applyFont="1" applyNumberFormat="1">
      <alignment horizontal="left" shrinkToFit="0" vertical="top" wrapText="1"/>
    </xf>
    <xf borderId="1" fillId="8" fontId="4" numFmtId="0" xfId="0" applyAlignment="1" applyBorder="1" applyFont="1">
      <alignment horizontal="left" shrinkToFit="0" vertical="top" wrapText="1"/>
    </xf>
    <xf borderId="0" fillId="0" fontId="1" numFmtId="4" xfId="0" applyAlignment="1" applyFont="1" applyNumberFormat="1">
      <alignment horizontal="center" shrinkToFit="0" vertical="top" wrapText="1"/>
    </xf>
    <xf borderId="11" fillId="7" fontId="23" numFmtId="0" xfId="0" applyAlignment="1" applyBorder="1" applyFont="1">
      <alignment horizontal="center" shrinkToFit="0" vertical="top" wrapText="1"/>
    </xf>
    <xf borderId="12" fillId="0" fontId="11" numFmtId="0" xfId="0" applyBorder="1" applyFont="1"/>
    <xf borderId="0" fillId="0" fontId="1" numFmtId="0" xfId="0" applyAlignment="1" applyFont="1">
      <alignment shrinkToFit="0" wrapText="1"/>
    </xf>
    <xf borderId="4" fillId="7" fontId="24" numFmtId="0" xfId="0" applyAlignment="1" applyBorder="1" applyFont="1">
      <alignment horizontal="center" shrinkToFit="0" wrapText="1"/>
    </xf>
    <xf borderId="0" fillId="0" fontId="25" numFmtId="0" xfId="0" applyFont="1"/>
    <xf borderId="0" fillId="0" fontId="5" numFmtId="0" xfId="0" applyFont="1"/>
    <xf borderId="4" fillId="7" fontId="4" numFmtId="0" xfId="0" applyAlignment="1" applyBorder="1" applyFont="1">
      <alignment horizontal="left" shrinkToFit="0" wrapText="1"/>
    </xf>
    <xf borderId="0" fillId="0" fontId="25" numFmtId="0" xfId="0" applyAlignment="1" applyFont="1">
      <alignment horizontal="left" shrinkToFit="0" wrapText="1"/>
    </xf>
    <xf borderId="0" fillId="0" fontId="25" numFmtId="0" xfId="0" applyAlignment="1" applyFont="1">
      <alignment shrinkToFit="0" vertical="top" wrapText="1"/>
    </xf>
    <xf borderId="2" fillId="9" fontId="3" numFmtId="0" xfId="0" applyAlignment="1" applyBorder="1" applyFont="1">
      <alignment horizontal="center" shrinkToFit="0" vertical="center" wrapText="1"/>
    </xf>
    <xf borderId="9" fillId="9" fontId="3" numFmtId="0" xfId="0" applyAlignment="1" applyBorder="1" applyFont="1">
      <alignment horizontal="center" shrinkToFit="0" vertical="center" wrapText="1"/>
    </xf>
    <xf borderId="8" fillId="10" fontId="5" numFmtId="0" xfId="0" applyAlignment="1" applyBorder="1" applyFont="1">
      <alignment shrinkToFit="0" wrapText="1"/>
    </xf>
    <xf borderId="0" fillId="0" fontId="26" numFmtId="0" xfId="0" applyFont="1"/>
    <xf borderId="0" fillId="0" fontId="27" numFmtId="0" xfId="0" applyFont="1"/>
    <xf borderId="1" fillId="6" fontId="4" numFmtId="0" xfId="0" applyAlignment="1" applyBorder="1" applyFont="1">
      <alignment shrinkToFit="0" vertical="top" wrapText="1"/>
    </xf>
    <xf borderId="1" fillId="6" fontId="4" numFmtId="0" xfId="0" applyAlignment="1" applyBorder="1" applyFont="1">
      <alignment horizontal="center" shrinkToFit="0" vertical="top" wrapText="1"/>
    </xf>
    <xf borderId="13"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0" fillId="0" fontId="28" numFmtId="0" xfId="0" applyFont="1"/>
    <xf borderId="11" fillId="7" fontId="29" numFmtId="0" xfId="0" applyAlignment="1" applyBorder="1" applyFont="1">
      <alignment horizontal="center" shrinkToFit="0" vertical="top" wrapText="1"/>
    </xf>
    <xf borderId="6" fillId="0" fontId="2" numFmtId="0" xfId="0" applyBorder="1" applyFont="1"/>
    <xf borderId="7" fillId="0" fontId="2" numFmtId="0" xfId="0" applyBorder="1" applyFont="1"/>
    <xf borderId="0" fillId="0" fontId="30" numFmtId="0" xfId="0" applyFont="1"/>
    <xf borderId="0" fillId="0" fontId="25" numFmtId="0" xfId="0" applyAlignment="1" applyFont="1">
      <alignment horizontal="center" shrinkToFit="0" wrapText="1"/>
    </xf>
    <xf borderId="4" fillId="7" fontId="1" numFmtId="0" xfId="0" applyAlignment="1" applyBorder="1" applyFont="1">
      <alignment horizontal="left" shrinkToFit="0" wrapText="1"/>
    </xf>
    <xf borderId="4" fillId="7" fontId="4" numFmtId="0" xfId="0" applyAlignment="1" applyBorder="1" applyFont="1">
      <alignment horizontal="left"/>
    </xf>
    <xf borderId="0" fillId="0" fontId="1" numFmtId="0" xfId="0" applyAlignment="1" applyFont="1">
      <alignment horizontal="left" shrinkToFit="0" wrapText="1"/>
    </xf>
    <xf borderId="2" fillId="9" fontId="25" numFmtId="0" xfId="0" applyAlignment="1" applyBorder="1" applyFont="1">
      <alignment horizontal="center" shrinkToFit="0" vertical="center" wrapText="1"/>
    </xf>
    <xf borderId="9" fillId="9" fontId="25" numFmtId="0" xfId="0" applyAlignment="1" applyBorder="1" applyFont="1">
      <alignment horizontal="center" shrinkToFit="0" vertical="center" wrapText="1"/>
    </xf>
    <xf borderId="2" fillId="9" fontId="25" numFmtId="165" xfId="0" applyAlignment="1" applyBorder="1" applyFont="1" applyNumberFormat="1">
      <alignment horizontal="center" shrinkToFit="0" vertical="center" wrapText="1"/>
    </xf>
    <xf borderId="14" fillId="0" fontId="4" numFmtId="0" xfId="0" applyAlignment="1" applyBorder="1" applyFont="1">
      <alignment horizontal="left" shrinkToFit="0" vertical="center" wrapText="1"/>
    </xf>
    <xf borderId="13" fillId="0" fontId="4" numFmtId="0" xfId="0" applyAlignment="1" applyBorder="1" applyFont="1">
      <alignment horizontal="left" shrinkToFit="0" vertical="center" wrapText="1"/>
    </xf>
    <xf borderId="14" fillId="0" fontId="31" numFmtId="0" xfId="0" applyAlignment="1" applyBorder="1" applyFont="1">
      <alignment horizontal="left" shrinkToFit="0" vertical="center" wrapText="1"/>
    </xf>
    <xf borderId="14" fillId="0" fontId="4" numFmtId="165" xfId="0" applyAlignment="1" applyBorder="1" applyFont="1" applyNumberFormat="1">
      <alignment horizontal="left" shrinkToFit="0" vertical="center" wrapText="1"/>
    </xf>
    <xf borderId="14" fillId="0" fontId="32" numFmtId="0" xfId="0" applyAlignment="1" applyBorder="1" applyFont="1">
      <alignment horizontal="left" shrinkToFit="0" vertical="top" wrapText="1"/>
    </xf>
    <xf borderId="1" fillId="0" fontId="1" numFmtId="0" xfId="0" applyAlignment="1" applyBorder="1" applyFont="1">
      <alignment horizontal="center" shrinkToFit="0" vertical="center" wrapText="1"/>
    </xf>
    <xf borderId="1" fillId="0" fontId="1" numFmtId="165" xfId="0" applyAlignment="1" applyBorder="1" applyFont="1" applyNumberFormat="1">
      <alignment horizontal="center" shrinkToFit="0" vertical="center" wrapText="1"/>
    </xf>
    <xf borderId="1" fillId="0" fontId="1" numFmtId="0" xfId="0" applyAlignment="1" applyBorder="1" applyFont="1">
      <alignment horizontal="center" shrinkToFit="0" wrapText="1"/>
    </xf>
    <xf borderId="0" fillId="0" fontId="25" numFmtId="0" xfId="0" applyAlignment="1" applyFont="1">
      <alignment horizontal="center" shrinkToFit="0" vertical="center" wrapText="1"/>
    </xf>
    <xf borderId="0" fillId="0" fontId="25" numFmtId="165" xfId="0" applyAlignment="1" applyFont="1" applyNumberFormat="1">
      <alignment horizontal="center" shrinkToFit="0" vertical="center" wrapText="1"/>
    </xf>
    <xf borderId="11" fillId="7" fontId="33" numFmtId="0" xfId="0" applyAlignment="1" applyBorder="1" applyFont="1">
      <alignment horizontal="center" shrinkToFit="0" wrapText="1"/>
    </xf>
    <xf borderId="0" fillId="0" fontId="24" numFmtId="0" xfId="0" applyAlignment="1" applyFont="1">
      <alignment horizontal="center" shrinkToFit="0" wrapText="1"/>
    </xf>
    <xf borderId="4" fillId="7" fontId="34" numFmtId="0" xfId="0" applyAlignment="1" applyBorder="1" applyFont="1">
      <alignment horizontal="left" shrinkToFit="0" wrapText="1"/>
    </xf>
    <xf borderId="1" fillId="6" fontId="4" numFmtId="0" xfId="0" applyAlignment="1" applyBorder="1" applyFont="1">
      <alignment horizontal="left" shrinkToFit="0" vertical="center" wrapText="1"/>
    </xf>
    <xf borderId="1" fillId="0" fontId="4" numFmtId="0" xfId="0" applyAlignment="1" applyBorder="1" applyFont="1">
      <alignment horizontal="left" shrinkToFit="0" vertical="center" wrapText="1"/>
    </xf>
    <xf borderId="1" fillId="0" fontId="1" numFmtId="0" xfId="0" applyAlignment="1" applyBorder="1" applyFont="1">
      <alignment horizontal="left" shrinkToFit="0" vertical="center" wrapText="1"/>
    </xf>
    <xf borderId="1" fillId="8" fontId="35" numFmtId="0" xfId="0" applyAlignment="1" applyBorder="1" applyFont="1">
      <alignment horizontal="left" shrinkToFit="0" vertical="top" wrapText="1"/>
    </xf>
    <xf borderId="1" fillId="8" fontId="4" numFmtId="2" xfId="0" applyAlignment="1" applyBorder="1" applyFont="1" applyNumberFormat="1">
      <alignment horizontal="left" shrinkToFit="0" vertical="top" wrapText="1"/>
    </xf>
    <xf borderId="1" fillId="0" fontId="4" numFmtId="3" xfId="0" applyAlignment="1" applyBorder="1" applyFont="1" applyNumberFormat="1">
      <alignment horizontal="left" shrinkToFit="0" vertical="top" wrapText="1"/>
    </xf>
    <xf borderId="1" fillId="6" fontId="36" numFmtId="0" xfId="0" applyAlignment="1" applyBorder="1" applyFont="1">
      <alignment horizontal="left" shrinkToFit="0" vertical="top" wrapText="1"/>
    </xf>
    <xf borderId="1" fillId="8" fontId="37" numFmtId="0" xfId="0" applyAlignment="1" applyBorder="1" applyFont="1">
      <alignment horizontal="left" shrinkToFit="0" vertical="top" wrapText="1"/>
    </xf>
    <xf borderId="1" fillId="0" fontId="4" numFmtId="0" xfId="0" applyAlignment="1" applyBorder="1" applyFont="1">
      <alignment horizontal="left" shrinkToFit="0" wrapText="1"/>
    </xf>
    <xf borderId="1" fillId="8" fontId="4" numFmtId="1" xfId="0" applyAlignment="1" applyBorder="1" applyFont="1" applyNumberFormat="1">
      <alignment horizontal="left" shrinkToFit="0" vertical="top" wrapText="1"/>
    </xf>
    <xf borderId="1" fillId="8" fontId="1" numFmtId="0" xfId="0" applyAlignment="1" applyBorder="1" applyFont="1">
      <alignment horizontal="left" shrinkToFit="0" vertical="top" wrapText="1"/>
    </xf>
    <xf borderId="1" fillId="0" fontId="4" numFmtId="166" xfId="0" applyAlignment="1" applyBorder="1" applyFont="1" applyNumberFormat="1">
      <alignment horizontal="left" shrinkToFit="0" vertical="center" wrapText="1"/>
    </xf>
    <xf borderId="1" fillId="0" fontId="38" numFmtId="0" xfId="0" applyAlignment="1" applyBorder="1" applyFont="1">
      <alignment horizontal="left" shrinkToFit="0" wrapText="1"/>
    </xf>
    <xf borderId="1" fillId="0" fontId="4" numFmtId="49" xfId="0" applyAlignment="1" applyBorder="1" applyFont="1" applyNumberFormat="1">
      <alignment horizontal="left" shrinkToFit="0" vertical="center" wrapText="1"/>
    </xf>
    <xf borderId="1" fillId="0" fontId="39" numFmtId="0" xfId="0" applyAlignment="1" applyBorder="1" applyFont="1">
      <alignment horizontal="left" shrinkToFit="0" vertical="center" wrapText="1"/>
    </xf>
    <xf borderId="1" fillId="0" fontId="4" numFmtId="2" xfId="0" applyAlignment="1" applyBorder="1" applyFont="1" applyNumberFormat="1">
      <alignment horizontal="left" shrinkToFit="0" vertical="center" wrapText="1"/>
    </xf>
    <xf borderId="1" fillId="8" fontId="4" numFmtId="3" xfId="0" applyAlignment="1" applyBorder="1" applyFont="1" applyNumberFormat="1">
      <alignment horizontal="left" shrinkToFit="0" vertical="top" wrapText="1"/>
    </xf>
    <xf borderId="1" fillId="8" fontId="4" numFmtId="0" xfId="0" applyAlignment="1" applyBorder="1" applyFont="1">
      <alignment horizontal="left" shrinkToFit="0" vertical="center" wrapText="1"/>
    </xf>
    <xf borderId="1" fillId="8" fontId="1" numFmtId="2" xfId="0" applyAlignment="1" applyBorder="1" applyFont="1" applyNumberFormat="1">
      <alignment horizontal="left" shrinkToFit="0" vertical="center" wrapText="1"/>
    </xf>
    <xf borderId="1" fillId="8" fontId="4" numFmtId="49" xfId="0" applyAlignment="1" applyBorder="1" applyFont="1" applyNumberFormat="1">
      <alignment horizontal="left" shrinkToFit="0" vertical="top" wrapText="1"/>
    </xf>
    <xf borderId="1" fillId="8" fontId="1" numFmtId="1" xfId="0" applyAlignment="1" applyBorder="1" applyFont="1" applyNumberFormat="1">
      <alignment horizontal="left" shrinkToFit="0" vertical="center" wrapText="1"/>
    </xf>
    <xf borderId="1" fillId="8" fontId="4" numFmtId="1" xfId="0" applyAlignment="1" applyBorder="1" applyFont="1" applyNumberFormat="1">
      <alignment horizontal="left" shrinkToFit="0" vertical="center" wrapText="1"/>
    </xf>
    <xf borderId="1" fillId="8" fontId="1" numFmtId="0" xfId="0" applyAlignment="1" applyBorder="1" applyFont="1">
      <alignment horizontal="left" shrinkToFit="0" vertical="center" wrapText="1"/>
    </xf>
    <xf borderId="1" fillId="0" fontId="40" numFmtId="49" xfId="0" applyAlignment="1" applyBorder="1" applyFont="1" applyNumberFormat="1">
      <alignment horizontal="left" shrinkToFit="0" vertical="top" wrapText="1"/>
    </xf>
    <xf borderId="1" fillId="0" fontId="41" numFmtId="49" xfId="0" applyAlignment="1" applyBorder="1" applyFont="1" applyNumberFormat="1">
      <alignment horizontal="left" shrinkToFit="0" vertical="top" wrapText="1"/>
    </xf>
    <xf borderId="1" fillId="8" fontId="42" numFmtId="0" xfId="0" applyAlignment="1" applyBorder="1" applyFont="1">
      <alignment horizontal="left" shrinkToFit="0" vertical="center" wrapText="1"/>
    </xf>
    <xf borderId="1" fillId="0" fontId="4" numFmtId="3" xfId="0" applyAlignment="1" applyBorder="1" applyFont="1" applyNumberFormat="1">
      <alignment horizontal="left" shrinkToFit="0" vertical="center" wrapText="1"/>
    </xf>
    <xf borderId="1" fillId="0" fontId="4" numFmtId="4" xfId="0" applyAlignment="1" applyBorder="1" applyFont="1" applyNumberFormat="1">
      <alignment horizontal="left" shrinkToFit="0" vertical="center" wrapText="1"/>
    </xf>
    <xf borderId="1" fillId="8" fontId="34" numFmtId="0" xfId="0" applyAlignment="1" applyBorder="1" applyFont="1">
      <alignment horizontal="left" shrinkToFit="0" vertical="top" wrapText="1"/>
    </xf>
    <xf borderId="1" fillId="8" fontId="43" numFmtId="0" xfId="0" applyAlignment="1" applyBorder="1" applyFont="1">
      <alignment horizontal="left" shrinkToFit="0" vertical="top" wrapText="1"/>
    </xf>
    <xf borderId="1" fillId="0" fontId="1" numFmtId="0" xfId="0" applyAlignment="1" applyBorder="1" applyFont="1">
      <alignment horizontal="left" shrinkToFit="0" wrapText="1"/>
    </xf>
    <xf borderId="1" fillId="0" fontId="44" numFmtId="0" xfId="0" applyAlignment="1" applyBorder="1" applyFont="1">
      <alignment horizontal="left" shrinkToFit="0" vertical="top" wrapText="1"/>
    </xf>
    <xf borderId="1" fillId="0" fontId="45" numFmtId="0" xfId="0" applyAlignment="1" applyBorder="1" applyFont="1">
      <alignment horizontal="left" shrinkToFit="0" vertical="top" wrapText="1"/>
    </xf>
    <xf borderId="1" fillId="0" fontId="44" numFmtId="0" xfId="0" applyAlignment="1" applyBorder="1" applyFont="1">
      <alignment horizontal="left" shrinkToFit="0" wrapText="1"/>
    </xf>
    <xf borderId="1" fillId="6" fontId="1" numFmtId="0" xfId="0" applyAlignment="1" applyBorder="1" applyFont="1">
      <alignment horizontal="left" shrinkToFit="0" vertical="top" wrapText="1"/>
    </xf>
    <xf borderId="1" fillId="0" fontId="46" numFmtId="0" xfId="0" applyAlignment="1" applyBorder="1" applyFont="1">
      <alignment horizontal="left" shrinkToFit="0" wrapText="1"/>
    </xf>
    <xf borderId="1" fillId="0" fontId="47" numFmtId="0" xfId="0" applyAlignment="1" applyBorder="1" applyFont="1">
      <alignment horizontal="left" shrinkToFit="0" vertical="top" wrapText="1"/>
    </xf>
    <xf borderId="1" fillId="0" fontId="48" numFmtId="49" xfId="0" applyAlignment="1" applyBorder="1" applyFont="1" applyNumberFormat="1">
      <alignment horizontal="left" shrinkToFit="0" vertical="top" wrapText="1"/>
    </xf>
    <xf borderId="1" fillId="6" fontId="4" numFmtId="2" xfId="0" applyAlignment="1" applyBorder="1" applyFont="1" applyNumberFormat="1">
      <alignment horizontal="left" shrinkToFit="0" vertical="top" wrapText="1"/>
    </xf>
    <xf borderId="1" fillId="8" fontId="4" numFmtId="4" xfId="0" applyAlignment="1" applyBorder="1" applyFont="1" applyNumberFormat="1">
      <alignment horizontal="left" shrinkToFit="0" vertical="top" wrapText="1"/>
    </xf>
    <xf borderId="1" fillId="0" fontId="4" numFmtId="0" xfId="0" applyAlignment="1" applyBorder="1" applyFont="1">
      <alignment horizontal="left" shrinkToFit="1" vertical="top" wrapText="0"/>
    </xf>
    <xf borderId="1" fillId="0" fontId="49" numFmtId="0" xfId="0" applyAlignment="1" applyBorder="1" applyFont="1">
      <alignment horizontal="left" shrinkToFit="0" vertical="center" wrapText="1"/>
    </xf>
    <xf borderId="1" fillId="6" fontId="50" numFmtId="0" xfId="0" applyAlignment="1" applyBorder="1" applyFont="1">
      <alignment horizontal="left" shrinkToFit="0" vertical="center" wrapText="1"/>
    </xf>
    <xf borderId="1" fillId="6" fontId="4" numFmtId="1" xfId="0" applyAlignment="1" applyBorder="1" applyFont="1" applyNumberFormat="1">
      <alignment horizontal="left" shrinkToFit="0" vertical="center" wrapText="1"/>
    </xf>
    <xf borderId="1" fillId="0" fontId="4" numFmtId="1" xfId="0" applyAlignment="1" applyBorder="1" applyFont="1" applyNumberFormat="1">
      <alignment horizontal="left" shrinkToFit="0" vertical="center" wrapText="1"/>
    </xf>
    <xf borderId="1" fillId="0" fontId="21" numFmtId="0" xfId="0" applyAlignment="1" applyBorder="1" applyFont="1">
      <alignment horizontal="left" shrinkToFit="0" wrapText="1"/>
    </xf>
    <xf borderId="0" fillId="0" fontId="25" numFmtId="0" xfId="0" applyAlignment="1" applyFont="1">
      <alignment shrinkToFit="0" wrapText="1"/>
    </xf>
    <xf borderId="0" fillId="0" fontId="25" numFmtId="4" xfId="0" applyAlignment="1" applyFont="1" applyNumberFormat="1">
      <alignment horizontal="center"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0" xfId="0" applyAlignment="1" applyFont="1">
      <alignment shrinkToFit="0" vertical="top" wrapText="1"/>
    </xf>
    <xf borderId="0" fillId="0" fontId="4" numFmtId="0" xfId="0" applyFont="1"/>
    <xf borderId="0" fillId="0" fontId="4" numFmtId="2" xfId="0" applyFont="1" applyNumberFormat="1"/>
    <xf borderId="4" fillId="7" fontId="51"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15" fillId="7" fontId="1" numFmtId="0" xfId="0" applyBorder="1" applyFont="1"/>
    <xf borderId="16" fillId="0" fontId="11" numFmtId="0" xfId="0" applyBorder="1" applyFont="1"/>
    <xf borderId="17" fillId="0" fontId="11" numFmtId="0" xfId="0" applyBorder="1" applyFont="1"/>
    <xf borderId="15" fillId="7"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9" fillId="9" fontId="25" numFmtId="2" xfId="0" applyAlignment="1" applyBorder="1" applyFont="1" applyNumberFormat="1">
      <alignment horizontal="center" shrinkToFit="0" vertical="center" wrapText="1"/>
    </xf>
    <xf borderId="1" fillId="9" fontId="3" numFmtId="0" xfId="0" applyAlignment="1" applyBorder="1" applyFont="1">
      <alignment horizontal="center" shrinkToFit="0" vertical="center" wrapText="1"/>
    </xf>
    <xf borderId="14" fillId="9" fontId="3" numFmtId="0" xfId="0" applyAlignment="1" applyBorder="1" applyFont="1">
      <alignment horizontal="center" shrinkToFit="0" vertical="center" wrapText="1"/>
    </xf>
    <xf borderId="18" fillId="10" fontId="5" numFmtId="0" xfId="0" applyAlignment="1" applyBorder="1" applyFont="1">
      <alignment shrinkToFit="0" wrapText="1"/>
    </xf>
    <xf borderId="14" fillId="0" fontId="4" numFmtId="49" xfId="0" applyAlignment="1" applyBorder="1" applyFont="1" applyNumberFormat="1">
      <alignment shrinkToFit="0" vertical="top" wrapText="1"/>
    </xf>
    <xf borderId="13" fillId="0" fontId="1" numFmtId="0" xfId="0" applyAlignment="1" applyBorder="1" applyFont="1">
      <alignment horizontal="center" shrinkToFit="0" vertical="top" wrapText="1"/>
    </xf>
    <xf borderId="13" fillId="0" fontId="4" numFmtId="0" xfId="0" applyAlignment="1" applyBorder="1" applyFont="1">
      <alignment shrinkToFit="0" vertical="top" wrapText="1"/>
    </xf>
    <xf borderId="13" fillId="0" fontId="1" numFmtId="49" xfId="0" applyAlignment="1" applyBorder="1" applyFont="1" applyNumberFormat="1">
      <alignment horizontal="center" shrinkToFit="0" vertical="top" wrapText="1"/>
    </xf>
    <xf borderId="1" fillId="0" fontId="4" numFmtId="0" xfId="0" applyAlignment="1" applyBorder="1" applyFont="1">
      <alignment shrinkToFit="0" vertical="top" wrapText="1"/>
    </xf>
    <xf borderId="1" fillId="0" fontId="52" numFmtId="0" xfId="0" applyBorder="1" applyFont="1"/>
    <xf borderId="4" fillId="7" fontId="1" numFmtId="0" xfId="0" applyAlignment="1" applyBorder="1" applyFont="1">
      <alignment horizontal="left" shrinkToFit="0" vertical="top" wrapText="1"/>
    </xf>
    <xf borderId="0" fillId="0" fontId="2" numFmtId="0" xfId="0" applyAlignment="1" applyFont="1">
      <alignment horizontal="left"/>
    </xf>
    <xf borderId="1" fillId="9" fontId="25" numFmtId="0" xfId="0" applyAlignment="1" applyBorder="1" applyFont="1">
      <alignment horizontal="center" shrinkToFit="0" vertical="center" wrapText="1"/>
    </xf>
    <xf borderId="1" fillId="0" fontId="2" numFmtId="0" xfId="0" applyAlignment="1" applyBorder="1" applyFont="1">
      <alignment vertical="top"/>
    </xf>
    <xf borderId="4" fillId="0" fontId="4" numFmtId="4" xfId="0" applyAlignment="1" applyBorder="1" applyFont="1" applyNumberFormat="1">
      <alignment horizontal="center" shrinkToFit="0" vertical="top" wrapText="1"/>
    </xf>
    <xf borderId="0" fillId="0" fontId="25" numFmtId="0" xfId="0" applyAlignment="1" applyFont="1">
      <alignment horizontal="center"/>
    </xf>
    <xf borderId="0" fillId="0" fontId="25" numFmtId="4" xfId="0" applyAlignment="1" applyFont="1" applyNumberFormat="1">
      <alignment horizontal="center"/>
    </xf>
    <xf borderId="0" fillId="0" fontId="4" numFmtId="0" xfId="0" applyAlignment="1" applyFont="1">
      <alignment shrinkToFit="0" wrapText="1"/>
    </xf>
    <xf borderId="4" fillId="7" fontId="4" numFmtId="0" xfId="0" applyAlignment="1" applyBorder="1" applyFont="1">
      <alignment shrinkToFit="0" vertical="top" wrapText="1"/>
    </xf>
    <xf borderId="0" fillId="0" fontId="53" numFmtId="0" xfId="0" applyFont="1"/>
    <xf borderId="0" fillId="0" fontId="53" numFmtId="0" xfId="0" applyAlignment="1" applyFont="1">
      <alignment shrinkToFit="0" wrapText="1"/>
    </xf>
    <xf borderId="4" fillId="7" fontId="24" numFmtId="0" xfId="0" applyAlignment="1" applyBorder="1" applyFont="1">
      <alignment horizontal="center" shrinkToFit="0" vertical="center" wrapText="1"/>
    </xf>
    <xf borderId="4" fillId="7" fontId="4" numFmtId="0" xfId="0" applyAlignment="1" applyBorder="1" applyFont="1">
      <alignment shrinkToFit="0" wrapText="1"/>
    </xf>
    <xf borderId="4" fillId="7" fontId="4" numFmtId="0" xfId="0" applyBorder="1" applyFont="1"/>
    <xf borderId="0" fillId="0" fontId="54" numFmtId="0" xfId="0" applyFont="1"/>
    <xf borderId="2" fillId="9" fontId="25" numFmtId="0" xfId="0" applyAlignment="1" applyBorder="1" applyFont="1">
      <alignment shrinkToFit="0" vertical="center" wrapText="1"/>
    </xf>
    <xf borderId="2" fillId="9" fontId="3" numFmtId="0" xfId="0" applyAlignment="1" applyBorder="1" applyFont="1">
      <alignment shrinkToFit="0" vertical="center" wrapText="1"/>
    </xf>
    <xf borderId="9" fillId="9" fontId="25" numFmtId="0" xfId="0" applyAlignment="1" applyBorder="1" applyFont="1">
      <alignment shrinkToFit="0" vertical="center" wrapText="1"/>
    </xf>
    <xf borderId="9" fillId="9" fontId="3" numFmtId="0" xfId="0" applyAlignment="1" applyBorder="1" applyFont="1">
      <alignment shrinkToFit="0" vertical="center" wrapText="1"/>
    </xf>
    <xf borderId="1" fillId="0" fontId="4" numFmtId="1" xfId="0" applyAlignment="1" applyBorder="1" applyFont="1" applyNumberFormat="1">
      <alignment shrinkToFit="0" vertical="top" wrapText="1"/>
    </xf>
    <xf borderId="1" fillId="0" fontId="55" numFmtId="1" xfId="0" applyAlignment="1" applyBorder="1" applyFont="1" applyNumberFormat="1">
      <alignment shrinkToFit="0" vertical="top" wrapText="1"/>
    </xf>
    <xf borderId="1" fillId="0" fontId="4" numFmtId="4" xfId="0" applyAlignment="1" applyBorder="1" applyFont="1" applyNumberFormat="1">
      <alignment shrinkToFit="0" vertical="top" wrapText="1"/>
    </xf>
    <xf borderId="1" fillId="0" fontId="4" numFmtId="49" xfId="0" applyAlignment="1" applyBorder="1" applyFont="1" applyNumberFormat="1">
      <alignment shrinkToFit="0" vertical="top" wrapText="1"/>
    </xf>
    <xf borderId="1" fillId="0" fontId="56" numFmtId="1" xfId="0" applyAlignment="1" applyBorder="1" applyFont="1" applyNumberFormat="1">
      <alignment shrinkToFit="0" vertical="top" wrapText="1"/>
    </xf>
    <xf borderId="1" fillId="0" fontId="57" numFmtId="1" xfId="0" applyAlignment="1" applyBorder="1" applyFont="1" applyNumberFormat="1">
      <alignment shrinkToFit="0" vertical="top" wrapText="1"/>
    </xf>
    <xf borderId="1" fillId="6" fontId="4" numFmtId="49" xfId="0" applyAlignment="1" applyBorder="1" applyFont="1" applyNumberFormat="1">
      <alignment shrinkToFit="0" vertical="top" wrapText="1"/>
    </xf>
    <xf borderId="1" fillId="0" fontId="1" numFmtId="0" xfId="0" applyAlignment="1" applyBorder="1" applyFont="1">
      <alignment shrinkToFit="0" vertical="top" wrapText="1"/>
    </xf>
    <xf borderId="1" fillId="0" fontId="4" numFmtId="0" xfId="0" applyAlignment="1" applyBorder="1" applyFont="1">
      <alignment shrinkToFit="0" vertical="center" wrapText="1"/>
    </xf>
    <xf borderId="1" fillId="0" fontId="4" numFmtId="1" xfId="0" applyAlignment="1" applyBorder="1" applyFont="1" applyNumberFormat="1">
      <alignment shrinkToFit="0" vertical="center" wrapText="1"/>
    </xf>
    <xf borderId="1" fillId="0" fontId="58" numFmtId="0" xfId="0" applyAlignment="1" applyBorder="1" applyFont="1">
      <alignment shrinkToFit="0" vertical="center" wrapText="1"/>
    </xf>
    <xf borderId="1" fillId="0" fontId="4" numFmtId="4" xfId="0" applyAlignment="1" applyBorder="1" applyFont="1" applyNumberFormat="1">
      <alignment shrinkToFit="0" vertical="center" wrapText="1"/>
    </xf>
    <xf borderId="1" fillId="0" fontId="59" numFmtId="0" xfId="0" applyAlignment="1" applyBorder="1" applyFont="1">
      <alignment shrinkToFit="0" vertical="center" wrapText="1"/>
    </xf>
    <xf borderId="1" fillId="0" fontId="4" numFmtId="0" xfId="0" applyAlignment="1" applyBorder="1" applyFont="1">
      <alignment shrinkToFit="0" wrapText="1"/>
    </xf>
    <xf borderId="1" fillId="0" fontId="4" numFmtId="49" xfId="0" applyAlignment="1" applyBorder="1" applyFont="1" applyNumberFormat="1">
      <alignment shrinkToFit="0" vertical="center" wrapText="1"/>
    </xf>
    <xf borderId="1" fillId="0" fontId="60" numFmtId="0" xfId="0" applyAlignment="1" applyBorder="1" applyFont="1">
      <alignment shrinkToFit="0" vertical="center" wrapText="1"/>
    </xf>
    <xf borderId="1" fillId="8" fontId="4" numFmtId="0" xfId="0" applyAlignment="1" applyBorder="1" applyFont="1">
      <alignment shrinkToFit="0" wrapText="1"/>
    </xf>
    <xf borderId="1" fillId="0" fontId="1" numFmtId="0" xfId="0" applyAlignment="1" applyBorder="1" applyFont="1">
      <alignment shrinkToFit="0" wrapText="1"/>
    </xf>
    <xf borderId="0" fillId="0" fontId="25" numFmtId="4" xfId="0" applyFont="1" applyNumberFormat="1"/>
    <xf borderId="0" fillId="0" fontId="1" numFmtId="0" xfId="0" applyAlignment="1" applyFont="1">
      <alignment horizontal="left"/>
    </xf>
    <xf borderId="19" fillId="7" fontId="24" numFmtId="0" xfId="0" applyAlignment="1" applyBorder="1" applyFont="1">
      <alignment horizontal="left" shrinkToFit="0" wrapText="1"/>
    </xf>
    <xf borderId="0" fillId="0" fontId="5" numFmtId="0" xfId="0" applyAlignment="1" applyFont="1">
      <alignment horizontal="left"/>
    </xf>
    <xf borderId="0" fillId="0" fontId="24" numFmtId="0" xfId="0" applyAlignment="1" applyFont="1">
      <alignment horizontal="left" shrinkToFit="0" wrapText="1"/>
    </xf>
    <xf borderId="0" fillId="0" fontId="25" numFmtId="0" xfId="0" applyAlignment="1" applyFont="1">
      <alignment horizontal="left"/>
    </xf>
    <xf borderId="0" fillId="0" fontId="5" numFmtId="0" xfId="0" applyAlignment="1" applyFont="1">
      <alignment horizontal="left" shrinkToFit="0" wrapText="1"/>
    </xf>
    <xf borderId="0" fillId="0" fontId="25" numFmtId="0" xfId="0" applyAlignment="1" applyFont="1">
      <alignment horizontal="left" shrinkToFit="0" vertical="top" wrapText="1"/>
    </xf>
    <xf borderId="5" fillId="9" fontId="25" numFmtId="0" xfId="0" applyAlignment="1" applyBorder="1" applyFont="1">
      <alignment horizontal="center" shrinkToFit="0" vertical="center" wrapText="1"/>
    </xf>
    <xf borderId="3" fillId="9" fontId="25" numFmtId="0" xfId="0" applyAlignment="1" applyBorder="1" applyFont="1">
      <alignment horizontal="center" shrinkToFit="0" vertical="center" wrapText="1"/>
    </xf>
    <xf borderId="8" fillId="10" fontId="5" numFmtId="0" xfId="0" applyAlignment="1" applyBorder="1" applyFont="1">
      <alignment horizontal="center" shrinkToFit="0" wrapText="1"/>
    </xf>
    <xf borderId="4" fillId="0" fontId="4" numFmtId="2" xfId="0" applyAlignment="1" applyBorder="1" applyFont="1" applyNumberFormat="1">
      <alignment horizontal="left" shrinkToFit="0" vertical="top" wrapText="1"/>
    </xf>
    <xf borderId="4" fillId="0" fontId="4" numFmtId="1" xfId="0" applyAlignment="1" applyBorder="1" applyFont="1" applyNumberFormat="1">
      <alignment horizontal="left" shrinkToFit="0" vertical="top" wrapText="1"/>
    </xf>
    <xf borderId="20" fillId="0" fontId="4" numFmtId="2" xfId="0" applyAlignment="1" applyBorder="1" applyFont="1" applyNumberFormat="1">
      <alignment horizontal="left" shrinkToFit="0" vertical="center" wrapText="1"/>
    </xf>
    <xf borderId="4" fillId="0" fontId="4" numFmtId="0" xfId="0" applyAlignment="1" applyBorder="1" applyFont="1">
      <alignment horizontal="left" shrinkToFit="0" wrapText="1"/>
    </xf>
    <xf borderId="0" fillId="0" fontId="25" numFmtId="2" xfId="0" applyAlignment="1" applyFont="1" applyNumberFormat="1">
      <alignment horizontal="left"/>
    </xf>
    <xf borderId="11" fillId="7" fontId="33" numFmtId="0" xfId="0" applyAlignment="1" applyBorder="1" applyFont="1">
      <alignment horizontal="left" shrinkToFit="0" vertical="top" wrapText="1"/>
    </xf>
    <xf borderId="19" fillId="7" fontId="24" numFmtId="0" xfId="0" applyAlignment="1" applyBorder="1" applyFont="1">
      <alignment horizontal="center" shrinkToFit="0" wrapText="1"/>
    </xf>
    <xf borderId="1" fillId="0" fontId="2" numFmtId="0" xfId="0" applyAlignment="1" applyBorder="1" applyFont="1">
      <alignment horizontal="left" vertical="top"/>
    </xf>
    <xf borderId="1" fillId="0" fontId="2" numFmtId="0" xfId="0" applyAlignment="1" applyBorder="1" applyFont="1">
      <alignment horizontal="left"/>
    </xf>
    <xf borderId="0" fillId="0" fontId="25" numFmtId="2" xfId="0" applyAlignment="1" applyFont="1" applyNumberFormat="1">
      <alignment horizontal="center"/>
    </xf>
    <xf borderId="11" fillId="7" fontId="33" numFmtId="0" xfId="0" applyAlignment="1" applyBorder="1" applyFont="1">
      <alignment horizontal="center" shrinkToFit="0" vertical="top" wrapText="1"/>
    </xf>
    <xf borderId="0" fillId="0" fontId="1" numFmtId="0" xfId="0" applyAlignment="1" applyFont="1">
      <alignment horizontal="center" shrinkToFit="0" vertical="top" wrapText="1"/>
    </xf>
    <xf borderId="0" fillId="0" fontId="25" numFmtId="0" xfId="0" applyAlignment="1" applyFont="1">
      <alignment horizontal="center" shrinkToFit="0" vertical="top" wrapText="1"/>
    </xf>
    <xf borderId="1" fillId="0" fontId="1" numFmtId="0" xfId="0" applyAlignment="1" applyBorder="1" applyFont="1">
      <alignment horizontal="left" vertical="center"/>
    </xf>
    <xf borderId="1" fillId="0" fontId="4" numFmtId="0" xfId="0" applyAlignment="1" applyBorder="1" applyFont="1">
      <alignment horizontal="left" vertical="top"/>
    </xf>
    <xf borderId="1" fillId="0" fontId="1" numFmtId="2" xfId="0" applyAlignment="1" applyBorder="1" applyFont="1" applyNumberFormat="1">
      <alignment horizontal="left" vertical="center"/>
    </xf>
    <xf borderId="1" fillId="0" fontId="4" numFmtId="2" xfId="0" applyAlignment="1" applyBorder="1" applyFont="1" applyNumberFormat="1">
      <alignment horizontal="left" vertical="top"/>
    </xf>
    <xf borderId="1" fillId="0" fontId="1" numFmtId="0" xfId="0" applyAlignment="1" applyBorder="1" applyFont="1">
      <alignment horizontal="left" vertical="top"/>
    </xf>
    <xf borderId="1" fillId="0" fontId="1" numFmtId="2" xfId="0" applyAlignment="1" applyBorder="1" applyFont="1" applyNumberFormat="1">
      <alignment horizontal="left" vertical="top"/>
    </xf>
    <xf borderId="1" fillId="0" fontId="4" numFmtId="3" xfId="0" applyAlignment="1" applyBorder="1" applyFont="1" applyNumberFormat="1">
      <alignment horizontal="left" vertical="top"/>
    </xf>
    <xf borderId="1" fillId="0" fontId="1" numFmtId="0" xfId="0" applyAlignment="1" applyBorder="1" applyFont="1">
      <alignment horizontal="left"/>
    </xf>
    <xf borderId="1" fillId="8" fontId="1" numFmtId="1" xfId="0" applyAlignment="1" applyBorder="1" applyFont="1" applyNumberFormat="1">
      <alignment horizontal="left" vertical="center"/>
    </xf>
    <xf borderId="1" fillId="8" fontId="1" numFmtId="0" xfId="0" applyAlignment="1" applyBorder="1" applyFont="1">
      <alignment horizontal="left" vertical="center"/>
    </xf>
    <xf borderId="1" fillId="8" fontId="1" numFmtId="2" xfId="0" applyAlignment="1" applyBorder="1" applyFont="1" applyNumberFormat="1">
      <alignment horizontal="left" vertical="center"/>
    </xf>
    <xf borderId="1" fillId="0" fontId="4" numFmtId="49" xfId="0" applyAlignment="1" applyBorder="1" applyFont="1" applyNumberFormat="1">
      <alignment horizontal="left" vertical="center"/>
    </xf>
    <xf borderId="1" fillId="0" fontId="4" numFmtId="0" xfId="0" applyAlignment="1" applyBorder="1" applyFont="1">
      <alignment horizontal="left" vertical="center"/>
    </xf>
    <xf borderId="1" fillId="0" fontId="4" numFmtId="2" xfId="0" applyAlignment="1" applyBorder="1" applyFont="1" applyNumberFormat="1">
      <alignment horizontal="left" vertical="center"/>
    </xf>
    <xf borderId="1" fillId="0" fontId="1" numFmtId="1" xfId="0" applyAlignment="1" applyBorder="1" applyFont="1" applyNumberFormat="1">
      <alignment horizontal="left" shrinkToFit="0" vertical="center" wrapText="1"/>
    </xf>
    <xf borderId="1" fillId="0" fontId="1" numFmtId="2" xfId="0" applyAlignment="1" applyBorder="1" applyFont="1" applyNumberFormat="1">
      <alignment horizontal="left" shrinkToFit="0" vertical="center" wrapText="1"/>
    </xf>
    <xf borderId="1" fillId="8" fontId="4" numFmtId="49" xfId="0" applyAlignment="1" applyBorder="1" applyFont="1" applyNumberFormat="1">
      <alignment horizontal="left" vertical="top"/>
    </xf>
    <xf borderId="1" fillId="8" fontId="4" numFmtId="0" xfId="0" applyAlignment="1" applyBorder="1" applyFont="1">
      <alignment horizontal="left" vertical="top"/>
    </xf>
    <xf borderId="1" fillId="8" fontId="4" numFmtId="2" xfId="0" applyAlignment="1" applyBorder="1" applyFont="1" applyNumberFormat="1">
      <alignment horizontal="left" vertical="top"/>
    </xf>
    <xf borderId="1" fillId="0" fontId="61" numFmtId="1" xfId="0" applyAlignment="1" applyBorder="1" applyFont="1" applyNumberFormat="1">
      <alignment horizontal="left" shrinkToFit="0" vertical="top" wrapText="1"/>
    </xf>
    <xf borderId="1" fillId="0" fontId="62" numFmtId="0" xfId="0" applyAlignment="1" applyBorder="1" applyFont="1">
      <alignment horizontal="left" vertical="top"/>
    </xf>
    <xf borderId="1" fillId="6" fontId="4" numFmtId="1" xfId="0" applyAlignment="1" applyBorder="1" applyFont="1" applyNumberFormat="1">
      <alignment horizontal="left" vertical="top"/>
    </xf>
    <xf borderId="1" fillId="6" fontId="4" numFmtId="2" xfId="0" applyAlignment="1" applyBorder="1" applyFont="1" applyNumberFormat="1">
      <alignment horizontal="left" vertical="top"/>
    </xf>
    <xf borderId="1" fillId="8" fontId="1" numFmtId="0" xfId="0" applyAlignment="1" applyBorder="1" applyFont="1">
      <alignment horizontal="left" vertical="top"/>
    </xf>
    <xf borderId="1" fillId="0" fontId="1" numFmtId="1" xfId="0" applyAlignment="1" applyBorder="1" applyFont="1" applyNumberFormat="1">
      <alignment horizontal="left" vertical="center"/>
    </xf>
    <xf borderId="1" fillId="0" fontId="63" numFmtId="0" xfId="0" applyAlignment="1" applyBorder="1" applyFont="1">
      <alignment horizontal="left" vertical="center"/>
    </xf>
    <xf borderId="1" fillId="0" fontId="4" numFmtId="49" xfId="0" applyAlignment="1" applyBorder="1" applyFont="1" applyNumberFormat="1">
      <alignment horizontal="left" vertical="top"/>
    </xf>
    <xf borderId="1" fillId="0" fontId="64" numFmtId="0" xfId="0" applyAlignment="1" applyBorder="1" applyFont="1">
      <alignment horizontal="left" shrinkToFit="0" vertical="top" wrapText="1"/>
    </xf>
    <xf borderId="1" fillId="0" fontId="65" numFmtId="0" xfId="0" applyAlignment="1" applyBorder="1" applyFont="1">
      <alignment horizontal="left"/>
    </xf>
    <xf borderId="1" fillId="0" fontId="65" numFmtId="0" xfId="0" applyAlignment="1" applyBorder="1" applyFont="1">
      <alignment horizontal="left" shrinkToFit="0" vertical="center" wrapText="1"/>
    </xf>
    <xf borderId="1" fillId="0" fontId="65" numFmtId="0" xfId="0" applyAlignment="1" applyBorder="1" applyFont="1">
      <alignment horizontal="left" shrinkToFit="0" vertical="top" wrapText="1"/>
    </xf>
    <xf borderId="1" fillId="0" fontId="65" numFmtId="0" xfId="0" applyAlignment="1" applyBorder="1" applyFont="1">
      <alignment horizontal="left" shrinkToFit="0" wrapText="1"/>
    </xf>
    <xf borderId="1" fillId="6" fontId="4" numFmtId="2" xfId="0" applyAlignment="1" applyBorder="1" applyFont="1" applyNumberFormat="1">
      <alignment horizontal="left" shrinkToFit="0" vertical="center" wrapText="1"/>
    </xf>
    <xf borderId="1" fillId="0" fontId="22" numFmtId="0" xfId="0" applyAlignment="1" applyBorder="1" applyFont="1">
      <alignment horizontal="left" shrinkToFit="0" vertical="center" wrapText="1"/>
    </xf>
    <xf borderId="1" fillId="0" fontId="21" numFmtId="0" xfId="0" applyAlignment="1" applyBorder="1" applyFont="1">
      <alignment horizontal="left" shrinkToFit="0" vertical="center" wrapText="1"/>
    </xf>
    <xf borderId="0" fillId="0" fontId="2" numFmtId="0" xfId="0" applyAlignment="1" applyFont="1">
      <alignment shrinkToFit="0" wrapText="1"/>
    </xf>
    <xf borderId="0" fillId="0" fontId="2" numFmtId="0" xfId="0" applyAlignment="1" applyFont="1">
      <alignment horizontal="center"/>
    </xf>
    <xf borderId="1" fillId="9" fontId="25" numFmtId="2" xfId="0" applyAlignment="1" applyBorder="1" applyFont="1" applyNumberFormat="1">
      <alignment horizontal="center" shrinkToFit="0" vertical="center" wrapText="1"/>
    </xf>
    <xf borderId="1" fillId="0" fontId="4" numFmtId="14" xfId="0" applyAlignment="1" applyBorder="1" applyFont="1" applyNumberFormat="1">
      <alignment horizontal="left" shrinkToFit="0" vertical="top" wrapText="1"/>
    </xf>
    <xf borderId="4" fillId="0" fontId="4" numFmtId="0" xfId="0" applyAlignment="1" applyBorder="1" applyFont="1">
      <alignment horizontal="left" shrinkToFit="0" vertical="top" wrapText="1"/>
    </xf>
    <xf borderId="1" fillId="0" fontId="66" numFmtId="0" xfId="0" applyAlignment="1" applyBorder="1" applyFont="1">
      <alignment horizontal="left" shrinkToFit="0" vertical="top" wrapText="1"/>
    </xf>
    <xf borderId="0" fillId="0" fontId="67" numFmtId="0" xfId="0" applyAlignment="1" applyFont="1">
      <alignment horizontal="left" vertical="top"/>
    </xf>
    <xf borderId="1" fillId="0" fontId="1" numFmtId="3" xfId="0" applyAlignment="1" applyBorder="1" applyFont="1" applyNumberFormat="1">
      <alignment horizontal="left" shrinkToFit="0" vertical="top" wrapText="1"/>
    </xf>
    <xf borderId="21" fillId="0" fontId="4" numFmtId="14" xfId="0" applyAlignment="1" applyBorder="1" applyFont="1" applyNumberFormat="1">
      <alignment horizontal="left" shrinkToFit="0" vertical="top" wrapText="1"/>
    </xf>
    <xf borderId="1" fillId="6" fontId="68" numFmtId="0" xfId="0" applyAlignment="1" applyBorder="1" applyFont="1">
      <alignment horizontal="left" shrinkToFit="0" vertical="top" wrapText="1"/>
    </xf>
    <xf borderId="3" fillId="6" fontId="4" numFmtId="2" xfId="0" applyAlignment="1" applyBorder="1" applyFont="1" applyNumberFormat="1">
      <alignment horizontal="left" shrinkToFit="0" vertical="top" wrapText="1"/>
    </xf>
    <xf borderId="1" fillId="6" fontId="4" numFmtId="14" xfId="0" applyAlignment="1" applyBorder="1" applyFont="1" applyNumberFormat="1">
      <alignment horizontal="left" shrinkToFit="0" vertical="top" wrapText="1"/>
    </xf>
    <xf quotePrefix="1" borderId="1" fillId="0" fontId="2" numFmtId="0" xfId="0" applyAlignment="1" applyBorder="1" applyFont="1">
      <alignment horizontal="left" vertical="top"/>
    </xf>
    <xf borderId="1" fillId="0" fontId="32" numFmtId="0" xfId="0" applyAlignment="1" applyBorder="1" applyFont="1">
      <alignment horizontal="left" shrinkToFit="0" vertical="top" wrapText="1"/>
    </xf>
    <xf borderId="1" fillId="8" fontId="4" numFmtId="17" xfId="0" applyAlignment="1" applyBorder="1" applyFont="1" applyNumberFormat="1">
      <alignment horizontal="left" shrinkToFit="0" vertical="top" wrapText="1"/>
    </xf>
    <xf borderId="1" fillId="8" fontId="32" numFmtId="0" xfId="0" applyAlignment="1" applyBorder="1" applyFont="1">
      <alignment horizontal="left" shrinkToFit="0" vertical="top" wrapText="1"/>
    </xf>
    <xf borderId="1" fillId="0" fontId="4" numFmtId="17" xfId="0" applyAlignment="1" applyBorder="1" applyFont="1" applyNumberFormat="1">
      <alignment horizontal="left" shrinkToFit="0" vertical="top" wrapText="1"/>
    </xf>
    <xf borderId="1" fillId="0" fontId="2" numFmtId="0" xfId="0" applyAlignment="1" applyBorder="1" applyFont="1">
      <alignment horizontal="left" shrinkToFit="0" vertical="top" wrapText="1"/>
    </xf>
    <xf borderId="1" fillId="0" fontId="1" numFmtId="17" xfId="0" applyAlignment="1" applyBorder="1" applyFont="1" applyNumberFormat="1">
      <alignment horizontal="left" shrinkToFit="0" vertical="top" wrapText="1"/>
    </xf>
    <xf borderId="1" fillId="0" fontId="2" numFmtId="15" xfId="0" applyAlignment="1" applyBorder="1" applyFont="1" applyNumberFormat="1">
      <alignment horizontal="left" shrinkToFit="0" vertical="top" wrapText="1"/>
    </xf>
    <xf borderId="1" fillId="0" fontId="69" numFmtId="0" xfId="0" applyAlignment="1" applyBorder="1" applyFont="1">
      <alignment horizontal="left" shrinkToFit="0" vertical="top" wrapText="1"/>
    </xf>
    <xf borderId="21" fillId="0" fontId="70" numFmtId="0" xfId="0" applyAlignment="1" applyBorder="1" applyFont="1">
      <alignment horizontal="left" shrinkToFit="0" vertical="top" wrapText="1"/>
    </xf>
    <xf borderId="4" fillId="0" fontId="1" numFmtId="2" xfId="0" applyAlignment="1" applyBorder="1" applyFont="1" applyNumberFormat="1">
      <alignment horizontal="left" shrinkToFit="0" vertical="top" wrapText="1"/>
    </xf>
    <xf borderId="1" fillId="0" fontId="1" numFmtId="14" xfId="0" applyAlignment="1" applyBorder="1" applyFont="1" applyNumberFormat="1">
      <alignment horizontal="left" shrinkToFit="0" vertical="top" wrapText="1"/>
    </xf>
    <xf borderId="0" fillId="0" fontId="2" numFmtId="0" xfId="0" applyAlignment="1" applyFont="1">
      <alignment horizontal="left" vertical="top"/>
    </xf>
    <xf borderId="0" fillId="0" fontId="4" numFmtId="0" xfId="0" applyAlignment="1" applyFont="1">
      <alignment horizontal="left" shrinkToFit="0" vertical="top" wrapText="1"/>
    </xf>
    <xf borderId="7" fillId="0" fontId="2" numFmtId="0" xfId="0" applyAlignment="1" applyBorder="1" applyFont="1">
      <alignment horizontal="left" vertical="top"/>
    </xf>
    <xf borderId="1" fillId="0" fontId="8" numFmtId="22" xfId="0" applyAlignment="1" applyBorder="1" applyFont="1" applyNumberFormat="1">
      <alignment horizontal="left" shrinkToFit="0" vertical="top" wrapText="1"/>
    </xf>
    <xf borderId="1" fillId="0" fontId="4" numFmtId="22" xfId="0" applyAlignment="1" applyBorder="1" applyFont="1" applyNumberFormat="1">
      <alignment horizontal="left" shrinkToFit="0" vertical="top" wrapText="1"/>
    </xf>
    <xf borderId="3" fillId="6" fontId="4" numFmtId="1" xfId="0" applyAlignment="1" applyBorder="1" applyFont="1" applyNumberFormat="1">
      <alignment horizontal="left" shrinkToFit="0" vertical="top" wrapText="1"/>
    </xf>
    <xf borderId="14" fillId="0" fontId="4" numFmtId="0" xfId="0" applyAlignment="1" applyBorder="1" applyFont="1">
      <alignment horizontal="left" shrinkToFit="0" vertical="top" wrapText="1"/>
    </xf>
    <xf borderId="2" fillId="6" fontId="4" numFmtId="0" xfId="0" applyAlignment="1" applyBorder="1" applyFont="1">
      <alignment horizontal="left" shrinkToFit="0" vertical="top" wrapText="1"/>
    </xf>
    <xf borderId="14" fillId="0" fontId="71" numFmtId="0" xfId="0" applyAlignment="1" applyBorder="1" applyFont="1">
      <alignment horizontal="left" shrinkToFit="0" vertical="top" wrapText="1"/>
    </xf>
    <xf borderId="22" fillId="6" fontId="4" numFmtId="1" xfId="0" applyAlignment="1" applyBorder="1" applyFont="1" applyNumberFormat="1">
      <alignment horizontal="left" shrinkToFit="0" vertical="top" wrapText="1"/>
    </xf>
    <xf borderId="1" fillId="0" fontId="4" numFmtId="15" xfId="0" applyAlignment="1" applyBorder="1" applyFont="1" applyNumberFormat="1">
      <alignment horizontal="left" shrinkToFit="0" vertical="top" wrapText="1"/>
    </xf>
    <xf borderId="1" fillId="0" fontId="1" numFmtId="15" xfId="0" applyAlignment="1" applyBorder="1" applyFont="1" applyNumberFormat="1">
      <alignment horizontal="left" shrinkToFit="0" vertical="top" wrapText="1"/>
    </xf>
    <xf borderId="1" fillId="0" fontId="72" numFmtId="0" xfId="0" applyAlignment="1" applyBorder="1" applyFont="1">
      <alignment horizontal="left" shrinkToFit="0" vertical="top" wrapText="1"/>
    </xf>
    <xf borderId="1" fillId="0" fontId="72" numFmtId="2" xfId="0" applyAlignment="1" applyBorder="1" applyFont="1" applyNumberFormat="1">
      <alignment horizontal="left" shrinkToFit="0" vertical="top" wrapText="1"/>
    </xf>
    <xf borderId="1" fillId="6" fontId="73" numFmtId="0" xfId="0" applyAlignment="1" applyBorder="1" applyFont="1">
      <alignment horizontal="left" shrinkToFit="0" vertical="top" wrapText="1"/>
    </xf>
    <xf borderId="4" fillId="0" fontId="72" numFmtId="0" xfId="0" applyAlignment="1" applyBorder="1" applyFont="1">
      <alignment horizontal="left" shrinkToFit="0" vertical="top" wrapText="1"/>
    </xf>
    <xf borderId="1" fillId="0" fontId="72" numFmtId="0" xfId="0" applyAlignment="1" applyBorder="1" applyFont="1">
      <alignment horizontal="left" vertical="top"/>
    </xf>
    <xf borderId="14" fillId="0" fontId="72" numFmtId="0" xfId="0" applyAlignment="1" applyBorder="1" applyFont="1">
      <alignment horizontal="left" shrinkToFit="0" vertical="top" wrapText="1"/>
    </xf>
    <xf borderId="14" fillId="0" fontId="72" numFmtId="49" xfId="0" applyAlignment="1" applyBorder="1" applyFont="1" applyNumberFormat="1">
      <alignment horizontal="left" shrinkToFit="0" vertical="top" wrapText="1"/>
    </xf>
    <xf borderId="14" fillId="0" fontId="74" numFmtId="0" xfId="0" applyAlignment="1" applyBorder="1" applyFont="1">
      <alignment horizontal="left" shrinkToFit="0" vertical="top" wrapText="1"/>
    </xf>
    <xf borderId="14" fillId="0" fontId="72" numFmtId="1" xfId="0" applyAlignment="1" applyBorder="1" applyFont="1" applyNumberFormat="1">
      <alignment horizontal="left" shrinkToFit="0" vertical="top" wrapText="1"/>
    </xf>
    <xf borderId="22" fillId="6" fontId="72" numFmtId="2" xfId="0" applyAlignment="1" applyBorder="1" applyFont="1" applyNumberFormat="1">
      <alignment horizontal="left" shrinkToFit="0" vertical="top" wrapText="1"/>
    </xf>
    <xf borderId="14" fillId="0" fontId="72" numFmtId="0" xfId="0" applyAlignment="1" applyBorder="1" applyFont="1">
      <alignment horizontal="left" vertical="top"/>
    </xf>
    <xf borderId="1" fillId="0" fontId="75" numFmtId="0" xfId="0" applyAlignment="1" applyBorder="1" applyFont="1">
      <alignment horizontal="left" shrinkToFit="0" vertical="top" wrapText="1"/>
    </xf>
    <xf borderId="1" fillId="0" fontId="76" numFmtId="0" xfId="0" applyAlignment="1" applyBorder="1" applyFont="1">
      <alignment horizontal="left" shrinkToFit="0" vertical="top" wrapText="1"/>
    </xf>
    <xf borderId="1" fillId="0" fontId="76" numFmtId="0" xfId="0" applyAlignment="1" applyBorder="1" applyFont="1">
      <alignment horizontal="left" vertical="top"/>
    </xf>
    <xf borderId="1" fillId="0" fontId="77" numFmtId="0" xfId="0" applyAlignment="1" applyBorder="1" applyFont="1">
      <alignment horizontal="left" shrinkToFit="0" vertical="top" wrapText="1"/>
    </xf>
    <xf borderId="23" fillId="0" fontId="72" numFmtId="0" xfId="0" applyAlignment="1" applyBorder="1" applyFont="1">
      <alignment horizontal="left" vertical="top"/>
    </xf>
    <xf borderId="0" fillId="0" fontId="78" numFmtId="0" xfId="0" applyAlignment="1" applyFont="1">
      <alignment horizontal="left" vertical="top"/>
    </xf>
    <xf quotePrefix="1" borderId="1" fillId="0" fontId="4" numFmtId="0" xfId="0" applyAlignment="1" applyBorder="1" applyFont="1">
      <alignment horizontal="left" shrinkToFit="0" vertical="top" wrapText="1"/>
    </xf>
    <xf borderId="1" fillId="0" fontId="79" numFmtId="1" xfId="0" applyAlignment="1" applyBorder="1" applyFont="1" applyNumberFormat="1">
      <alignment horizontal="left" shrinkToFit="0" vertical="top" wrapText="1"/>
    </xf>
    <xf borderId="0" fillId="0" fontId="2" numFmtId="0" xfId="0" applyAlignment="1" applyFont="1">
      <alignment horizontal="left" shrinkToFit="0" vertical="top" wrapText="1"/>
    </xf>
    <xf borderId="1" fillId="0" fontId="80" numFmtId="0" xfId="0" applyAlignment="1" applyBorder="1" applyFont="1">
      <alignment horizontal="left" shrinkToFit="0" vertical="top" wrapText="1"/>
    </xf>
    <xf borderId="1" fillId="0" fontId="81" numFmtId="0" xfId="0" applyAlignment="1" applyBorder="1" applyFont="1">
      <alignment horizontal="left" shrinkToFit="0" vertical="top" wrapText="1"/>
    </xf>
    <xf borderId="0" fillId="0" fontId="82" numFmtId="0" xfId="0" applyAlignment="1" applyFont="1">
      <alignment horizontal="left" shrinkToFit="0" vertical="top" wrapText="1"/>
    </xf>
    <xf borderId="7" fillId="0" fontId="4" numFmtId="0" xfId="0" applyAlignment="1" applyBorder="1" applyFont="1">
      <alignment horizontal="left" shrinkToFit="0" vertical="top" wrapText="1"/>
    </xf>
    <xf borderId="24" fillId="0" fontId="83" numFmtId="0" xfId="0" applyAlignment="1" applyBorder="1" applyFont="1">
      <alignment horizontal="left" shrinkToFit="0" vertical="top" wrapText="1"/>
    </xf>
    <xf borderId="0" fillId="0" fontId="84" numFmtId="0" xfId="0" applyAlignment="1" applyFont="1">
      <alignment horizontal="left" vertical="top"/>
    </xf>
    <xf borderId="1" fillId="0" fontId="85" numFmtId="0" xfId="0" applyAlignment="1" applyBorder="1" applyFont="1">
      <alignment horizontal="left" shrinkToFit="0" vertical="top" wrapText="1"/>
    </xf>
    <xf borderId="0" fillId="0" fontId="86" numFmtId="15" xfId="0" applyAlignment="1" applyFont="1" applyNumberFormat="1">
      <alignment horizontal="left" vertical="top"/>
    </xf>
    <xf borderId="1" fillId="0" fontId="87" numFmtId="14" xfId="0" applyAlignment="1" applyBorder="1" applyFont="1" applyNumberFormat="1">
      <alignment horizontal="left" shrinkToFit="0" vertical="top" wrapText="1"/>
    </xf>
    <xf borderId="4" fillId="0" fontId="2" numFmtId="0" xfId="0" applyAlignment="1" applyBorder="1" applyFont="1">
      <alignment horizontal="left" vertical="top"/>
    </xf>
    <xf borderId="4" fillId="7" fontId="1" numFmtId="0" xfId="0" applyAlignment="1" applyBorder="1" applyFont="1">
      <alignment shrinkToFit="0" wrapText="1"/>
    </xf>
    <xf borderId="4" fillId="7" fontId="25" numFmtId="0" xfId="0" applyAlignment="1" applyBorder="1" applyFont="1">
      <alignment shrinkToFit="0" vertical="top" wrapText="1"/>
    </xf>
    <xf borderId="1" fillId="0" fontId="2" numFmtId="2" xfId="0" applyAlignment="1" applyBorder="1" applyFont="1" applyNumberFormat="1">
      <alignment horizontal="left" vertical="top"/>
    </xf>
    <xf borderId="1" fillId="0" fontId="2" numFmtId="0" xfId="0" applyAlignment="1" applyBorder="1" applyFont="1">
      <alignment horizontal="left" vertical="center"/>
    </xf>
    <xf borderId="4" fillId="0" fontId="4" numFmtId="49" xfId="0" applyAlignment="1" applyBorder="1" applyFont="1" applyNumberFormat="1">
      <alignment horizontal="left" shrinkToFit="0" vertical="top" wrapText="1"/>
    </xf>
    <xf borderId="1" fillId="6" fontId="88" numFmtId="0" xfId="0" applyAlignment="1" applyBorder="1" applyFont="1">
      <alignment horizontal="left" shrinkToFit="0" vertical="top" wrapText="1"/>
    </xf>
    <xf borderId="4" fillId="0" fontId="4" numFmtId="14" xfId="0" applyAlignment="1" applyBorder="1" applyFont="1" applyNumberFormat="1">
      <alignment horizontal="left" shrinkToFit="0" vertical="top" wrapText="1"/>
    </xf>
    <xf borderId="4" fillId="0" fontId="4" numFmtId="15" xfId="0" applyAlignment="1" applyBorder="1" applyFont="1" applyNumberFormat="1">
      <alignment horizontal="left" shrinkToFit="0" vertical="top" wrapText="1"/>
    </xf>
    <xf borderId="4" fillId="0" fontId="1" numFmtId="14" xfId="0" applyAlignment="1" applyBorder="1" applyFont="1" applyNumberFormat="1">
      <alignment horizontal="left" shrinkToFit="0" vertical="top" wrapText="1"/>
    </xf>
    <xf borderId="1" fillId="0" fontId="34" numFmtId="0" xfId="0" applyAlignment="1" applyBorder="1" applyFont="1">
      <alignment shrinkToFit="0" vertical="top" wrapText="1"/>
    </xf>
    <xf borderId="1" fillId="0" fontId="89" numFmtId="0" xfId="0" applyAlignment="1" applyBorder="1" applyFont="1">
      <alignment horizontal="left" shrinkToFit="0" vertical="center" wrapText="1"/>
    </xf>
    <xf borderId="1" fillId="0" fontId="90" numFmtId="0" xfId="0" applyAlignment="1" applyBorder="1" applyFont="1">
      <alignment horizontal="left" shrinkToFit="0" vertical="center" wrapText="1"/>
    </xf>
    <xf borderId="1" fillId="0" fontId="4" numFmtId="0" xfId="0" applyAlignment="1" applyBorder="1" applyFont="1">
      <alignment horizontal="center" shrinkToFit="0" vertical="center" wrapText="1"/>
    </xf>
    <xf borderId="1" fillId="6" fontId="91" numFmtId="0" xfId="0" applyAlignment="1" applyBorder="1" applyFont="1">
      <alignment horizontal="left" shrinkToFit="0" vertical="center" wrapText="1"/>
    </xf>
    <xf borderId="4" fillId="0" fontId="4" numFmtId="49" xfId="0" applyAlignment="1" applyBorder="1" applyFont="1" applyNumberFormat="1">
      <alignment horizontal="left" shrinkToFit="0" vertical="center" wrapText="1"/>
    </xf>
    <xf borderId="1" fillId="8" fontId="4" numFmtId="0" xfId="0" applyAlignment="1" applyBorder="1" applyFont="1">
      <alignment horizontal="center" shrinkToFit="0" vertical="center" wrapText="1"/>
    </xf>
    <xf borderId="1" fillId="8" fontId="4" numFmtId="2" xfId="0" applyAlignment="1" applyBorder="1" applyFont="1" applyNumberFormat="1">
      <alignment horizontal="left" shrinkToFit="0" vertical="center" wrapText="1"/>
    </xf>
    <xf borderId="1" fillId="8" fontId="92" numFmtId="0" xfId="0" applyAlignment="1" applyBorder="1" applyFont="1">
      <alignment horizontal="left" shrinkToFit="0" vertical="center" wrapText="1"/>
    </xf>
    <xf borderId="4" fillId="0" fontId="4" numFmtId="0" xfId="0" applyAlignment="1" applyBorder="1" applyFont="1">
      <alignment horizontal="left" shrinkToFit="0" vertical="center" wrapText="1"/>
    </xf>
    <xf borderId="1" fillId="8" fontId="4" numFmtId="0" xfId="0" applyAlignment="1" applyBorder="1" applyFont="1">
      <alignment horizontal="left" vertical="center"/>
    </xf>
    <xf borderId="1" fillId="0" fontId="3" numFmtId="0" xfId="0" applyAlignment="1" applyBorder="1" applyFont="1">
      <alignment horizontal="center" shrinkToFit="0" vertical="top" wrapText="1"/>
    </xf>
    <xf borderId="1" fillId="8" fontId="3" numFmtId="0" xfId="0" applyAlignment="1" applyBorder="1" applyFont="1">
      <alignment horizontal="center" shrinkToFit="0" vertical="top" wrapText="1"/>
    </xf>
    <xf borderId="1" fillId="8" fontId="4" numFmtId="0" xfId="0" applyAlignment="1" applyBorder="1" applyFont="1">
      <alignment horizontal="center" shrinkToFit="0" vertical="top" wrapText="1"/>
    </xf>
    <xf borderId="1" fillId="0" fontId="93" numFmtId="0" xfId="0" applyAlignment="1" applyBorder="1" applyFont="1">
      <alignment horizontal="left" shrinkToFit="0" vertical="center" wrapText="1"/>
    </xf>
    <xf borderId="1" fillId="0" fontId="4" numFmtId="2" xfId="0" applyAlignment="1" applyBorder="1" applyFont="1" applyNumberFormat="1">
      <alignment shrinkToFit="0" vertical="top" wrapText="1"/>
    </xf>
    <xf borderId="0" fillId="0" fontId="2" numFmtId="0" xfId="0" applyAlignment="1" applyFont="1">
      <alignment horizontal="left" vertical="center"/>
    </xf>
    <xf borderId="1" fillId="0" fontId="1" numFmtId="0" xfId="0" applyAlignment="1" applyBorder="1" applyFont="1">
      <alignment horizontal="center" shrinkToFit="0" vertical="top" wrapText="1"/>
    </xf>
    <xf borderId="0" fillId="0" fontId="4" numFmtId="0" xfId="0" applyAlignment="1" applyFont="1">
      <alignment horizontal="left" vertical="top"/>
    </xf>
    <xf borderId="14" fillId="0" fontId="4" numFmtId="0" xfId="0" applyAlignment="1" applyBorder="1" applyFont="1">
      <alignment shrinkToFit="0" vertical="top" wrapText="1"/>
    </xf>
    <xf borderId="14" fillId="0" fontId="4" numFmtId="0" xfId="0" applyAlignment="1" applyBorder="1" applyFont="1">
      <alignment horizontal="center" shrinkToFit="0" vertical="top" wrapText="1"/>
    </xf>
    <xf borderId="14" fillId="0" fontId="1" numFmtId="0" xfId="0" applyAlignment="1" applyBorder="1" applyFont="1">
      <alignment shrinkToFit="0" vertical="top" wrapText="1"/>
    </xf>
    <xf borderId="14" fillId="0" fontId="4" numFmtId="2" xfId="0" applyAlignment="1" applyBorder="1" applyFont="1" applyNumberFormat="1">
      <alignment horizontal="left" shrinkToFit="0" vertical="top" wrapText="1"/>
    </xf>
    <xf borderId="14" fillId="0" fontId="94" numFmtId="2" xfId="0" applyAlignment="1" applyBorder="1" applyFont="1" applyNumberFormat="1">
      <alignment horizontal="left" shrinkToFit="0" vertical="top" wrapText="1"/>
    </xf>
    <xf borderId="14" fillId="0" fontId="95" numFmtId="0" xfId="0" applyAlignment="1" applyBorder="1" applyFont="1">
      <alignment horizontal="left" shrinkToFit="0" vertical="top" wrapText="1"/>
    </xf>
    <xf borderId="25" fillId="0" fontId="4" numFmtId="0" xfId="0" applyAlignment="1" applyBorder="1" applyFont="1">
      <alignment horizontal="left" shrinkToFit="0" vertical="top" wrapText="1"/>
    </xf>
    <xf borderId="14" fillId="0" fontId="2" numFmtId="0" xfId="0" applyAlignment="1" applyBorder="1" applyFont="1">
      <alignment horizontal="left" vertical="top"/>
    </xf>
    <xf borderId="13" fillId="0" fontId="4" numFmtId="0" xfId="0" applyAlignment="1" applyBorder="1" applyFont="1">
      <alignment horizontal="left" shrinkToFit="0" vertical="top" wrapText="1"/>
    </xf>
    <xf borderId="1" fillId="0" fontId="2" numFmtId="2" xfId="0" applyAlignment="1" applyBorder="1" applyFont="1" applyNumberFormat="1">
      <alignment horizontal="left" shrinkToFit="0" wrapText="1"/>
    </xf>
    <xf borderId="1" fillId="0" fontId="96" numFmtId="2" xfId="0" applyAlignment="1" applyBorder="1" applyFont="1" applyNumberFormat="1">
      <alignment horizontal="left" shrinkToFit="0" wrapText="1"/>
    </xf>
    <xf borderId="4" fillId="0" fontId="4" numFmtId="17" xfId="0" applyAlignment="1" applyBorder="1" applyFont="1" applyNumberFormat="1">
      <alignment horizontal="left" shrinkToFit="0" vertical="top" wrapText="1"/>
    </xf>
    <xf borderId="14" fillId="0" fontId="2" numFmtId="0" xfId="0" applyAlignment="1" applyBorder="1" applyFont="1">
      <alignment horizontal="left"/>
    </xf>
    <xf borderId="4" fillId="0" fontId="2" numFmtId="0" xfId="0" applyAlignment="1" applyBorder="1" applyFont="1">
      <alignment horizontal="left"/>
    </xf>
    <xf borderId="13" fillId="0" fontId="1" numFmtId="0" xfId="0" applyAlignment="1" applyBorder="1" applyFont="1">
      <alignment shrinkToFit="0" vertical="top" wrapText="1"/>
    </xf>
    <xf borderId="13" fillId="0" fontId="97" numFmtId="0" xfId="0" applyAlignment="1" applyBorder="1" applyFont="1">
      <alignment horizontal="left" shrinkToFit="0" vertical="top" wrapText="1"/>
    </xf>
    <xf borderId="0" fillId="0" fontId="98" numFmtId="0" xfId="0" applyAlignment="1" applyFont="1">
      <alignment horizontal="left" vertical="center"/>
    </xf>
    <xf borderId="1" fillId="0" fontId="4" numFmtId="0" xfId="0" applyAlignment="1" applyBorder="1" applyFont="1">
      <alignment horizontal="center" vertical="center"/>
    </xf>
    <xf borderId="0" fillId="0" fontId="99" numFmtId="0" xfId="0" applyAlignment="1" applyFont="1">
      <alignment horizontal="left" shrinkToFit="0" vertical="center" wrapText="1"/>
    </xf>
    <xf borderId="4" fillId="0" fontId="4" numFmtId="0" xfId="0" applyAlignment="1" applyBorder="1" applyFont="1">
      <alignment horizontal="left" vertical="center"/>
    </xf>
    <xf borderId="26" fillId="0" fontId="4" numFmtId="0" xfId="0" applyAlignment="1" applyBorder="1" applyFont="1">
      <alignment shrinkToFit="0" vertical="top" wrapText="1"/>
    </xf>
    <xf borderId="27" fillId="0" fontId="4" numFmtId="0" xfId="0" applyAlignment="1" applyBorder="1" applyFont="1">
      <alignment shrinkToFit="0" vertical="top" wrapText="1"/>
    </xf>
    <xf borderId="28" fillId="0" fontId="4" numFmtId="0" xfId="0" applyAlignment="1" applyBorder="1" applyFont="1">
      <alignment shrinkToFit="0" vertical="top" wrapText="1"/>
    </xf>
    <xf borderId="1" fillId="0" fontId="2" numFmtId="0" xfId="0" applyAlignment="1" applyBorder="1" applyFont="1">
      <alignment horizontal="left" shrinkToFit="0" wrapText="1"/>
    </xf>
    <xf borderId="21" fillId="0" fontId="4" numFmtId="2" xfId="0" applyAlignment="1" applyBorder="1" applyFont="1" applyNumberFormat="1">
      <alignment horizontal="left" shrinkToFit="0" vertical="top" wrapText="1"/>
    </xf>
    <xf borderId="29" fillId="6" fontId="4" numFmtId="0" xfId="0" applyAlignment="1" applyBorder="1" applyFont="1">
      <alignment horizontal="left" shrinkToFit="0" vertical="top" wrapText="1"/>
    </xf>
    <xf borderId="21" fillId="0" fontId="4" numFmtId="0" xfId="0" applyAlignment="1" applyBorder="1" applyFont="1">
      <alignment horizontal="left" shrinkToFit="0" vertical="top" wrapText="1"/>
    </xf>
    <xf borderId="20" fillId="0" fontId="4" numFmtId="0" xfId="0" applyAlignment="1" applyBorder="1" applyFont="1">
      <alignment horizontal="left" shrinkToFit="0" vertical="top" wrapText="1"/>
    </xf>
    <xf borderId="21" fillId="0" fontId="2" numFmtId="0" xfId="0" applyAlignment="1" applyBorder="1" applyFont="1">
      <alignment horizontal="left"/>
    </xf>
    <xf borderId="21" fillId="0" fontId="2" numFmtId="0" xfId="0" applyAlignment="1" applyBorder="1" applyFont="1">
      <alignment horizontal="left" vertical="top"/>
    </xf>
    <xf borderId="1" fillId="0" fontId="4" numFmtId="2" xfId="0" applyAlignment="1" applyBorder="1" applyFont="1" applyNumberFormat="1">
      <alignment horizontal="center" shrinkToFit="0" vertical="top" wrapText="1"/>
    </xf>
    <xf borderId="4" fillId="0" fontId="100" numFmtId="2" xfId="0" applyAlignment="1" applyBorder="1" applyFont="1" applyNumberFormat="1">
      <alignment horizontal="left" shrinkToFit="0" vertical="top" wrapText="1"/>
    </xf>
    <xf borderId="4" fillId="0" fontId="4" numFmtId="0" xfId="0" applyAlignment="1" applyBorder="1" applyFont="1">
      <alignment horizontal="left" vertical="top"/>
    </xf>
    <xf borderId="1" fillId="0" fontId="4" numFmtId="14" xfId="0" applyAlignment="1" applyBorder="1" applyFont="1" applyNumberFormat="1">
      <alignment horizontal="left" shrinkToFit="0" vertical="center" wrapText="1"/>
    </xf>
    <xf borderId="0" fillId="0" fontId="5" numFmtId="0" xfId="0" applyAlignment="1" applyFont="1">
      <alignment shrinkToFit="0" wrapText="1"/>
    </xf>
    <xf borderId="21" fillId="0" fontId="4" numFmtId="1" xfId="0" applyAlignment="1" applyBorder="1" applyFont="1" applyNumberFormat="1">
      <alignment horizontal="left" shrinkToFit="0" vertical="top" wrapText="1"/>
    </xf>
    <xf borderId="14" fillId="0" fontId="1" numFmtId="0" xfId="0" applyAlignment="1" applyBorder="1" applyFont="1">
      <alignment horizontal="left" shrinkToFit="0" vertical="center" wrapText="1"/>
    </xf>
    <xf borderId="13" fillId="0" fontId="1" numFmtId="0" xfId="0" applyAlignment="1" applyBorder="1" applyFont="1">
      <alignment horizontal="left" shrinkToFit="0" vertical="center" wrapText="1"/>
    </xf>
    <xf borderId="14" fillId="0" fontId="1" numFmtId="167" xfId="0" applyAlignment="1" applyBorder="1" applyFont="1" applyNumberFormat="1">
      <alignment horizontal="left" shrinkToFit="0" vertical="center" wrapText="1"/>
    </xf>
    <xf borderId="14" fillId="0" fontId="1" numFmtId="165" xfId="0" applyAlignment="1" applyBorder="1" applyFont="1" applyNumberFormat="1">
      <alignment horizontal="left" shrinkToFit="0" vertical="center" wrapText="1"/>
    </xf>
    <xf borderId="4" fillId="0" fontId="4" numFmtId="4" xfId="0" applyAlignment="1" applyBorder="1" applyFont="1" applyNumberFormat="1">
      <alignment horizontal="left" shrinkToFit="0" vertical="top" wrapText="1"/>
    </xf>
    <xf borderId="1" fillId="0" fontId="6" numFmtId="0" xfId="0" applyAlignment="1" applyBorder="1" applyFont="1">
      <alignment horizontal="left" shrinkToFit="0" wrapText="1"/>
    </xf>
    <xf borderId="1" fillId="0" fontId="25" numFmtId="0" xfId="0" applyAlignment="1" applyBorder="1" applyFont="1">
      <alignment horizontal="center" shrinkToFit="0" wrapText="1"/>
    </xf>
    <xf borderId="1" fillId="0" fontId="25" numFmtId="0" xfId="0" applyBorder="1" applyFont="1"/>
    <xf borderId="1" fillId="0" fontId="5" numFmtId="0" xfId="0" applyBorder="1" applyFont="1"/>
    <xf borderId="4" fillId="0" fontId="4" numFmtId="2" xfId="0" applyAlignment="1" applyBorder="1" applyFont="1" applyNumberFormat="1">
      <alignment horizontal="left" shrinkToFit="0" vertical="center" wrapText="1"/>
    </xf>
    <xf borderId="7" fillId="0" fontId="101" numFmtId="0" xfId="0" applyAlignment="1" applyBorder="1" applyFont="1">
      <alignment horizontal="left" shrinkToFit="0" vertical="top" wrapText="1"/>
    </xf>
    <xf borderId="7" fillId="0" fontId="4" numFmtId="2" xfId="0" applyAlignment="1" applyBorder="1" applyFont="1" applyNumberFormat="1">
      <alignment horizontal="left" shrinkToFit="0" vertical="top" wrapText="1"/>
    </xf>
    <xf borderId="7" fillId="0" fontId="4" numFmtId="0" xfId="0" applyAlignment="1" applyBorder="1" applyFont="1">
      <alignment horizontal="left" shrinkToFit="0" wrapText="1"/>
    </xf>
    <xf borderId="1" fillId="0" fontId="4" numFmtId="2" xfId="0" applyAlignment="1" applyBorder="1" applyFont="1" applyNumberFormat="1">
      <alignment horizontal="left" shrinkToFit="0" wrapText="1"/>
    </xf>
    <xf borderId="3" fillId="6" fontId="4" numFmtId="2" xfId="0" applyAlignment="1" applyBorder="1" applyFont="1" applyNumberFormat="1">
      <alignment horizontal="left" shrinkToFit="0" vertical="center" wrapText="1"/>
    </xf>
    <xf borderId="1" fillId="0" fontId="102" numFmtId="0" xfId="0" applyAlignment="1" applyBorder="1" applyFont="1">
      <alignment horizontal="left" shrinkToFit="0" vertical="center" wrapText="1"/>
    </xf>
    <xf borderId="1" fillId="6" fontId="103" numFmtId="0" xfId="0" applyAlignment="1" applyBorder="1" applyFont="1">
      <alignment horizontal="left" shrinkToFit="0" vertical="center" wrapText="1"/>
    </xf>
    <xf borderId="4" fillId="7" fontId="3" numFmtId="0" xfId="0" applyAlignment="1" applyBorder="1" applyFont="1">
      <alignment horizontal="left" shrinkToFit="0" vertical="top" wrapText="1"/>
    </xf>
    <xf borderId="30" fillId="0" fontId="25" numFmtId="0" xfId="0" applyAlignment="1" applyBorder="1" applyFont="1">
      <alignment horizontal="center" shrinkToFit="0" wrapText="1"/>
    </xf>
    <xf borderId="0" fillId="0" fontId="1" numFmtId="0" xfId="0" applyAlignment="1" applyFont="1">
      <alignment horizontal="left" vertical="top"/>
    </xf>
    <xf borderId="1" fillId="0" fontId="104" numFmtId="2" xfId="0" applyAlignment="1" applyBorder="1" applyFont="1" applyNumberFormat="1">
      <alignment horizontal="left" shrinkToFit="0" vertical="top" wrapText="1"/>
    </xf>
    <xf borderId="1" fillId="0" fontId="4" numFmtId="0" xfId="0" applyAlignment="1" applyBorder="1" applyFont="1">
      <alignment horizontal="left"/>
    </xf>
    <xf borderId="0" fillId="0" fontId="10" numFmtId="0" xfId="0" applyAlignment="1" applyFont="1">
      <alignment horizontal="center" shrinkToFit="0" wrapText="1"/>
    </xf>
    <xf borderId="30" fillId="0" fontId="24" numFmtId="0" xfId="0" applyAlignment="1" applyBorder="1" applyFont="1">
      <alignment horizontal="center" shrinkToFit="0" wrapText="1"/>
    </xf>
    <xf borderId="0" fillId="0" fontId="25" numFmtId="2" xfId="0" applyAlignment="1" applyFont="1" applyNumberFormat="1">
      <alignment horizontal="center" shrinkToFit="0" vertical="top" wrapText="1"/>
    </xf>
    <xf borderId="4" fillId="7" fontId="25" numFmtId="0" xfId="0" applyAlignment="1" applyBorder="1" applyFont="1">
      <alignment horizontal="left" shrinkToFit="0" vertical="top" wrapText="1"/>
    </xf>
    <xf quotePrefix="1" borderId="1" fillId="0" fontId="4" numFmtId="1"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center" wrapText="1"/>
    </xf>
    <xf borderId="1" fillId="0" fontId="4" numFmtId="2" xfId="0" applyAlignment="1" applyBorder="1" applyFont="1" applyNumberFormat="1">
      <alignment horizontal="center" shrinkToFit="0" vertical="center" wrapText="1"/>
    </xf>
    <xf borderId="14" fillId="0" fontId="4" numFmtId="1" xfId="0" applyAlignment="1" applyBorder="1" applyFont="1" applyNumberFormat="1">
      <alignment horizontal="center" shrinkToFit="0" vertical="top" wrapText="1"/>
    </xf>
    <xf borderId="14" fillId="0" fontId="4" numFmtId="2" xfId="0" applyAlignment="1" applyBorder="1" applyFont="1" applyNumberFormat="1">
      <alignment horizontal="center" shrinkToFit="0" vertical="top" wrapText="1"/>
    </xf>
    <xf borderId="1" fillId="8" fontId="4" numFmtId="0" xfId="0" applyAlignment="1" applyBorder="1" applyFont="1">
      <alignment shrinkToFit="0" vertical="top" wrapText="1"/>
    </xf>
    <xf borderId="1" fillId="8" fontId="4" numFmtId="1" xfId="0" applyAlignment="1" applyBorder="1" applyFont="1" applyNumberFormat="1">
      <alignment horizontal="center" shrinkToFit="0" vertical="top" wrapText="1"/>
    </xf>
    <xf borderId="1" fillId="8" fontId="4" numFmtId="2" xfId="0" applyAlignment="1" applyBorder="1" applyFont="1" applyNumberFormat="1">
      <alignment horizontal="center" shrinkToFit="0" vertical="top" wrapText="1"/>
    </xf>
    <xf borderId="1" fillId="8" fontId="4" numFmtId="0" xfId="0" applyBorder="1" applyFont="1"/>
    <xf borderId="4" fillId="0" fontId="4" numFmtId="2" xfId="0" applyAlignment="1" applyBorder="1" applyFont="1" applyNumberFormat="1">
      <alignment horizontal="center" shrinkToFit="0" vertical="top" wrapText="1"/>
    </xf>
    <xf quotePrefix="1" borderId="1" fillId="0" fontId="4" numFmtId="1" xfId="0" applyAlignment="1" applyBorder="1" applyFont="1" applyNumberFormat="1">
      <alignment horizontal="left" shrinkToFit="0" vertical="top" wrapText="1"/>
    </xf>
    <xf borderId="14" fillId="0" fontId="4" numFmtId="1" xfId="0" applyAlignment="1" applyBorder="1" applyFont="1" applyNumberFormat="1">
      <alignment horizontal="left" shrinkToFit="0" vertical="top" wrapText="1"/>
    </xf>
    <xf borderId="1" fillId="0" fontId="3" numFmtId="0" xfId="0" applyAlignment="1" applyBorder="1" applyFont="1">
      <alignment horizontal="left" shrinkToFit="0" vertical="top" wrapText="1"/>
    </xf>
    <xf borderId="1" fillId="0" fontId="3" numFmtId="2" xfId="0" applyAlignment="1" applyBorder="1" applyFont="1" applyNumberFormat="1">
      <alignment horizontal="left" shrinkToFit="0" vertical="top" wrapText="1"/>
    </xf>
    <xf borderId="1" fillId="8" fontId="4" numFmtId="0" xfId="0" applyAlignment="1" applyBorder="1" applyFont="1">
      <alignment horizontal="left"/>
    </xf>
    <xf borderId="7" fillId="0" fontId="4" numFmtId="1" xfId="0" applyAlignment="1" applyBorder="1" applyFont="1" applyNumberFormat="1">
      <alignment horizontal="left" shrinkToFit="0" vertical="top" wrapText="1"/>
    </xf>
    <xf borderId="3" fillId="8" fontId="4" numFmtId="2" xfId="0" applyAlignment="1" applyBorder="1" applyFont="1" applyNumberFormat="1">
      <alignment horizontal="left" shrinkToFit="0" vertical="top" wrapText="1"/>
    </xf>
    <xf borderId="2" fillId="8" fontId="4" numFmtId="0" xfId="0" applyAlignment="1" applyBorder="1" applyFont="1">
      <alignment horizontal="left" shrinkToFit="0" vertical="top" wrapText="1"/>
    </xf>
    <xf borderId="2" fillId="8" fontId="4" numFmtId="1" xfId="0" applyAlignment="1" applyBorder="1" applyFont="1" applyNumberFormat="1">
      <alignment horizontal="left" shrinkToFit="0" vertical="top" wrapText="1"/>
    </xf>
    <xf borderId="22" fillId="8" fontId="4" numFmtId="2" xfId="0" applyAlignment="1" applyBorder="1" applyFont="1" applyNumberFormat="1">
      <alignment horizontal="left" shrinkToFit="0" vertical="top" wrapText="1"/>
    </xf>
    <xf borderId="0" fillId="0" fontId="4" numFmtId="0" xfId="0" applyAlignment="1" applyFont="1">
      <alignment horizontal="left"/>
    </xf>
    <xf borderId="6" fillId="0" fontId="4" numFmtId="1" xfId="0" applyAlignment="1" applyBorder="1" applyFont="1" applyNumberFormat="1">
      <alignment horizontal="left" shrinkToFit="0" vertical="top" wrapText="1"/>
    </xf>
    <xf borderId="21" fillId="0" fontId="4" numFmtId="0" xfId="0" applyAlignment="1" applyBorder="1" applyFont="1">
      <alignment horizontal="left" shrinkToFit="0" vertical="center" wrapText="1"/>
    </xf>
    <xf borderId="25" fillId="0" fontId="4" numFmtId="1" xfId="0" applyAlignment="1" applyBorder="1" applyFont="1" applyNumberFormat="1">
      <alignment horizontal="left" shrinkToFit="0" vertical="top" wrapText="1"/>
    </xf>
    <xf borderId="1" fillId="6" fontId="4" numFmtId="0" xfId="0" applyAlignment="1" applyBorder="1" applyFont="1">
      <alignment horizontal="left" shrinkToFit="0" wrapText="1"/>
    </xf>
    <xf borderId="13" fillId="0" fontId="4" numFmtId="1" xfId="0" applyAlignment="1" applyBorder="1" applyFont="1" applyNumberFormat="1">
      <alignment horizontal="left" shrinkToFit="0" vertical="top" wrapText="1"/>
    </xf>
    <xf borderId="25" fillId="0" fontId="4" numFmtId="2" xfId="0" applyAlignment="1" applyBorder="1" applyFont="1" applyNumberFormat="1">
      <alignment horizontal="left" shrinkToFit="0" vertical="top" wrapText="1"/>
    </xf>
    <xf borderId="0" fillId="0" fontId="21" numFmtId="0" xfId="0" applyAlignment="1" applyFont="1">
      <alignment horizontal="left" shrinkToFit="0" vertical="top" wrapText="1"/>
    </xf>
    <xf borderId="31" fillId="0" fontId="4" numFmtId="0" xfId="0" applyAlignment="1" applyBorder="1" applyFont="1">
      <alignment horizontal="left" shrinkToFit="0" vertical="center" wrapText="1"/>
    </xf>
    <xf borderId="4" fillId="0" fontId="4" numFmtId="1" xfId="0" applyAlignment="1" applyBorder="1" applyFont="1" applyNumberFormat="1">
      <alignment horizontal="left" shrinkToFit="0" vertical="center" wrapText="1"/>
    </xf>
    <xf borderId="0" fillId="0" fontId="4" numFmtId="0" xfId="0" applyAlignment="1" applyFont="1">
      <alignment horizontal="left" shrinkToFit="0" wrapText="1"/>
    </xf>
    <xf borderId="1" fillId="0" fontId="4" numFmtId="1" xfId="0" applyAlignment="1" applyBorder="1" applyFont="1" applyNumberFormat="1">
      <alignment horizontal="left" vertical="top"/>
    </xf>
    <xf borderId="4" fillId="0" fontId="4" numFmtId="2" xfId="0" applyAlignment="1" applyBorder="1" applyFont="1" applyNumberFormat="1">
      <alignment horizontal="left" vertical="top"/>
    </xf>
    <xf borderId="4" fillId="7" fontId="1" numFmtId="0" xfId="0" applyAlignment="1" applyBorder="1" applyFont="1">
      <alignment horizontal="left" shrinkToFit="0" vertical="center" wrapText="1"/>
    </xf>
    <xf borderId="4" fillId="7" fontId="25" numFmtId="0" xfId="0" applyAlignment="1" applyBorder="1" applyFont="1">
      <alignment horizontal="left" shrinkToFit="0" vertical="center" wrapText="1"/>
    </xf>
    <xf borderId="1" fillId="8" fontId="4" numFmtId="0" xfId="0" applyAlignment="1" applyBorder="1" applyFont="1">
      <alignment shrinkToFit="0" vertical="center" wrapText="1"/>
    </xf>
    <xf borderId="29" fillId="8" fontId="4" numFmtId="0" xfId="0" applyAlignment="1" applyBorder="1" applyFont="1">
      <alignment shrinkToFit="0" vertical="top" wrapText="1"/>
    </xf>
    <xf borderId="29" fillId="8" fontId="4" numFmtId="0" xfId="0" applyAlignment="1" applyBorder="1" applyFont="1">
      <alignment horizontal="left" shrinkToFit="0" vertical="top" wrapText="1"/>
    </xf>
    <xf borderId="29" fillId="8" fontId="4" numFmtId="1" xfId="0" applyAlignment="1" applyBorder="1" applyFont="1" applyNumberFormat="1">
      <alignment horizontal="left" shrinkToFit="0" vertical="top" wrapText="1"/>
    </xf>
    <xf borderId="29" fillId="8" fontId="4" numFmtId="2" xfId="0" applyAlignment="1" applyBorder="1" applyFont="1" applyNumberFormat="1">
      <alignment horizontal="left" shrinkToFit="0" vertical="top" wrapText="1"/>
    </xf>
    <xf borderId="25" fillId="0" fontId="4" numFmtId="0" xfId="0" applyAlignment="1" applyBorder="1" applyFont="1">
      <alignment horizontal="left"/>
    </xf>
    <xf borderId="4" fillId="0" fontId="4" numFmtId="0" xfId="0" applyAlignment="1" applyBorder="1" applyFont="1">
      <alignment shrinkToFit="0" vertical="top" wrapText="1"/>
    </xf>
    <xf borderId="20" fillId="0" fontId="4" numFmtId="0" xfId="0" applyAlignment="1" applyBorder="1" applyFont="1">
      <alignment shrinkToFit="0" vertical="top" wrapText="1"/>
    </xf>
    <xf borderId="24" fillId="0" fontId="4" numFmtId="1" xfId="0" applyAlignment="1" applyBorder="1" applyFont="1" applyNumberFormat="1">
      <alignment horizontal="left" shrinkToFit="0" vertical="top" wrapText="1"/>
    </xf>
    <xf borderId="21" fillId="0" fontId="4" numFmtId="2" xfId="0" applyAlignment="1" applyBorder="1" applyFont="1" applyNumberFormat="1">
      <alignment horizontal="left" shrinkToFit="0" vertical="center" wrapText="1"/>
    </xf>
    <xf borderId="14" fillId="0" fontId="4" numFmtId="2" xfId="0" applyAlignment="1" applyBorder="1" applyFont="1" applyNumberFormat="1">
      <alignment horizontal="left" shrinkToFit="0" vertical="center" wrapText="1"/>
    </xf>
    <xf borderId="14" fillId="0" fontId="1" numFmtId="2" xfId="0" applyAlignment="1" applyBorder="1" applyFont="1" applyNumberFormat="1">
      <alignment horizontal="left" shrinkToFit="0" vertical="center" wrapText="1"/>
    </xf>
    <xf borderId="25" fillId="0" fontId="4" numFmtId="0" xfId="0" applyAlignment="1" applyBorder="1" applyFont="1">
      <alignment horizontal="left" shrinkToFit="0" vertical="center" wrapText="1"/>
    </xf>
    <xf borderId="14" fillId="0" fontId="4" numFmtId="1" xfId="0" applyAlignment="1" applyBorder="1" applyFont="1" applyNumberFormat="1">
      <alignment horizontal="left" shrinkToFit="0" vertical="center" wrapText="1"/>
    </xf>
    <xf borderId="4" fillId="0" fontId="4" numFmtId="0" xfId="0" applyAlignment="1" applyBorder="1" applyFont="1">
      <alignment shrinkToFit="0" vertical="center" wrapText="1"/>
    </xf>
    <xf borderId="1" fillId="0" fontId="4" numFmtId="166" xfId="0" applyAlignment="1" applyBorder="1" applyFont="1" applyNumberFormat="1">
      <alignment horizontal="left" shrinkToFit="0" vertical="top" wrapText="1"/>
    </xf>
    <xf borderId="21" fillId="0" fontId="4" numFmtId="0" xfId="0" applyAlignment="1" applyBorder="1" applyFont="1">
      <alignment shrinkToFit="0" vertical="top" wrapText="1"/>
    </xf>
    <xf borderId="7" fillId="0" fontId="4" numFmtId="1" xfId="0" applyAlignment="1" applyBorder="1" applyFont="1" applyNumberFormat="1">
      <alignment horizontal="left" shrinkToFit="0" vertical="center" wrapText="1"/>
    </xf>
    <xf borderId="21" fillId="0" fontId="4" numFmtId="0" xfId="0" applyAlignment="1" applyBorder="1" applyFont="1">
      <alignment shrinkToFit="0" vertical="center" wrapText="1"/>
    </xf>
    <xf borderId="21" fillId="0" fontId="4" numFmtId="1" xfId="0" applyAlignment="1" applyBorder="1" applyFont="1" applyNumberFormat="1">
      <alignment horizontal="left" shrinkToFit="0" vertical="center" wrapText="1"/>
    </xf>
    <xf borderId="1" fillId="0" fontId="4" numFmtId="1" xfId="0" applyAlignment="1" applyBorder="1" applyFont="1" applyNumberFormat="1">
      <alignment horizontal="left" shrinkToFit="0" wrapText="1"/>
    </xf>
    <xf borderId="1" fillId="0" fontId="4" numFmtId="0" xfId="0" applyAlignment="1" applyBorder="1" applyFont="1">
      <alignment vertical="top"/>
    </xf>
    <xf borderId="0" fillId="0" fontId="1" numFmtId="2" xfId="0" applyAlignment="1" applyFont="1" applyNumberFormat="1">
      <alignment horizontal="left" shrinkToFit="0" vertical="top" wrapText="1"/>
    </xf>
    <xf borderId="14" fillId="0" fontId="4" numFmtId="0" xfId="0" applyAlignment="1" applyBorder="1" applyFont="1">
      <alignment horizontal="left" vertical="top"/>
    </xf>
    <xf borderId="7" fillId="0" fontId="1" numFmtId="0" xfId="0" applyAlignment="1" applyBorder="1" applyFont="1">
      <alignment shrinkToFit="0" vertical="top" wrapText="1"/>
    </xf>
    <xf borderId="1" fillId="0" fontId="4" numFmtId="0" xfId="0" applyBorder="1" applyFont="1"/>
    <xf borderId="1" fillId="0" fontId="4" numFmtId="2" xfId="0" applyAlignment="1" applyBorder="1" applyFont="1" applyNumberFormat="1">
      <alignment horizontal="left"/>
    </xf>
    <xf borderId="0" fillId="0" fontId="4" numFmtId="1" xfId="0" applyAlignment="1" applyFont="1" applyNumberFormat="1">
      <alignment horizontal="left" shrinkToFit="0" vertical="top" wrapText="1"/>
    </xf>
    <xf borderId="4" fillId="7" fontId="25" numFmtId="0" xfId="0" applyAlignment="1" applyBorder="1" applyFont="1">
      <alignment horizontal="center" shrinkToFit="0" wrapText="1"/>
    </xf>
    <xf borderId="0" fillId="0" fontId="10" numFmtId="0" xfId="0" applyAlignment="1" applyFont="1">
      <alignment horizontal="left" shrinkToFit="0" wrapText="1"/>
    </xf>
    <xf borderId="8" fillId="10" fontId="5" numFmtId="0" xfId="0" applyAlignment="1" applyBorder="1" applyFont="1">
      <alignment horizontal="left" shrinkToFit="0" wrapText="1"/>
    </xf>
    <xf borderId="3" fillId="8" fontId="4" numFmtId="0" xfId="0" applyAlignment="1" applyBorder="1" applyFont="1">
      <alignment horizontal="left" shrinkToFit="0" vertical="top" wrapText="1"/>
    </xf>
    <xf borderId="5" fillId="8" fontId="4" numFmtId="1" xfId="0" applyAlignment="1" applyBorder="1" applyFont="1" applyNumberFormat="1">
      <alignment horizontal="left" shrinkToFit="0" vertical="top" wrapText="1"/>
    </xf>
    <xf borderId="30" fillId="0" fontId="4" numFmtId="1" xfId="0" applyAlignment="1" applyBorder="1" applyFont="1" applyNumberFormat="1">
      <alignment horizontal="left" shrinkToFit="0" vertical="top" wrapText="1"/>
    </xf>
    <xf borderId="3" fillId="8" fontId="4" numFmtId="0" xfId="0" applyAlignment="1" applyBorder="1" applyFont="1">
      <alignment horizontal="left" shrinkToFit="0" vertical="center" wrapText="1"/>
    </xf>
    <xf borderId="5" fillId="8" fontId="4" numFmtId="1" xfId="0" applyAlignment="1" applyBorder="1" applyFont="1" applyNumberFormat="1">
      <alignment horizontal="left" shrinkToFit="0" vertical="center" wrapText="1"/>
    </xf>
    <xf borderId="7" fillId="0" fontId="4" numFmtId="0" xfId="0" applyAlignment="1" applyBorder="1" applyFont="1">
      <alignment horizontal="left" shrinkToFit="0" vertical="center" wrapText="1"/>
    </xf>
    <xf borderId="3" fillId="8" fontId="4" numFmtId="0" xfId="0" applyAlignment="1" applyBorder="1" applyFont="1">
      <alignment horizontal="left" vertical="top"/>
    </xf>
    <xf borderId="3" fillId="8" fontId="4" numFmtId="0" xfId="0" applyAlignment="1" applyBorder="1" applyFont="1">
      <alignment horizontal="left"/>
    </xf>
    <xf borderId="3" fillId="8" fontId="34" numFmtId="0" xfId="0" applyAlignment="1" applyBorder="1" applyFont="1">
      <alignment horizontal="left"/>
    </xf>
    <xf borderId="1" fillId="0" fontId="7" numFmtId="0" xfId="0" applyAlignment="1" applyBorder="1" applyFont="1">
      <alignment horizontal="left"/>
    </xf>
    <xf borderId="7" fillId="0" fontId="34" numFmtId="1" xfId="0" applyAlignment="1" applyBorder="1" applyFont="1" applyNumberFormat="1">
      <alignment horizontal="left" shrinkToFit="0" vertical="top" wrapText="1"/>
    </xf>
    <xf borderId="1" fillId="0" fontId="34" numFmtId="2" xfId="0" applyAlignment="1" applyBorder="1" applyFont="1" applyNumberFormat="1">
      <alignment horizontal="left" shrinkToFit="0" vertical="top" wrapText="1"/>
    </xf>
    <xf borderId="4" fillId="7" fontId="24" numFmtId="0" xfId="0" applyAlignment="1" applyBorder="1" applyFont="1">
      <alignment horizontal="center" shrinkToFit="0" vertical="top" wrapText="1"/>
    </xf>
    <xf borderId="1" fillId="0" fontId="105" numFmtId="0" xfId="0" applyAlignment="1" applyBorder="1" applyFont="1">
      <alignment horizontal="left" shrinkToFit="0" vertical="top" wrapText="1"/>
    </xf>
    <xf borderId="7" fillId="0" fontId="105" numFmtId="0" xfId="0" applyAlignment="1" applyBorder="1" applyFont="1">
      <alignment horizontal="left" shrinkToFit="0" vertical="top" wrapText="1"/>
    </xf>
    <xf borderId="7" fillId="0" fontId="105" numFmtId="1" xfId="0" applyAlignment="1" applyBorder="1" applyFont="1" applyNumberFormat="1">
      <alignment horizontal="left" shrinkToFit="0" vertical="top" wrapText="1"/>
    </xf>
    <xf borderId="6" fillId="0" fontId="105" numFmtId="2" xfId="0" applyAlignment="1" applyBorder="1" applyFont="1" applyNumberFormat="1">
      <alignment horizontal="left" shrinkToFit="0" vertical="top" wrapText="1"/>
    </xf>
    <xf borderId="6" fillId="0" fontId="4" numFmtId="2" xfId="0" applyAlignment="1" applyBorder="1" applyFont="1" applyNumberFormat="1">
      <alignment horizontal="left" shrinkToFit="0" vertical="top" wrapText="1"/>
    </xf>
    <xf borderId="3" fillId="8" fontId="4" numFmtId="2" xfId="0" applyAlignment="1" applyBorder="1" applyFont="1" applyNumberFormat="1">
      <alignment horizontal="left" shrinkToFit="0" vertical="center" wrapText="1"/>
    </xf>
    <xf borderId="2" fillId="8" fontId="4" numFmtId="0" xfId="0" applyAlignment="1" applyBorder="1" applyFont="1">
      <alignment horizontal="left"/>
    </xf>
    <xf borderId="14" fillId="0" fontId="4" numFmtId="0" xfId="0" applyAlignment="1" applyBorder="1" applyFont="1">
      <alignment horizontal="left"/>
    </xf>
    <xf borderId="4" fillId="7" fontId="1" numFmtId="0" xfId="0" applyAlignment="1" applyBorder="1" applyFont="1">
      <alignment horizontal="left" vertical="top"/>
    </xf>
    <xf borderId="14" fillId="0" fontId="4" numFmtId="0" xfId="0" applyAlignment="1" applyBorder="1" applyFont="1">
      <alignment shrinkToFit="0" vertical="center" wrapText="1"/>
    </xf>
    <xf borderId="13" fillId="0" fontId="4" numFmtId="0" xfId="0" applyAlignment="1" applyBorder="1" applyFont="1">
      <alignment shrinkToFit="0" vertical="center" wrapText="1"/>
    </xf>
    <xf borderId="14" fillId="0" fontId="4" numFmtId="165" xfId="0" applyAlignment="1" applyBorder="1" applyFont="1" applyNumberFormat="1">
      <alignment shrinkToFit="0" vertical="center" wrapText="1"/>
    </xf>
    <xf borderId="14" fillId="0" fontId="1" numFmtId="0" xfId="0" applyAlignment="1" applyBorder="1" applyFont="1">
      <alignment shrinkToFit="0" vertical="center" wrapText="1"/>
    </xf>
    <xf borderId="13" fillId="0" fontId="1" numFmtId="0" xfId="0" applyAlignment="1" applyBorder="1" applyFont="1">
      <alignment shrinkToFit="0" vertical="center" wrapText="1"/>
    </xf>
    <xf borderId="14" fillId="0" fontId="106" numFmtId="0" xfId="0" applyAlignment="1" applyBorder="1" applyFont="1">
      <alignment shrinkToFit="0" vertical="center" wrapText="1"/>
    </xf>
    <xf borderId="0" fillId="0" fontId="1" numFmtId="0" xfId="0" applyAlignment="1" applyFont="1">
      <alignment vertical="center"/>
    </xf>
    <xf borderId="1" fillId="0" fontId="1" numFmtId="0" xfId="0" applyAlignment="1" applyBorder="1" applyFont="1">
      <alignment shrinkToFit="0" vertical="center" wrapText="1"/>
    </xf>
    <xf borderId="1" fillId="0" fontId="1" numFmtId="165" xfId="0" applyAlignment="1" applyBorder="1" applyFont="1" applyNumberFormat="1">
      <alignment shrinkToFit="0" vertical="center" wrapText="1"/>
    </xf>
    <xf borderId="21" fillId="0" fontId="4" numFmtId="0" xfId="0" applyAlignment="1" applyBorder="1" applyFont="1">
      <alignment horizontal="left" shrinkToFit="0" wrapText="1"/>
    </xf>
    <xf borderId="14" fillId="0" fontId="4" numFmtId="0" xfId="0" applyAlignment="1" applyBorder="1" applyFont="1">
      <alignment horizontal="left" shrinkToFit="0" wrapText="1"/>
    </xf>
    <xf borderId="23" fillId="0" fontId="4" numFmtId="0" xfId="0" applyAlignment="1" applyBorder="1" applyFont="1">
      <alignment horizontal="left" shrinkToFit="0" vertical="center" wrapText="1"/>
    </xf>
    <xf borderId="1" fillId="0" fontId="4" numFmtId="17" xfId="0" applyAlignment="1" applyBorder="1" applyFont="1" applyNumberFormat="1">
      <alignment horizontal="left" shrinkToFit="0" vertical="center" wrapText="1"/>
    </xf>
    <xf borderId="7" fillId="0" fontId="4" numFmtId="0" xfId="0" applyAlignment="1" applyBorder="1" applyFont="1">
      <alignment horizontal="left" vertical="top"/>
    </xf>
    <xf borderId="7" fillId="0" fontId="1" numFmtId="0" xfId="0" applyAlignment="1" applyBorder="1" applyFont="1">
      <alignment horizontal="left" shrinkToFit="0" vertical="top" wrapText="1"/>
    </xf>
    <xf borderId="19" fillId="7" fontId="24" numFmtId="0" xfId="0" applyAlignment="1" applyBorder="1" applyFont="1">
      <alignment horizontal="center" shrinkToFit="0" vertical="top" wrapText="1"/>
    </xf>
    <xf borderId="20" fillId="0" fontId="4" numFmtId="1" xfId="0" applyAlignment="1" applyBorder="1" applyFont="1" applyNumberFormat="1">
      <alignment horizontal="left" vertical="top"/>
    </xf>
    <xf borderId="20" fillId="0" fontId="4" numFmtId="2" xfId="0" applyAlignment="1" applyBorder="1" applyFont="1" applyNumberFormat="1">
      <alignment horizontal="left" vertical="top"/>
    </xf>
    <xf borderId="23" fillId="0" fontId="4" numFmtId="2" xfId="0" applyAlignment="1" applyBorder="1" applyFont="1" applyNumberFormat="1">
      <alignment horizontal="left" vertical="top"/>
    </xf>
    <xf borderId="4" fillId="0" fontId="4" numFmtId="0" xfId="0" applyAlignment="1" applyBorder="1" applyFont="1">
      <alignment horizontal="left"/>
    </xf>
    <xf borderId="4" fillId="7" fontId="24" numFmtId="0" xfId="0" applyAlignment="1" applyBorder="1" applyFont="1">
      <alignment horizontal="center"/>
    </xf>
  </cellXfs>
  <cellStyles count="1">
    <cellStyle xfId="0" name="Normal" builtinId="0"/>
  </cellStyles>
  <dxfs count="1">
    <dx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www.researchgate.net/publication/376963379_Calibrating_DC01_Material_Properties_for_Finite_Element_Analysis_with_Abaqus_and_Isight%20%5baccessed%20Apr%2025%202024%5d" TargetMode="External"/><Relationship Id="rId2" Type="http://schemas.openxmlformats.org/officeDocument/2006/relationships/hyperlink" Target="https://doi.org/10.47068/ctns.2023.v12i24.007" TargetMode="External"/><Relationship Id="rId3" Type="http://schemas.openxmlformats.org/officeDocument/2006/relationships/hyperlink" Target="https://www.revtn.ro/index.php/revtn/article/view/419/378" TargetMode="External"/><Relationship Id="rId4" Type="http://schemas.openxmlformats.org/officeDocument/2006/relationships/hyperlink" Target="https://eds.p.ebscohost.com/abstract?site=eds&amp;scope=site&amp;jrnl=12245178&amp;AN=164405754&amp;h=v756BqtNNHMTPHyUXVNR%2fX6Bpqtu7e%2byx3SDBtG36iGKc22vPUn18WeAxUxgsC9rC%2bMeUQXkjDhyAiKxmolaJg%3d%3d&amp;crl=c&amp;resultLocal=ErrCrlNoResults&amp;resultNs=Ehost&amp;crlhashurl=login.aspx%3fdirect%3dtrue%26profile%3dehost%26scope%3dsite%26authtype%3dcrawler%26jrnl%3d12245178%26AN%3d164405754" TargetMode="External"/><Relationship Id="rId9" Type="http://schemas.openxmlformats.org/officeDocument/2006/relationships/hyperlink" Target="https://library.iated.org/view/ZERBES2023GOO" TargetMode="External"/><Relationship Id="rId5" Type="http://schemas.openxmlformats.org/officeDocument/2006/relationships/hyperlink" Target="https://eds.p.ebscohost.com/abstract?site=eds&amp;scope=site&amp;jrnl=12245178&amp;AN=164405755&amp;h=hyTruHaAmVf%2bGzUDsHRm3CnQasP5ZAtXRqhUC57XOHUguQsUkq22ekRf1ODWS4qEKxPlJjnU6G%2bEWrt2MNFL6A%3d%3d&amp;crl=c&amp;resultLocal=ErrCrlNoResults&amp;resultNs=Ehost&amp;crlhashurl=login.aspx%3fdirect%3dtrue%26profile%3dehost%26scope%3dsite%26authtype%3dcrawler%26jrnl%3d12245178%26AN%3d164405755" TargetMode="External"/><Relationship Id="rId6" Type="http://schemas.openxmlformats.org/officeDocument/2006/relationships/hyperlink" Target="https://library.iated.org/view/ROMAN2023IMP" TargetMode="External"/><Relationship Id="rId7" Type="http://schemas.openxmlformats.org/officeDocument/2006/relationships/hyperlink" Target="https://library.iated.org/view/POPESCU2023MOD" TargetMode="External"/><Relationship Id="rId8" Type="http://schemas.openxmlformats.org/officeDocument/2006/relationships/hyperlink" Target="https://library.iated.org/view/POPESCU2023OPT" TargetMode="External"/><Relationship Id="rId31" Type="http://schemas.openxmlformats.org/officeDocument/2006/relationships/hyperlink" Target="https://eds.p.ebscohost.com/abstract?site=eds&amp;scope=site&amp;jrnl=12245178&amp;AN=164405755&amp;h=hyTruHaAmVf%2bGzUDsHRm3CnQasP5ZAtXRqhUC57XOHUguQsUkq22ekRf1ODWS4qEKxPlJjnU6G%2bEWrt2MNFL6A%3d%3d&amp;crl=c&amp;resultLocal=ErrCrlNoResults&amp;resultNs=Ehost&amp;crlhashurl=login.aspx%3fdirect%3dtrue%26profile%3dehost%26scope%3dsite%26authtype%3dcrawler%26jrnl%3d12245178%26AN%3d164405755" TargetMode="External"/><Relationship Id="rId30" Type="http://schemas.openxmlformats.org/officeDocument/2006/relationships/hyperlink" Target="https://eds.p.ebscohost.com/abstract?site=eds&amp;scope=site&amp;jrnl=12245178&amp;AN=164405754&amp;h=v756BqtNNHMTPHyUXVNR%2fX6Bpqtu7e%2byx3SDBtG36iGKc22vPUn18WeAxUxgsC9rC%2bMeUQXkjDhyAiKxmolaJg%3d%3d&amp;crl=c&amp;resultLocal=ErrCrlNoResults&amp;resultNs=Ehost&amp;crlhashurl=login.aspx%3fdirect%3dtrue%26profile%3dehost%26scope%3dsite%26authtype%3dcrawler%26jrnl%3d12245178%26AN%3d164405754" TargetMode="External"/><Relationship Id="rId33" Type="http://schemas.openxmlformats.org/officeDocument/2006/relationships/hyperlink" Target="https://doi.org/10.21125/iceri.2023.2367" TargetMode="External"/><Relationship Id="rId32" Type="http://schemas.openxmlformats.org/officeDocument/2006/relationships/hyperlink" Target="https://lobbyart-anthropology.ro/THE-TRIBUNE.php" TargetMode="External"/><Relationship Id="rId35" Type="http://schemas.openxmlformats.org/officeDocument/2006/relationships/hyperlink" Target="https://tgcs.isbweb.org/iscsb-2023/abstracts/TGCS_2023_Proceedings.pdf" TargetMode="External"/><Relationship Id="rId34" Type="http://schemas.openxmlformats.org/officeDocument/2006/relationships/hyperlink" Target="https://doi.org/10.21125/iceri.2023.2367" TargetMode="External"/><Relationship Id="rId37" Type="http://schemas.openxmlformats.org/officeDocument/2006/relationships/hyperlink" Target="https://faimajournal.upb.ro/archive/FBMJ_Contents_Abstracts_Volume11_Issue1.pdf" TargetMode="External"/><Relationship Id="rId36" Type="http://schemas.openxmlformats.org/officeDocument/2006/relationships/hyperlink" Target="https://faimajournal.upb.ro/archive/FBMJ_Contents_Abstracts_Volume11_Issue3.pdf" TargetMode="External"/><Relationship Id="rId38" Type="http://schemas.openxmlformats.org/officeDocument/2006/relationships/drawing" Target="../drawings/drawing10.xml"/><Relationship Id="rId20" Type="http://schemas.openxmlformats.org/officeDocument/2006/relationships/hyperlink" Target="https://doi.org/10.21125/inted.2023.2012" TargetMode="External"/><Relationship Id="rId22" Type="http://schemas.openxmlformats.org/officeDocument/2006/relationships/hyperlink" Target="https://doi.org/10.21125/inted.2023.2056" TargetMode="External"/><Relationship Id="rId21" Type="http://schemas.openxmlformats.org/officeDocument/2006/relationships/hyperlink" Target="https://library.iated.org/view/POPESCU2023CAS" TargetMode="External"/><Relationship Id="rId24" Type="http://schemas.openxmlformats.org/officeDocument/2006/relationships/hyperlink" Target="https://library.iated.org/publications/EDULEARN23" TargetMode="External"/><Relationship Id="rId23" Type="http://schemas.openxmlformats.org/officeDocument/2006/relationships/hyperlink" Target="https://library.iated.org/view/ZERBES2023GOO" TargetMode="External"/><Relationship Id="rId26" Type="http://schemas.openxmlformats.org/officeDocument/2006/relationships/hyperlink" Target="https://library.iated.org/view/POPESCU2023OPT" TargetMode="External"/><Relationship Id="rId25" Type="http://schemas.openxmlformats.org/officeDocument/2006/relationships/hyperlink" Target="https://doi.org/10.21125/edulearn.2023.1367" TargetMode="External"/><Relationship Id="rId28" Type="http://schemas.openxmlformats.org/officeDocument/2006/relationships/hyperlink" Target="https://doi.org/10.21125/edulearn.2023.1351" TargetMode="External"/><Relationship Id="rId27" Type="http://schemas.openxmlformats.org/officeDocument/2006/relationships/hyperlink" Target="https://library.iated.org/publications/EDULEARN23" TargetMode="External"/><Relationship Id="rId29" Type="http://schemas.openxmlformats.org/officeDocument/2006/relationships/hyperlink" Target="https://library.iated.org/view/POPESCU2023MOD" TargetMode="External"/><Relationship Id="rId11" Type="http://schemas.openxmlformats.org/officeDocument/2006/relationships/hyperlink" Target="https://doi.org/10.33727/JRISS.2023.2.10:77-91" TargetMode="External"/><Relationship Id="rId10" Type="http://schemas.openxmlformats.org/officeDocument/2006/relationships/hyperlink" Target="https://ideas.repec.org/a/pop/procee/v10y2022p345-356.html" TargetMode="External"/><Relationship Id="rId13" Type="http://schemas.openxmlformats.org/officeDocument/2006/relationships/hyperlink" Target="https://doi.org/10.54989/msd-2023-0016" TargetMode="External"/><Relationship Id="rId12" Type="http://schemas.openxmlformats.org/officeDocument/2006/relationships/hyperlink" Target="https://doi.org/10.54989/msd-2023-0008" TargetMode="External"/><Relationship Id="rId15" Type="http://schemas.openxmlformats.org/officeDocument/2006/relationships/hyperlink" Target="https://doi.org/10.56082/annalsarscieng.2023.1.5" TargetMode="External"/><Relationship Id="rId14" Type="http://schemas.openxmlformats.org/officeDocument/2006/relationships/hyperlink" Target="https://doi.org/10.56082/annalsarscieng.2023.1.124" TargetMode="External"/><Relationship Id="rId17" Type="http://schemas.openxmlformats.org/officeDocument/2006/relationships/hyperlink" Target="https://faimajournal.upb.ro/archive/FBMJ_Contents_Abstracts_Volume11_Issue1.pdf" TargetMode="External"/><Relationship Id="rId16" Type="http://schemas.openxmlformats.org/officeDocument/2006/relationships/hyperlink" Target="https://faimajournal.upb.ro/archive/FBMJ_Contents_Abstracts_Volume11_Issue3.pdf" TargetMode="External"/><Relationship Id="rId19" Type="http://schemas.openxmlformats.org/officeDocument/2006/relationships/hyperlink" Target="https://library.iated.org/view/POPESCU2023ROL" TargetMode="External"/><Relationship Id="rId18" Type="http://schemas.openxmlformats.org/officeDocument/2006/relationships/hyperlink" Target="https://doi.org/10.21125/inted.2023.2026"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90" Type="http://schemas.openxmlformats.org/officeDocument/2006/relationships/hyperlink" Target="https://www.proquest.com/openview/107817697060d4b99ef085c48ec70650/1?pq-origsite=gscholar&amp;cbl=18750&amp;diss=y" TargetMode="External"/><Relationship Id="rId194" Type="http://schemas.openxmlformats.org/officeDocument/2006/relationships/hyperlink" Target="https://skemman.is/handle/1946/43961" TargetMode="External"/><Relationship Id="rId193" Type="http://schemas.openxmlformats.org/officeDocument/2006/relationships/hyperlink" Target="https://skemman.is/handle/1946/43961" TargetMode="External"/><Relationship Id="rId192" Type="http://schemas.openxmlformats.org/officeDocument/2006/relationships/hyperlink" Target="https://web.s.ebscohost.com/abstract?direct=true&amp;profile=ehost&amp;scope=site&amp;authtype=crawler&amp;jrnl=20771142&amp;AN=163060127&amp;h=1TcSxABIjsufvZVYCKNA%2bHemBGHsONrrJVXbJrOGzXtF8g6%2f%2bm1ZzFxwXFOm8AYfe6IeW9MrmIzeIohfihO1IQ%3d%3d&amp;crl=c&amp;resultNs=AdminWebAuth&amp;resultLocal=ErrCrlNotAuth&amp;crlhashurl=login.aspx%3fdirect%3dtrue%26profile%3dehost%26scope%3dsite%26authtype%3dcrawler%26jrnl%3d20771142%26AN%3d163060127" TargetMode="External"/><Relationship Id="rId191" Type="http://schemas.openxmlformats.org/officeDocument/2006/relationships/hyperlink" Target="https://www.proquest.com/openview/9ae60bb1f6c7a229ad1463f167b2be0a/1?pq-origsite=gscholar&amp;cbl=2026366&amp;diss=y" TargetMode="External"/><Relationship Id="rId187" Type="http://schemas.openxmlformats.org/officeDocument/2006/relationships/hyperlink" Target="https://ejournal.imperiuminstitute.org/index.php/JMSAB/indexing" TargetMode="External"/><Relationship Id="rId186" Type="http://schemas.openxmlformats.org/officeDocument/2006/relationships/hyperlink" Target="https://ejournal.imperiuminstitute.org/index.php/JMSAB/article/view/896" TargetMode="External"/><Relationship Id="rId185" Type="http://schemas.openxmlformats.org/officeDocument/2006/relationships/hyperlink" Target="http://e23.dkut.ac.ke:8080/xmlui/bitstream/handle/123456789/8305/preprints202311.1396.v1.pdf?sequence=1&amp;isAllowed=y" TargetMode="External"/><Relationship Id="rId184" Type="http://schemas.openxmlformats.org/officeDocument/2006/relationships/hyperlink" Target="https://link.springer.com/book/10.1007/978-3-031-20443-2" TargetMode="External"/><Relationship Id="rId189" Type="http://schemas.openxmlformats.org/officeDocument/2006/relationships/hyperlink" Target="https://www.igi-global.com/chapter/impact-of-the-global-university-ranking-systems-on-higher-education-in-ghana-with-special-focus-on-the-role-of-academic-libraries/324320" TargetMode="External"/><Relationship Id="rId188" Type="http://schemas.openxmlformats.org/officeDocument/2006/relationships/hyperlink" Target="https://www.frontiersin.org/articles/10.3389/feduc.2023.1185817/full" TargetMode="External"/><Relationship Id="rId183" Type="http://schemas.openxmlformats.org/officeDocument/2006/relationships/hyperlink" Target="https://doi.org/10.1007/978-3-031-20443-2_2" TargetMode="External"/><Relationship Id="rId182" Type="http://schemas.openxmlformats.org/officeDocument/2006/relationships/hyperlink" Target="https://d1wqtxts1xzle7.cloudfront.net/105638848/V12I8202304-libre.pdf?1694347544=&amp;response-content-disposition=inline%3B+filename%3DAI_Driven_Industry_4_0_Advancing_Quality.pdf&amp;Expires=1709673890&amp;Signature=W7c6C~ms7QX1k5blwr73xNjwhSXjp2yx87ln8VvM-8YhZ3WVgI5CKE3IGenDFWO2GJeYs1tBv~PSD6JlF0IZrYQ4Fpglj5TNcoauUvMmdm55ZkCL4wB0BbosVzE3wAelnlQIJOCBydwIPBG7MRFvd570Stp3JiBq1Wt7mkg-XdLQhZGhVoSscDAmutLO2kWi8ViMuc-mMAoDmMOcSql50dD1KmbV7faMWYX-ZAyEfKU6AAvG5-~zXlgSEch1o~V34aneCog2-hilydV9uKdsVZpEC~2ADUo~jskF8qRe2xQ1PeQLoxGUAppvVuj08csNJDsyN7n9KtZx~NDk9IFwkQ__&amp;Key-Pair-Id=APKAJLOHF5GGSLRBV4ZA" TargetMode="External"/><Relationship Id="rId181" Type="http://schemas.openxmlformats.org/officeDocument/2006/relationships/hyperlink" Target="https://doi.org/10.47760/ijcsmc.2023.v12i08.003" TargetMode="External"/><Relationship Id="rId180" Type="http://schemas.openxmlformats.org/officeDocument/2006/relationships/hyperlink" Target="https://qikan.cmes.org/jxgcxb/CN/PDF/10.3901/JME.2023.19.429" TargetMode="External"/><Relationship Id="rId176" Type="http://schemas.openxmlformats.org/officeDocument/2006/relationships/hyperlink" Target="https://eds.p.ebscohost.com/abstract?site=eds&amp;scope=site&amp;jrnl=1844640X&amp;AN=164695527&amp;h=mKgVbboAwTLYvz3v2FLRJ8k5MNqdXM8jsj49hjuxf0b9l5DG7Nm6H7p4s7xAKm%2fwZ1kE2hJP5JfqSuTICG4nzw%3d%3d&amp;crl=c&amp;resultLocal=ErrCrlNoResults&amp;resultNs=Ehost&amp;crlhashurl=login.aspx%3fdirect%3dtrue%26profile%3dehost%26scope%3dsite%26authtype%3dcrawler%26jrnl%3d1844640X%26AN%3d164695527" TargetMode="External"/><Relationship Id="rId175" Type="http://schemas.openxmlformats.org/officeDocument/2006/relationships/hyperlink" Target="https://eds.p.ebscohost.com/abstract?site=eds&amp;scope=site&amp;jrnl=1844640X&amp;AN=164695528&amp;h=%2bQz4eDekqp73DE0LbgSseXv212NQsCWWDR4i35bWcrWXWcSXXGbinn6XCaqQa6tnsUKJt19u6HsUo7e7WREabw%3d%3d&amp;crl=c&amp;resultLocal=ErrCrlNoResults&amp;resultNs=Ehost&amp;crlhashurl=login.aspx%3fdirect%3dtrue%26profile%3dehost%26scope%3dsite%26authtype%3dcrawler%26jrnl%3d1844640X%26AN%3d164695528" TargetMode="External"/><Relationship Id="rId174" Type="http://schemas.openxmlformats.org/officeDocument/2006/relationships/hyperlink" Target="https://ph02.tci-thaijo.org/index.php/sej/article/view/247731" TargetMode="External"/><Relationship Id="rId173" Type="http://schemas.openxmlformats.org/officeDocument/2006/relationships/hyperlink" Target="https://scholar.google.com/scholar?oi=bibs&amp;hl=ro&amp;cites=9413991626605692214" TargetMode="External"/><Relationship Id="rId179" Type="http://schemas.openxmlformats.org/officeDocument/2006/relationships/hyperlink" Target="https://atna-mam.utcluj.ro/index.php/Acta/article/view/2066/1646" TargetMode="External"/><Relationship Id="rId178" Type="http://schemas.openxmlformats.org/officeDocument/2006/relationships/hyperlink" Target="https://www.utgjiu.ro/rev_ing/pdf/2023-4/06_tomescu%20madalin%20-%20analisys.pdf" TargetMode="External"/><Relationship Id="rId177" Type="http://schemas.openxmlformats.org/officeDocument/2006/relationships/hyperlink" Target="https://www.utgjiu.ro/rev_ing/pdf/2023-4/07_tomescu%20madalin-performance.pdf" TargetMode="External"/><Relationship Id="rId198" Type="http://schemas.openxmlformats.org/officeDocument/2006/relationships/hyperlink" Target="https://www.ceeol.com/search/article-detail?id=1220580" TargetMode="External"/><Relationship Id="rId197" Type="http://schemas.openxmlformats.org/officeDocument/2006/relationships/hyperlink" Target="https://journals.umcs.pl/j/about/editorialPolicies" TargetMode="External"/><Relationship Id="rId196" Type="http://schemas.openxmlformats.org/officeDocument/2006/relationships/hyperlink" Target="https://al-kindipublisher.com/index.php/jgcs/indexing" TargetMode="External"/><Relationship Id="rId195" Type="http://schemas.openxmlformats.org/officeDocument/2006/relationships/hyperlink" Target="https://al-kindipublisher.com/index.php/jgcs/article/view/6108" TargetMode="External"/><Relationship Id="rId199" Type="http://schemas.openxmlformats.org/officeDocument/2006/relationships/hyperlink" Target="https://journals.umcs.pl/j/about/editorialPolicies" TargetMode="External"/><Relationship Id="rId150" Type="http://schemas.openxmlformats.org/officeDocument/2006/relationships/hyperlink" Target="https://is.muni.cz/th/g032j/Diplomova_prace_Husicka_Jakub_Verejna_cast.pdf?info=1;zpet=https:%2F%2Ftheses.cz%2Fvyhledavani%2F%3Fsearch%3DPrinciples%26start%3D8" TargetMode="External"/><Relationship Id="rId1" Type="http://schemas.openxmlformats.org/officeDocument/2006/relationships/hyperlink" Target="https://www.proquest.com/openview/95b027c91b2f9a20994af119702093a5/1?pq-origsite=gscholar&amp;cbl=18750&amp;diss=y" TargetMode="External"/><Relationship Id="rId2" Type="http://schemas.openxmlformats.org/officeDocument/2006/relationships/hyperlink" Target="http://digital-library.ulbsibiu.ro/jspui/bitstream/123456789/3484/2/2023-Popp%20Mihai%20Octavian_ro.pdf" TargetMode="External"/><Relationship Id="rId3" Type="http://schemas.openxmlformats.org/officeDocument/2006/relationships/hyperlink" Target="https://www.plaschina.com.cn/EN/abstract/abstract4344.shtml" TargetMode="External"/><Relationship Id="rId149" Type="http://schemas.openxmlformats.org/officeDocument/2006/relationships/hyperlink" Target="https://link.springer.com/chapter/10.1007/978-3-031-44282-7_42" TargetMode="External"/><Relationship Id="rId4" Type="http://schemas.openxmlformats.org/officeDocument/2006/relationships/hyperlink" Target="http://digital-library.ulbsibiu.ro/jspui/bitstream/123456789/3484/2/2023-Popp%20Mihai%20Octavian_ro.pdf" TargetMode="External"/><Relationship Id="rId148" Type="http://schemas.openxmlformats.org/officeDocument/2006/relationships/hyperlink" Target="https://scholar.google.com/scholar?oi=bibs&amp;hl=ro&amp;cites=10237466848805013447" TargetMode="External"/><Relationship Id="rId9" Type="http://schemas.openxmlformats.org/officeDocument/2006/relationships/hyperlink" Target="https://search.proquest.com/openview/96d5be23444adf8469944e0d2065b94b/1?pq-origsite=gscholar&amp;cbl=2026366&amp;diss=y" TargetMode="External"/><Relationship Id="rId143" Type="http://schemas.openxmlformats.org/officeDocument/2006/relationships/hyperlink" Target="https://scholar.google.com/scholar?oi=bibs&amp;hl=ro&amp;cites=11135334262130413892" TargetMode="External"/><Relationship Id="rId142" Type="http://schemas.openxmlformats.org/officeDocument/2006/relationships/hyperlink" Target="https://scholar.google.com/scholar?as_ylo=2023&amp;hl=ro&amp;as_sdt=2005&amp;sciodt=0,5&amp;cites=6154402120892995007&amp;scipsc=" TargetMode="External"/><Relationship Id="rId141" Type="http://schemas.openxmlformats.org/officeDocument/2006/relationships/hyperlink" Target="https://scholar.google.com/scholar?as_ylo=2023&amp;hl=ro&amp;as_sdt=2005&amp;sciodt=0,5&amp;cites=6154402120892995007&amp;scipsc=" TargetMode="External"/><Relationship Id="rId140" Type="http://schemas.openxmlformats.org/officeDocument/2006/relationships/hyperlink" Target="https://scholar.google.com/scholar?as_ylo=2023&amp;hl=ro&amp;as_sdt=2005&amp;sciodt=0,5&amp;cites=254680979553760976&amp;scipsc=" TargetMode="External"/><Relationship Id="rId5" Type="http://schemas.openxmlformats.org/officeDocument/2006/relationships/hyperlink" Target="https://www.researchgate.net/profile/Rahul-b-2/publication/378877573_Strength_Investigation_on_Butt_Welded_Polymer_Tubes/links/65f03acb32321b2cff68229c/Strength-Investigation-on-Butt-Welded-Polymer-Tubes.pdf" TargetMode="External"/><Relationship Id="rId147" Type="http://schemas.openxmlformats.org/officeDocument/2006/relationships/hyperlink" Target="https://scholar.google.com/scholar?as_ylo=2023&amp;hl=ro&amp;as_sdt=2005&amp;sciodt=0,5&amp;cites=13886292406984801200&amp;scipsc=" TargetMode="External"/><Relationship Id="rId6" Type="http://schemas.openxmlformats.org/officeDocument/2006/relationships/hyperlink" Target="https://search.proquest.com/openview/96d5be23444adf8469944e0d2065b94b/1?pq-origsite=gscholar&amp;cbl=2026366&amp;diss=y" TargetMode="External"/><Relationship Id="rId146" Type="http://schemas.openxmlformats.org/officeDocument/2006/relationships/hyperlink" Target="https://digital-library.theiet.org/content/conferences/10.1049/icp.2022.2985" TargetMode="External"/><Relationship Id="rId7" Type="http://schemas.openxmlformats.org/officeDocument/2006/relationships/hyperlink" Target="https://www.researchgate.net/profile/Rahul-b-2/publication/378877573_Strength_Investigation_on_Butt_Welded_Polymer_Tubes/links/65f03acb32321b2cff68229c/Strength-Investigation-on-Butt-Welded-Polymer-Tubes.pdf" TargetMode="External"/><Relationship Id="rId145" Type="http://schemas.openxmlformats.org/officeDocument/2006/relationships/hyperlink" Target="https://scholar.google.com/scholar?oi=bibs&amp;hl=ro&amp;cites=9428693392769483905" TargetMode="External"/><Relationship Id="rId8" Type="http://schemas.openxmlformats.org/officeDocument/2006/relationships/hyperlink" Target="http://scielo.sld.cu/scielo.php?pid=S1680-03382023000200036&amp;script=sci_abstract&amp;tlng=en" TargetMode="External"/><Relationship Id="rId144" Type="http://schemas.openxmlformats.org/officeDocument/2006/relationships/hyperlink" Target="https://scholar.google.com/scholar?as_ylo=2023&amp;hl=ro&amp;as_sdt=2005&amp;sciodt=0,5&amp;cites=6154402120892995007&amp;scipsc=" TargetMode="External"/><Relationship Id="rId139" Type="http://schemas.openxmlformats.org/officeDocument/2006/relationships/hyperlink" Target="https://scholar.google.com/scholar?oi=bibs&amp;hl=ro&amp;cites=12717242777214842265" TargetMode="External"/><Relationship Id="rId138" Type="http://schemas.openxmlformats.org/officeDocument/2006/relationships/hyperlink" Target="https://www.mecs-press.org/ijieeb/ijieeb-v15-n3/v15n3-1.html" TargetMode="External"/><Relationship Id="rId137" Type="http://schemas.openxmlformats.org/officeDocument/2006/relationships/hyperlink" Target="https://www.researchgate.net/profile/Antonio-Garcia-Izquierdo/publication/375519869_Human_Resources_Analytics_in_Theory_and_Practice_We_transferred_the_copyright_for_this_paper_to_Information_Age_Publishing_and_cannot_share_a_copy_In_book_Research_in_Human_Resource_Management_Future_/links/6574193f6610947889af6d51/Human-Resources-Analytics-in-Theory-and-Practice-We-transferred-the-copyright-for-this-paper-to-Information-Age-Publishing-and-cannot-share-a-copy-In-book-Research-in-Human-Resource-Management-Future.pdf" TargetMode="External"/><Relationship Id="rId132" Type="http://schemas.openxmlformats.org/officeDocument/2006/relationships/hyperlink" Target="https://scholar.google.com/scholar?as_ylo=2022&amp;hl=ro&amp;as_sdt=2005&amp;sciodt=0,5&amp;cites=14082028003172978258&amp;scipsc=" TargetMode="External"/><Relationship Id="rId131" Type="http://schemas.openxmlformats.org/officeDocument/2006/relationships/hyperlink" Target="https://scholar.google.com/scholar?as_ylo=2023&amp;hl=ro&amp;as_sdt=2005&amp;sciodt=0,5&amp;cites=14082028003172978258&amp;scipsc=" TargetMode="External"/><Relationship Id="rId130" Type="http://schemas.openxmlformats.org/officeDocument/2006/relationships/hyperlink" Target="https://scholar.google.com/scholar?as_ylo=2023&amp;hl=ro&amp;as_sdt=2005&amp;sciodt=0,5&amp;cites=3266029050958190225&amp;scipsc=" TargetMode="External"/><Relationship Id="rId136" Type="http://schemas.openxmlformats.org/officeDocument/2006/relationships/hyperlink" Target="http://journals.knute.edu.ua/scientia-fructuosa/article/view/1932" TargetMode="External"/><Relationship Id="rId135" Type="http://schemas.openxmlformats.org/officeDocument/2006/relationships/hyperlink" Target="https://kps.artahub.ir/article_173830.html" TargetMode="External"/><Relationship Id="rId134" Type="http://schemas.openxmlformats.org/officeDocument/2006/relationships/hyperlink" Target="https://assets.researchsquare.com/files/rs-2102453/v1/388157cd-bbb9-4b7e-818a-1a2078f6dec6.pdf?c=1676218474" TargetMode="External"/><Relationship Id="rId133" Type="http://schemas.openxmlformats.org/officeDocument/2006/relationships/hyperlink" Target="https://www.scitepress.org/Papers/2023/119853/119853.pdf" TargetMode="External"/><Relationship Id="rId172" Type="http://schemas.openxmlformats.org/officeDocument/2006/relationships/hyperlink" Target="https://scholar.google.com/scholar?oi=bibs&amp;hl=ro&amp;cites=12956577773948849551" TargetMode="External"/><Relationship Id="rId171" Type="http://schemas.openxmlformats.org/officeDocument/2006/relationships/hyperlink" Target="https://scholar.google.ro/scholar?oi=bibs&amp;hl=ro&amp;cites=4993577742103004317" TargetMode="External"/><Relationship Id="rId170" Type="http://schemas.openxmlformats.org/officeDocument/2006/relationships/hyperlink" Target="https://scholar.google.com/scholar?oi=bibs&amp;hl=ro&amp;cites=4993577742103004317" TargetMode="External"/><Relationship Id="rId165" Type="http://schemas.openxmlformats.org/officeDocument/2006/relationships/hyperlink" Target="https://scholar.google.com/scholar?as_ylo=2023&amp;hl=ro&amp;as_sdt=2005&amp;sciodt=0,5&amp;cites=13110499196231065473&amp;scipsc=" TargetMode="External"/><Relationship Id="rId164" Type="http://schemas.openxmlformats.org/officeDocument/2006/relationships/hyperlink" Target="https://odr.chalmers.se/items/b4ae9be5-2b87-48f5-bc62-54e6aa9a351d" TargetMode="External"/><Relationship Id="rId163" Type="http://schemas.openxmlformats.org/officeDocument/2006/relationships/hyperlink" Target="http://repository.utm.md/handle/5014/22124" TargetMode="External"/><Relationship Id="rId162" Type="http://schemas.openxmlformats.org/officeDocument/2006/relationships/hyperlink" Target="https://www.ceeol.com/search/article-detail?id=1117375" TargetMode="External"/><Relationship Id="rId169" Type="http://schemas.openxmlformats.org/officeDocument/2006/relationships/hyperlink" Target="https://scholar.google.com/scholar?oi=bibs&amp;hl=ro&amp;cites=4993577742103004317" TargetMode="External"/><Relationship Id="rId168" Type="http://schemas.openxmlformats.org/officeDocument/2006/relationships/hyperlink" Target="https://scholar.google.com/scholar?oi=bibs&amp;hl=ro&amp;cites=4993577742103004317" TargetMode="External"/><Relationship Id="rId167" Type="http://schemas.openxmlformats.org/officeDocument/2006/relationships/hyperlink" Target="https://scholar.google.com/scholar?oi=bibs&amp;hl=ro&amp;cites=4993577742103004317" TargetMode="External"/><Relationship Id="rId166" Type="http://schemas.openxmlformats.org/officeDocument/2006/relationships/hyperlink" Target="https://scholar.google.com/scholar?as_ylo=2023&amp;hl=ro&amp;as_sdt=2005&amp;sciodt=0,5&amp;cites=4483246249925122047&amp;scipsc=" TargetMode="External"/><Relationship Id="rId161" Type="http://schemas.openxmlformats.org/officeDocument/2006/relationships/hyperlink" Target="https://scholar.google.com/scholar?as_ylo=2023&amp;hl=ro&amp;as_sdt=2005&amp;sciodt=0,5&amp;cites=4293731248257031489&amp;scipsc=" TargetMode="External"/><Relationship Id="rId160" Type="http://schemas.openxmlformats.org/officeDocument/2006/relationships/hyperlink" Target="http://repository.utm.md/handle/5014/22124" TargetMode="External"/><Relationship Id="rId159" Type="http://schemas.openxmlformats.org/officeDocument/2006/relationships/hyperlink" Target="https://openurl.ebsco.com/EPDB%3Agcd%3A15%3A27884319/detailv2?sid=ebsco%3Aplink%3Ascholar&amp;id=ebsco%3Agcd%3A169899984&amp;crl=c" TargetMode="External"/><Relationship Id="rId154" Type="http://schemas.openxmlformats.org/officeDocument/2006/relationships/hyperlink" Target="https://scholar.google.com/scholar?as_ylo=2023&amp;hl=ro&amp;as_sdt=2005&amp;sciodt=0,5&amp;cites=10237952360796488060&amp;scipsc=" TargetMode="External"/><Relationship Id="rId153" Type="http://schemas.openxmlformats.org/officeDocument/2006/relationships/hyperlink" Target="https://scholar.google.com/scholar?as_ylo=2023&amp;hl=ro&amp;as_sdt=2005&amp;sciodt=0,5&amp;cites=10237952360796488060&amp;scipsc=" TargetMode="External"/><Relationship Id="rId152" Type="http://schemas.openxmlformats.org/officeDocument/2006/relationships/hyperlink" Target="https://scholar.google.com/scholar?as_ylo=2023&amp;hl=ro&amp;as_sdt=2005&amp;sciodt=0,5&amp;cites=10237952360796488060&amp;scipsc=" TargetMode="External"/><Relationship Id="rId151" Type="http://schemas.openxmlformats.org/officeDocument/2006/relationships/hyperlink" Target="https://scholar.google.com/scholar?as_ylo=2023&amp;hl=ro&amp;as_sdt=2005&amp;sciodt=0,5&amp;cites=10237952360796488060&amp;scipsc=" TargetMode="External"/><Relationship Id="rId158" Type="http://schemas.openxmlformats.org/officeDocument/2006/relationships/hyperlink" Target="https://www.ijmsssr.org/paper/IJMSSSR00862.pdf" TargetMode="External"/><Relationship Id="rId157" Type="http://schemas.openxmlformats.org/officeDocument/2006/relationships/hyperlink" Target="https://scholar.google.com/scholar?as_ylo=2023&amp;hl=ro&amp;as_sdt=2005&amp;sciodt=0,5&amp;cites=10237952360796488060&amp;scipsc=" TargetMode="External"/><Relationship Id="rId156" Type="http://schemas.openxmlformats.org/officeDocument/2006/relationships/hyperlink" Target="https://scholar.google.com/scholar?as_ylo=2023&amp;hl=ro&amp;as_sdt=2005&amp;sciodt=0,5&amp;cites=10237952360796488060&amp;scipsc=" TargetMode="External"/><Relationship Id="rId155" Type="http://schemas.openxmlformats.org/officeDocument/2006/relationships/hyperlink" Target="https://scholar.google.com/scholar?as_ylo=2023&amp;hl=ro&amp;as_sdt=2005&amp;sciodt=0,5&amp;cites=10237952360796488060&amp;scipsc=" TargetMode="External"/><Relationship Id="rId40" Type="http://schemas.openxmlformats.org/officeDocument/2006/relationships/hyperlink" Target="http://digital-library.ulbsibiu.ro/xmlui/handle/123456789/3484" TargetMode="External"/><Relationship Id="rId42" Type="http://schemas.openxmlformats.org/officeDocument/2006/relationships/hyperlink" Target="https://www.researchgate.net/publication/376521574_Robotical_Automation_in_CNC_Machine_Tools_A_Review?enrichId=rgreq-e6b737fef347bf3cb7d0c0a140670b5f-XXX&amp;enrichSource=Y292ZXJQYWdlOzM3NjUyMTU3NDtBUzoxMTQzMTI4MTIxMjQ0NjAyOEAxNzAyNjI4NTM3ODgx&amp;el=1_x_3&amp;_esc=publicationCoverPdf" TargetMode="External"/><Relationship Id="rId41" Type="http://schemas.openxmlformats.org/officeDocument/2006/relationships/hyperlink" Target="https://recit.uabc.mx/index.php/revista/article/view/285" TargetMode="External"/><Relationship Id="rId44" Type="http://schemas.openxmlformats.org/officeDocument/2006/relationships/hyperlink" Target="https://etj.uotechnology.edu.iq/article_181685.html" TargetMode="External"/><Relationship Id="rId43" Type="http://schemas.openxmlformats.org/officeDocument/2006/relationships/hyperlink" Target="https://zenodo.org/records/10446647" TargetMode="External"/><Relationship Id="rId46" Type="http://schemas.openxmlformats.org/officeDocument/2006/relationships/hyperlink" Target="https://www.scirp.org/journal/paperinformation?paperid=128976" TargetMode="External"/><Relationship Id="rId45" Type="http://schemas.openxmlformats.org/officeDocument/2006/relationships/hyperlink" Target="https://papers.cumincad.org/data/works/att/sigradi2023_152.pdf" TargetMode="External"/><Relationship Id="rId48" Type="http://schemas.openxmlformats.org/officeDocument/2006/relationships/hyperlink" Target="https://sciendo.com/pdf/10.2478/aucts-2022-0002" TargetMode="External"/><Relationship Id="rId47" Type="http://schemas.openxmlformats.org/officeDocument/2006/relationships/hyperlink" Target="https://www.researchgate.net/profile/Huelya-Kesici/publication/374373550_EFFECT_OF_PHASE_RATIO_ON_CORE-SHEATH_COMPOSITE_NANOFIBERS_MORPHOLOGY/links/651aac491e2386049df17577/EFFECT-OF-PHASE-RATIO-ON-CORE-SHEATH-COMPOSITE-NANOFIBERS-MORPHOLOGY.pdf" TargetMode="External"/><Relationship Id="rId49" Type="http://schemas.openxmlformats.org/officeDocument/2006/relationships/hyperlink" Target="https://doctorate.ulbsibiu.ro/wp-content/uploads/Rezumat_Popp_Mihai_EN.pdf" TargetMode="External"/><Relationship Id="rId31" Type="http://schemas.openxmlformats.org/officeDocument/2006/relationships/hyperlink" Target="https://scholar.google.ro/scholar_url?url=https://docs.upb.ro/wp-content/uploads/2023/06/REZUMAT-TEZA_MAROSAN_RO.pdf&amp;hl=ro&amp;sa=X&amp;d=11541781080967976187&amp;ei=FaWgZJ_DHrqI6rQP76i_sAY&amp;scisig=ABFrs3z5TV7nAt39FMjyEMqPwgYb&amp;oi=scholaralrt&amp;hist=-Fpkv8gAAAAJ:3129594188417363096:ABFrs3y3QIZe5vzGMUSJLfCRApsx&amp;html=&amp;pos=0&amp;folt=cit&amp;fols=" TargetMode="External"/><Relationship Id="rId30" Type="http://schemas.openxmlformats.org/officeDocument/2006/relationships/hyperlink" Target="https://kb.osu.edu/handle/1811/102822" TargetMode="External"/><Relationship Id="rId33" Type="http://schemas.openxmlformats.org/officeDocument/2006/relationships/hyperlink" Target="http://digital-library.ulbsibiu.ro/xmlui/handle/123456789/3483" TargetMode="External"/><Relationship Id="rId32" Type="http://schemas.openxmlformats.org/officeDocument/2006/relationships/hyperlink" Target="http://digital-library.ulbsibiu.ro/xmlui/handle/123456789/3483" TargetMode="External"/><Relationship Id="rId35" Type="http://schemas.openxmlformats.org/officeDocument/2006/relationships/hyperlink" Target="http://digital-library.ulbsibiu.ro/xmlui/handle/123456789/3483" TargetMode="External"/><Relationship Id="rId34" Type="http://schemas.openxmlformats.org/officeDocument/2006/relationships/hyperlink" Target="http://digital-library.ulbsibiu.ro/xmlui/handle/123456789/3483" TargetMode="External"/><Relationship Id="rId37" Type="http://schemas.openxmlformats.org/officeDocument/2006/relationships/hyperlink" Target="http://digital-library.ulbsibiu.ro/xmlui/handle/123456789/3484" TargetMode="External"/><Relationship Id="rId36" Type="http://schemas.openxmlformats.org/officeDocument/2006/relationships/hyperlink" Target="http://digital-library.ulbsibiu.ro/xmlui/handle/123456789/3484" TargetMode="External"/><Relationship Id="rId39" Type="http://schemas.openxmlformats.org/officeDocument/2006/relationships/hyperlink" Target="http://digital-library.ulbsibiu.ro/xmlui/handle/123456789/3484" TargetMode="External"/><Relationship Id="rId38" Type="http://schemas.openxmlformats.org/officeDocument/2006/relationships/hyperlink" Target="http://digital-library.ulbsibiu.ro/xmlui/handle/123456789/3484" TargetMode="External"/><Relationship Id="rId20" Type="http://schemas.openxmlformats.org/officeDocument/2006/relationships/hyperlink" Target="https://doctorate.ulbsibiu.ro/wp-content/uploads/Rezumat_Popp_Mihai_EN.pdf" TargetMode="External"/><Relationship Id="rId22" Type="http://schemas.openxmlformats.org/officeDocument/2006/relationships/hyperlink" Target="https://doctorate.ulbsibiu.ro/wp-content/uploads/Rezumat_Popp_Mihai_EN.pdf" TargetMode="External"/><Relationship Id="rId21" Type="http://schemas.openxmlformats.org/officeDocument/2006/relationships/hyperlink" Target="https://doctorate.ulbsibiu.ro/wp-content/uploads/Rezumat_Popp_Mihai_EN.pdf" TargetMode="External"/><Relationship Id="rId24" Type="http://schemas.openxmlformats.org/officeDocument/2006/relationships/hyperlink" Target="https://doctorate.ulbsibiu.ro/wp-content/uploads/Rezumat_Popp_Mihai_EN.pdf" TargetMode="External"/><Relationship Id="rId23" Type="http://schemas.openxmlformats.org/officeDocument/2006/relationships/hyperlink" Target="https://doctorate.ulbsibiu.ro/wp-content/uploads/Rezumat_Popp_Mihai_EN.pdf" TargetMode="External"/><Relationship Id="rId26" Type="http://schemas.openxmlformats.org/officeDocument/2006/relationships/hyperlink" Target="https://www.scirp.org/journal/paperinformation?paperid=128976" TargetMode="External"/><Relationship Id="rId25" Type="http://schemas.openxmlformats.org/officeDocument/2006/relationships/hyperlink" Target="https://ijpte.com/index.php/ijpte/article/view/52" TargetMode="External"/><Relationship Id="rId28" Type="http://schemas.openxmlformats.org/officeDocument/2006/relationships/hyperlink" Target="https://www.cmms.agh.edu.pl/2023_1_0795/" TargetMode="External"/><Relationship Id="rId27" Type="http://schemas.openxmlformats.org/officeDocument/2006/relationships/hyperlink" Target="https://www.researchgate.net/profile/Huelya-Kesici/publication/374373550_EFFECT_OF_PHASE_RATIO_ON_CORE-SHEATH_COMPOSITE_NANOFIBERS_MORPHOLOGY/links/651aac491e2386049df17577/EFFECT-OF-PHASE-RATIO-ON-CORE-SHEATH-COMPOSITE-NANOFIBERS-MORPHOLOGY.pdf" TargetMode="External"/><Relationship Id="rId29" Type="http://schemas.openxmlformats.org/officeDocument/2006/relationships/hyperlink" Target="https://lepe.kname.edu.ua/index.php/lepe/article/view/495" TargetMode="External"/><Relationship Id="rId11" Type="http://schemas.openxmlformats.org/officeDocument/2006/relationships/hyperlink" Target="https://repositorio.ipl.pt/handle/10400.21/17067" TargetMode="External"/><Relationship Id="rId10" Type="http://schemas.openxmlformats.org/officeDocument/2006/relationships/hyperlink" Target="https://www.scientific.net/MSF.957.156" TargetMode="External"/><Relationship Id="rId13" Type="http://schemas.openxmlformats.org/officeDocument/2006/relationships/hyperlink" Target="https://link.springer.com/article/10.1007/s12289-023-01781-0" TargetMode="External"/><Relationship Id="rId12" Type="http://schemas.openxmlformats.org/officeDocument/2006/relationships/hyperlink" Target="https://papers.cumincad.org/data/works/att/sigradi2023_152.pdf" TargetMode="External"/><Relationship Id="rId15" Type="http://schemas.openxmlformats.org/officeDocument/2006/relationships/hyperlink" Target="https://yadda.icm.edu.pl/baztech/element/bwmeta1.element.baztech-d47b0217-44b0-42d3-8451-4bfe38285c94" TargetMode="External"/><Relationship Id="rId14" Type="http://schemas.openxmlformats.org/officeDocument/2006/relationships/hyperlink" Target="https://scholar.google.com/citations?view_op=view_citation&amp;hl=ro&amp;user=aMmLmzMAAAAJ&amp;citation_for_view=aMmLmzMAAAAJ:QIV2ME_5wuYC" TargetMode="External"/><Relationship Id="rId17" Type="http://schemas.openxmlformats.org/officeDocument/2006/relationships/hyperlink" Target="https://sciendo.com/pdf/10.2478/aucts-2022-0002" TargetMode="External"/><Relationship Id="rId16" Type="http://schemas.openxmlformats.org/officeDocument/2006/relationships/hyperlink" Target="http://digital-library.ulbsibiu.ro/xmlui/handle/123456789/3484" TargetMode="External"/><Relationship Id="rId19" Type="http://schemas.openxmlformats.org/officeDocument/2006/relationships/hyperlink" Target="https://doctorate.ulbsibiu.ro/wp-content/uploads/Rezumat_Popp_Mihai_EN.pdf" TargetMode="External"/><Relationship Id="rId18" Type="http://schemas.openxmlformats.org/officeDocument/2006/relationships/hyperlink" Target="https://doctorate.ulbsibiu.ro/wp-content/uploads/Rezumat_Popp_Mihai_EN.pdf" TargetMode="External"/><Relationship Id="rId84" Type="http://schemas.openxmlformats.org/officeDocument/2006/relationships/hyperlink" Target="https://repositorio.unesum.edu.ec/handle/53000/4806" TargetMode="External"/><Relationship Id="rId83" Type="http://schemas.openxmlformats.org/officeDocument/2006/relationships/hyperlink" Target="http://digital-library.ulbsibiu.ro/xmlui/handle/123456789/3484" TargetMode="External"/><Relationship Id="rId86" Type="http://schemas.openxmlformats.org/officeDocument/2006/relationships/hyperlink" Target="http://digital-library.ulbsibiu.ro/xmlui/handle/123456789/3484" TargetMode="External"/><Relationship Id="rId85" Type="http://schemas.openxmlformats.org/officeDocument/2006/relationships/hyperlink" Target="https://www.proquest.com/docview/2902712173?pq-origsite=gscholar&amp;fromopenview=true&amp;sourcetype=Scholarly%20Journals" TargetMode="External"/><Relationship Id="rId88" Type="http://schemas.openxmlformats.org/officeDocument/2006/relationships/hyperlink" Target="https://journal.umy.ac.id/index.php/jrc/article/view/20087" TargetMode="External"/><Relationship Id="rId87" Type="http://schemas.openxmlformats.org/officeDocument/2006/relationships/hyperlink" Target="http://digital-library.ulbsibiu.ro/xmlui/handle/123456789/3484" TargetMode="External"/><Relationship Id="rId89" Type="http://schemas.openxmlformats.org/officeDocument/2006/relationships/hyperlink" Target="http://dspace.ugal.ro/bitstream/handle/123456789/9180/Rezumat_Teza_doctorat_Mirica_Cristian_2023EN.pdf?sequence=2&amp;isAllowed=y" TargetMode="External"/><Relationship Id="rId80" Type="http://schemas.openxmlformats.org/officeDocument/2006/relationships/hyperlink" Target="https://wseas.com/journals/dcm/2023/a52dcm-018(2023).pdf" TargetMode="External"/><Relationship Id="rId82" Type="http://schemas.openxmlformats.org/officeDocument/2006/relationships/hyperlink" Target="https://preferpub.org/index.php/kindle/article/view/Book29" TargetMode="External"/><Relationship Id="rId81" Type="http://schemas.openxmlformats.org/officeDocument/2006/relationships/hyperlink" Target="https://www.researchsquare.com/article/rs-3182693/v1" TargetMode="External"/><Relationship Id="rId73" Type="http://schemas.openxmlformats.org/officeDocument/2006/relationships/hyperlink" Target="https://journal.umy.ac.id/index.php/jrc/article/view/20087" TargetMode="External"/><Relationship Id="rId72" Type="http://schemas.openxmlformats.org/officeDocument/2006/relationships/hyperlink" Target="http://digital-library.ulbsibiu.ro/xmlui/handle/123456789/3484" TargetMode="External"/><Relationship Id="rId75" Type="http://schemas.openxmlformats.org/officeDocument/2006/relationships/hyperlink" Target="https://doctorate.ulbsibiu.ro/wp-content/uploads/Rezumat_Popp_Mihai_EN.pdf" TargetMode="External"/><Relationship Id="rId74" Type="http://schemas.openxmlformats.org/officeDocument/2006/relationships/hyperlink" Target="https://openurl.ebsco.com/EPDB%3Agcd%3A16%3A15988736/detailv2?sid=ebsco%3Aplink%3Ascholar&amp;id=ebsco%3Agcd%3A174262122&amp;crl=c" TargetMode="External"/><Relationship Id="rId77" Type="http://schemas.openxmlformats.org/officeDocument/2006/relationships/hyperlink" Target="https://www.proquest.com/docview/2830495312?pq-origsite=gscholar&amp;fromopenview=true&amp;sourcetype=Scholarly%20Journals" TargetMode="External"/><Relationship Id="rId76" Type="http://schemas.openxmlformats.org/officeDocument/2006/relationships/hyperlink" Target="https://link.springer.com/chapter/10.1007/978-3-031-42093-1_38" TargetMode="External"/><Relationship Id="rId79" Type="http://schemas.openxmlformats.org/officeDocument/2006/relationships/hyperlink" Target="https://bjihs.emnuvens.com.br/bjihs/indexacao" TargetMode="External"/><Relationship Id="rId78" Type="http://schemas.openxmlformats.org/officeDocument/2006/relationships/hyperlink" Target="https://bjihs.emnuvens.com.br/bjihs/article/view/821" TargetMode="External"/><Relationship Id="rId71" Type="http://schemas.openxmlformats.org/officeDocument/2006/relationships/hyperlink" Target="https://repositorio.unesum.edu.ec/handle/53000/4806" TargetMode="External"/><Relationship Id="rId70" Type="http://schemas.openxmlformats.org/officeDocument/2006/relationships/hyperlink" Target="http://digital-library.ulbsibiu.ro/xmlui/handle/123456789/3484" TargetMode="External"/><Relationship Id="rId62" Type="http://schemas.openxmlformats.org/officeDocument/2006/relationships/hyperlink" Target="https://doctorate.ulbsibiu.ro/wp-content/uploads/Rezumat_Popp_Mihai_EN.pdf" TargetMode="External"/><Relationship Id="rId61" Type="http://schemas.openxmlformats.org/officeDocument/2006/relationships/hyperlink" Target="https://doctorate.ulbsibiu.ro/wp-content/uploads/Rezumat_Popp_Mihai_EN.pdf" TargetMode="External"/><Relationship Id="rId64" Type="http://schemas.openxmlformats.org/officeDocument/2006/relationships/hyperlink" Target="https://arthra.ugal.ro/handle/123456789/9158" TargetMode="External"/><Relationship Id="rId63" Type="http://schemas.openxmlformats.org/officeDocument/2006/relationships/hyperlink" Target="https://intapi.sciendo.com/pdf/10.2478/aucts-2023-0004" TargetMode="External"/><Relationship Id="rId66" Type="http://schemas.openxmlformats.org/officeDocument/2006/relationships/hyperlink" Target="https://www.cell.com/heliyon/pdf/S2405-8440(23)06395-8.pdf" TargetMode="External"/><Relationship Id="rId65" Type="http://schemas.openxmlformats.org/officeDocument/2006/relationships/hyperlink" Target="https://books.google.ro/books?hl=ro&amp;lr=&amp;id=GRTdEAAAQBAJ&amp;oi=fnd&amp;pg=PP1&amp;ots=sTbjLiPDeI&amp;sig=KtEM9AKwSwWob_1OC6LuX2XpGLA&amp;redir_esc=y" TargetMode="External"/><Relationship Id="rId68" Type="http://schemas.openxmlformats.org/officeDocument/2006/relationships/hyperlink" Target="https://sciendo.com/pdf/10.2478/aucts-2022-0002" TargetMode="External"/><Relationship Id="rId67" Type="http://schemas.openxmlformats.org/officeDocument/2006/relationships/hyperlink" Target="https://www.proquest.com/openview/96d5be23444adf8469944e0d2065b94b/1?pq-origsite=gscholar&amp;cbl=2026366&amp;diss=y" TargetMode="External"/><Relationship Id="rId60" Type="http://schemas.openxmlformats.org/officeDocument/2006/relationships/hyperlink" Target="https://www.researchgate.net/profile/Rahul-b-2/publication/378877573_Strength_Investigation_on_Butt_Welded_Polymer_Tubes/links/65f03acb32321b2cff68229c/Strength-Investigation-on-Butt-Welded-Polymer-Tubes.pdf" TargetMode="External"/><Relationship Id="rId69" Type="http://schemas.openxmlformats.org/officeDocument/2006/relationships/hyperlink" Target="http://digital-library.ulbsibiu.ro/xmlui/handle/123456789/3484" TargetMode="External"/><Relationship Id="rId51" Type="http://schemas.openxmlformats.org/officeDocument/2006/relationships/hyperlink" Target="https://sciendo.com/pdf/10.2478/aucts-2022-0002" TargetMode="External"/><Relationship Id="rId50" Type="http://schemas.openxmlformats.org/officeDocument/2006/relationships/hyperlink" Target="https://doctorate.ulbsibiu.ro/wp-content/uploads/Rezumat_Popp_Mihai_EN.pdf" TargetMode="External"/><Relationship Id="rId53" Type="http://schemas.openxmlformats.org/officeDocument/2006/relationships/hyperlink" Target="https://arthra.ugal.ro/handle/123456789/9158" TargetMode="External"/><Relationship Id="rId52" Type="http://schemas.openxmlformats.org/officeDocument/2006/relationships/hyperlink" Target="https://intapi.sciendo.com/pdf/10.2478/aucts-2023-0004" TargetMode="External"/><Relationship Id="rId55" Type="http://schemas.openxmlformats.org/officeDocument/2006/relationships/hyperlink" Target="https://link.springer.com/article/10.1007/s40033-023-00450-5" TargetMode="External"/><Relationship Id="rId54" Type="http://schemas.openxmlformats.org/officeDocument/2006/relationships/hyperlink" Target="https://www.sciencedirect.com/science/article/abs/pii/S2214785323049374?via%3Dihub" TargetMode="External"/><Relationship Id="rId57" Type="http://schemas.openxmlformats.org/officeDocument/2006/relationships/hyperlink" Target="https://www.scientific.net/AMM.914.163" TargetMode="External"/><Relationship Id="rId56" Type="http://schemas.openxmlformats.org/officeDocument/2006/relationships/hyperlink" Target="https://www.scientific.net/AMM.914.151" TargetMode="External"/><Relationship Id="rId59" Type="http://schemas.openxmlformats.org/officeDocument/2006/relationships/hyperlink" Target="https://journals.sagepub.com/doi/abs/10.1177/09544089241237026" TargetMode="External"/><Relationship Id="rId58" Type="http://schemas.openxmlformats.org/officeDocument/2006/relationships/hyperlink" Target="https://doctorate.ulbsibiu.ro/wp-content/uploads/Rezumat_Popp_Mihai_EN.pdf" TargetMode="External"/><Relationship Id="rId107" Type="http://schemas.openxmlformats.org/officeDocument/2006/relationships/hyperlink" Target="https://revues.imist.ma/index.php/JOMODS/article/view/35390" TargetMode="External"/><Relationship Id="rId349" Type="http://schemas.openxmlformats.org/officeDocument/2006/relationships/hyperlink" Target="https://www.utgjiu.ro/rev_ing/pdf/2023-4/07_tomescu%20madalin-performance.pdf" TargetMode="External"/><Relationship Id="rId106" Type="http://schemas.openxmlformats.org/officeDocument/2006/relationships/hyperlink" Target="https://dl.designresearchsociety.org/cgi/viewcontent.cgi?article=1453&amp;context=learnxdesign" TargetMode="External"/><Relationship Id="rId348" Type="http://schemas.openxmlformats.org/officeDocument/2006/relationships/hyperlink" Target="https://www.utgjiu.ro/rev_ing/pdf/2023-4/06_tomescu%20madalin%20-%20analisys.pdf" TargetMode="External"/><Relationship Id="rId105" Type="http://schemas.openxmlformats.org/officeDocument/2006/relationships/hyperlink" Target="https://www.proquest.com/openview/7f238c2734d45ff22cfbd091c0c9ffdd/1?pq-origsite=gscholar&amp;cbl=18750&amp;diss=y" TargetMode="External"/><Relationship Id="rId347" Type="http://schemas.openxmlformats.org/officeDocument/2006/relationships/hyperlink" Target="https://www.utgjiu.ro/rev_ing/pdf/2023-4/06_tomescu%20madalin%20-%20analisys.pdf" TargetMode="External"/><Relationship Id="rId104" Type="http://schemas.openxmlformats.org/officeDocument/2006/relationships/hyperlink" Target="https://ijict.edu.iq/index.php/ijict/article/view/223" TargetMode="External"/><Relationship Id="rId346" Type="http://schemas.openxmlformats.org/officeDocument/2006/relationships/hyperlink" Target="https://www.utgjiu.ro/rev_ing/pdf/2023-4/06_tomescu%20madalin%20-%20analisys.pdf" TargetMode="External"/><Relationship Id="rId109" Type="http://schemas.openxmlformats.org/officeDocument/2006/relationships/hyperlink" Target="https://repository.ubn.ru.nl/handle/2066/292637" TargetMode="External"/><Relationship Id="rId108" Type="http://schemas.openxmlformats.org/officeDocument/2006/relationships/hyperlink" Target="https://carijournals.org/journals/index.php/JIRP/article/view/1361" TargetMode="External"/><Relationship Id="rId341" Type="http://schemas.openxmlformats.org/officeDocument/2006/relationships/hyperlink" Target="https://managementpapers.polsl.pl/wp-content/uploads/2023/08/174-Opa%C5%82ka.pdf" TargetMode="External"/><Relationship Id="rId340" Type="http://schemas.openxmlformats.org/officeDocument/2006/relationships/hyperlink" Target="https://www.utgjiu.ro/rev_mec/mecanica/pdf/2023-01/16_Dimulescu%20C,%20Wetternek%20M-%20Study%20about%20the%20usage%20of%20fly%20ash%20waste%20in%20the%20manufacture%20of%20composite%20materials%20with%20rubber%20matrix.pdf" TargetMode="External"/><Relationship Id="rId103" Type="http://schemas.openxmlformats.org/officeDocument/2006/relationships/hyperlink" Target="https://ejurnalunsam.id/index.php/jseb/article/view/6302" TargetMode="External"/><Relationship Id="rId345" Type="http://schemas.openxmlformats.org/officeDocument/2006/relationships/hyperlink" Target="https://www.utgjiu.ro/rev_ing/pdf/2023-4/06_tomescu%20madalin%20-%20analisys.pdf" TargetMode="External"/><Relationship Id="rId102" Type="http://schemas.openxmlformats.org/officeDocument/2006/relationships/hyperlink" Target="https://patents.google.com/patent/US11548845B2/en" TargetMode="External"/><Relationship Id="rId344" Type="http://schemas.openxmlformats.org/officeDocument/2006/relationships/hyperlink" Target="https://journal.rais.education/index.php/raiss/article/view/194" TargetMode="External"/><Relationship Id="rId101" Type="http://schemas.openxmlformats.org/officeDocument/2006/relationships/hyperlink" Target="https://www.jurnal.akjp2.ac.id/index.php/jstlm/article/view/113" TargetMode="External"/><Relationship Id="rId343" Type="http://schemas.openxmlformats.org/officeDocument/2006/relationships/hyperlink" Target="https://www.mdpi.com/2813-0391/1/4/54" TargetMode="External"/><Relationship Id="rId100" Type="http://schemas.openxmlformats.org/officeDocument/2006/relationships/hyperlink" Target="https://manu40.magtech.com.cn/Jweb_cdxb/CN/abstract/abstract4471.shtml" TargetMode="External"/><Relationship Id="rId342" Type="http://schemas.openxmlformats.org/officeDocument/2006/relationships/hyperlink" Target="https://www.diva-portal.org/smash/get/diva2:1789242/FULLTEXT01.pdf" TargetMode="External"/><Relationship Id="rId338" Type="http://schemas.openxmlformats.org/officeDocument/2006/relationships/hyperlink" Target="https://www.academia.edu/download/102523437/3777.pdf" TargetMode="External"/><Relationship Id="rId337" Type="http://schemas.openxmlformats.org/officeDocument/2006/relationships/hyperlink" Target="https://www.academia.edu/download/106473016/1825.pdf" TargetMode="External"/><Relationship Id="rId336" Type="http://schemas.openxmlformats.org/officeDocument/2006/relationships/hyperlink" Target="https://www.researchgate.net/profile/Usman-Madugu-2/publication/373424578_Influence_of_Entrepreneurship_Education_on_Students'_Innovation_and_Creativity_in_Nigerian_Public_Universities/links/64eada4140289f7a0fbc24bd/Influence-of-Entrepreneurship-Education-on-Students-Innovation-and-Creativity-in-Nigerian-Public-Universities.pdf" TargetMode="External"/><Relationship Id="rId335" Type="http://schemas.openxmlformats.org/officeDocument/2006/relationships/hyperlink" Target="https://www.researchgate.net/profile/Shabnam-Mahat/publication/378013216_Non_Graduate's_Turnover_hike_in_SolapurIndia_the_case_of_Profit_maximization_using_Linear_Programming_Problem/links/65c367b034bbff5ba7f444c1/Non-Graduates-Turnover-hike-in-SolapurIndia-the-case-of-Profit-maximization-using-Linear-Programming-Problem.pdf" TargetMode="External"/><Relationship Id="rId339" Type="http://schemas.openxmlformats.org/officeDocument/2006/relationships/hyperlink" Target="http://dspace.ugal.ro/bitstream/handle/123456789/9180/Rezumat_Teza_doctorat_Mirica_Cristian_2023EN.pdf?sequence=2&amp;isAllowed=y" TargetMode="External"/><Relationship Id="rId330" Type="http://schemas.openxmlformats.org/officeDocument/2006/relationships/hyperlink" Target="https://lirias.kuleuven.be/retrieve/726262" TargetMode="External"/><Relationship Id="rId334" Type="http://schemas.openxmlformats.org/officeDocument/2006/relationships/hyperlink" Target="https://bijejournal.com/BIJE/article/view/986" TargetMode="External"/><Relationship Id="rId333" Type="http://schemas.openxmlformats.org/officeDocument/2006/relationships/hyperlink" Target="https://www.havenvoorjongeondernemers.be/s/Rapport-SoLiDi-KULeuven-Jeugdwerk-en-Ondernemerschap.pdf" TargetMode="External"/><Relationship Id="rId332" Type="http://schemas.openxmlformats.org/officeDocument/2006/relationships/hyperlink" Target="https://drpress.org/ojs/index.php/ajmss/article/view/10256" TargetMode="External"/><Relationship Id="rId331" Type="http://schemas.openxmlformats.org/officeDocument/2006/relationships/hyperlink" Target="https://philpapers.org/rec/THATRO-10" TargetMode="External"/><Relationship Id="rId129" Type="http://schemas.openxmlformats.org/officeDocument/2006/relationships/hyperlink" Target="https://scholar.google.com/scholar?as_ylo=2023&amp;hl=ro&amp;as_sdt=2005&amp;sciodt=0,5&amp;cites=17801747741615582179&amp;scipsc=" TargetMode="External"/><Relationship Id="rId128" Type="http://schemas.openxmlformats.org/officeDocument/2006/relationships/hyperlink" Target="https://www.proquest.com/openview/9ae60bb1f6c7a229ad1463f167b2be0a/1?pq-origsite=gscholar&amp;cbl=2026366&amp;diss=y" TargetMode="External"/><Relationship Id="rId127" Type="http://schemas.openxmlformats.org/officeDocument/2006/relationships/hyperlink" Target="https://www.proquest.com/openview/107817697060d4b99ef085c48ec70650/1?pq-origsite=gscholar&amp;cbl=18750&amp;diss=y" TargetMode="External"/><Relationship Id="rId369" Type="http://schemas.openxmlformats.org/officeDocument/2006/relationships/drawing" Target="../drawings/drawing13.xml"/><Relationship Id="rId126" Type="http://schemas.openxmlformats.org/officeDocument/2006/relationships/hyperlink" Target="https://link.springer.com/chapter/10.1007/978-3-031-55750-7_11" TargetMode="External"/><Relationship Id="rId368" Type="http://schemas.openxmlformats.org/officeDocument/2006/relationships/hyperlink" Target="https://osuva.uwasa.fi/bitstream/handle/10024/15988/Uwasa_2023_Seppa_Oona.pdf?sequence=2" TargetMode="External"/><Relationship Id="rId121" Type="http://schemas.openxmlformats.org/officeDocument/2006/relationships/hyperlink" Target="https://scholar.google.com/scholar?start=10&amp;hl=ro&amp;as_sdt=2005&amp;sciodt=0,5&amp;as_ylo=2023&amp;cites=5457511832891058297&amp;scipsc=" TargetMode="External"/><Relationship Id="rId363" Type="http://schemas.openxmlformats.org/officeDocument/2006/relationships/hyperlink" Target="https://books.google.ro/books?hl=ro&amp;lr=&amp;id=cnXYEAAAQBAJ&amp;oi=fnd&amp;pg=PA281&amp;ots=Tx0e_e1yO-&amp;sig=ugoj_Mqsp0VRl47MYgXY5GlCIjU&amp;redir_esc=y" TargetMode="External"/><Relationship Id="rId120" Type="http://schemas.openxmlformats.org/officeDocument/2006/relationships/hyperlink" Target="https://scholar.google.com/scholar?as_ylo=2023&amp;hl=ro&amp;as_sdt=2005&amp;sciodt=0,5&amp;cites=5457511832891058297&amp;scipsc=" TargetMode="External"/><Relationship Id="rId362" Type="http://schemas.openxmlformats.org/officeDocument/2006/relationships/hyperlink" Target="https://www.duvaryayinlari.com/icerik/e-kitaplar/spor-bilimlerinde-multidisipliner-yaklasimlar-ii-doc-dr-mergul-colak-doc-dr-duygu-sevinc-yilmaz" TargetMode="External"/><Relationship Id="rId361" Type="http://schemas.openxmlformats.org/officeDocument/2006/relationships/hyperlink" Target="https://www.acadlore.com/article/JSE/2023_2_4/jse020402" TargetMode="External"/><Relationship Id="rId360" Type="http://schemas.openxmlformats.org/officeDocument/2006/relationships/hyperlink" Target="https://revistas.uazuay.edu.ec/html/revistas/UVERDAD/083/ARTICULO6/index.html" TargetMode="External"/><Relationship Id="rId125" Type="http://schemas.openxmlformats.org/officeDocument/2006/relationships/hyperlink" Target="https://scholar.google.com/scholar?as_ylo=2023&amp;hl=ro&amp;as_sdt=2005&amp;sciodt=0,5&amp;cites=8897709574052207616&amp;scipsc=" TargetMode="External"/><Relationship Id="rId367" Type="http://schemas.openxmlformats.org/officeDocument/2006/relationships/hyperlink" Target="https://www.researchsquare.com/article/rs-3226686/v1.pdf" TargetMode="External"/><Relationship Id="rId124" Type="http://schemas.openxmlformats.org/officeDocument/2006/relationships/hyperlink" Target="https://scholar.google.com/scholar?start=10&amp;hl=ro&amp;as_sdt=2005&amp;sciodt=0,5&amp;as_ylo=2023&amp;cites=5457511832891058297&amp;scipsc=" TargetMode="External"/><Relationship Id="rId366" Type="http://schemas.openxmlformats.org/officeDocument/2006/relationships/hyperlink" Target="https://papers.ssrn.com/sol3/papers.cfm?abstract_id=4534647" TargetMode="External"/><Relationship Id="rId123" Type="http://schemas.openxmlformats.org/officeDocument/2006/relationships/hyperlink" Target="https://scholar.google.com/scholar?start=10&amp;hl=ro&amp;as_sdt=2005&amp;sciodt=0,5&amp;as_ylo=2023&amp;cites=5457511832891058297&amp;scipsc=" TargetMode="External"/><Relationship Id="rId365" Type="http://schemas.openxmlformats.org/officeDocument/2006/relationships/hyperlink" Target="https://www.utgjiu.ro/revista/ec/pdf/2023-01/11_Mirica.pdf" TargetMode="External"/><Relationship Id="rId122" Type="http://schemas.openxmlformats.org/officeDocument/2006/relationships/hyperlink" Target="https://scholar.google.com/scholar?start=10&amp;hl=ro&amp;as_sdt=2005&amp;sciodt=0,5&amp;as_ylo=2023&amp;cites=5457511832891058297&amp;scipsc=" TargetMode="External"/><Relationship Id="rId364" Type="http://schemas.openxmlformats.org/officeDocument/2006/relationships/hyperlink" Target="https://books.google.ro/books?hl=ro&amp;lr=&amp;id=XXXaEAAAQBAJ&amp;oi=fnd&amp;pg=PA353&amp;ots=_ZWY3ty9zJ&amp;sig=zPwLXCQjNWmmgQXy-Adk2ovurF4&amp;redir_esc=y" TargetMode="External"/><Relationship Id="rId95" Type="http://schemas.openxmlformats.org/officeDocument/2006/relationships/hyperlink" Target="https://radar.ibiss.bg.ac.rs/handle/123456789/6680" TargetMode="External"/><Relationship Id="rId94" Type="http://schemas.openxmlformats.org/officeDocument/2006/relationships/hyperlink" Target="https://onlinelibrary.wiley.com/doi/abs/10.1002/9781119811749.ch23" TargetMode="External"/><Relationship Id="rId97" Type="http://schemas.openxmlformats.org/officeDocument/2006/relationships/hyperlink" Target="https://scholarhub.ui.ac.id/psr/vol10/iss3/3/" TargetMode="External"/><Relationship Id="rId96" Type="http://schemas.openxmlformats.org/officeDocument/2006/relationships/hyperlink" Target="https://radar.ibiss.bg.ac.rs/bitstream/id/17022/Batinic_et_al.pdf" TargetMode="External"/><Relationship Id="rId99" Type="http://schemas.openxmlformats.org/officeDocument/2006/relationships/hyperlink" Target="https://systems.enpress-publisher.com/index.php/TH/article/view/2945" TargetMode="External"/><Relationship Id="rId98" Type="http://schemas.openxmlformats.org/officeDocument/2006/relationships/hyperlink" Target="https://www.proquest.com/openview/e30177efe37ee4addee8cd10b7ead9e6/1?cbl=18750&amp;diss=y&amp;pq-origsite=gscholar&amp;parentSessionId=90Qh1OnMDDb72tEtT%2Fz%2F%2Br4OC26Erl%2F4%2Ba4zeyH%2FMyU%3D" TargetMode="External"/><Relationship Id="rId91" Type="http://schemas.openxmlformats.org/officeDocument/2006/relationships/hyperlink" Target="https://www.mdpi.com/2813-0391/1/4/54" TargetMode="External"/><Relationship Id="rId90" Type="http://schemas.openxmlformats.org/officeDocument/2006/relationships/hyperlink" Target="https://www.researchgate.net/profile/Aminu-Adamu-Ahmed-2/publication/375342067_Integrating_Business_Intelligence_and_Small_and_Medium_Enterprises_for_Shifting_Africa_from_Consumption_to_a_Production_and_Industrialised_Economy/links/654723c3ce88b87031c4f0fe/Integrating-Business-Intelligence-and-Small-and-Medium-Enterprises-for-Shifting-Africa-from-Consumption-to-a-Production-and-Industrialised-Economy.pdf" TargetMode="External"/><Relationship Id="rId93" Type="http://schemas.openxmlformats.org/officeDocument/2006/relationships/hyperlink" Target="https://doi.org/10.20885/AMBR.vol3.iss2.art2" TargetMode="External"/><Relationship Id="rId92"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118" Type="http://schemas.openxmlformats.org/officeDocument/2006/relationships/hyperlink" Target="https://www.ssbfnet.com/ojs/index.php/ijrbs/article/view/2504" TargetMode="External"/><Relationship Id="rId117" Type="http://schemas.openxmlformats.org/officeDocument/2006/relationships/hyperlink" Target="https://sajip.co.za/index.php/sajip/article/view/2123/3921" TargetMode="External"/><Relationship Id="rId359" Type="http://schemas.openxmlformats.org/officeDocument/2006/relationships/hyperlink" Target="https://www.ijpte.latticescipub.com/wp-content/uploads/papers/v4i1/A2023124123.pdf" TargetMode="External"/><Relationship Id="rId116" Type="http://schemas.openxmlformats.org/officeDocument/2006/relationships/hyperlink" Target="https://www.elifecycle.org/archive/view_article?pid=lc-3-0-14" TargetMode="External"/><Relationship Id="rId358" Type="http://schemas.openxmlformats.org/officeDocument/2006/relationships/hyperlink" Target="https://www.fceqyn.unam.edu.ar/recyt/index.php/recyt/article/view/765" TargetMode="External"/><Relationship Id="rId115" Type="http://schemas.openxmlformats.org/officeDocument/2006/relationships/hyperlink" Target="https://repositorio-uninove-br.translate.goog/xmlui/handle/123456789/1579?_x_tr_sch=http&amp;_x_tr_sl=pt&amp;_x_tr_tl=en&amp;_x_tr_hl=en&amp;_x_tr_pto=sc" TargetMode="External"/><Relationship Id="rId357"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119" Type="http://schemas.openxmlformats.org/officeDocument/2006/relationships/hyperlink" Target="https://scholar.google.com/scholar?as_ylo=2023&amp;hl=ro&amp;as_sdt=2005&amp;sciodt=0,5&amp;cites=5457511832891058297&amp;scipsc=" TargetMode="External"/><Relationship Id="rId110" Type="http://schemas.openxmlformats.org/officeDocument/2006/relationships/hyperlink" Target="https://doi.org/10.46990/relayn.2023.7.1.981" TargetMode="External"/><Relationship Id="rId352" Type="http://schemas.openxmlformats.org/officeDocument/2006/relationships/hyperlink" Target="https://www.utgjiu.ro/rev_ing/pdf/2023-4/07_tomescu%20madalin-performance.pdf" TargetMode="External"/><Relationship Id="rId351" Type="http://schemas.openxmlformats.org/officeDocument/2006/relationships/hyperlink" Target="https://www.utgjiu.ro/rev_ing/pdf/2023-4/07_tomescu%20madalin-performance.pdf" TargetMode="External"/><Relationship Id="rId350" Type="http://schemas.openxmlformats.org/officeDocument/2006/relationships/hyperlink" Target="https://www.utgjiu.ro/rev_ing/pdf/2023-4/07_tomescu%20madalin-performance.pdf" TargetMode="External"/><Relationship Id="rId114" Type="http://schemas.openxmlformats.org/officeDocument/2006/relationships/hyperlink" Target="https://ejournal.undip.ac.id/index.php/jgti/article/view/51585" TargetMode="External"/><Relationship Id="rId356"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113" Type="http://schemas.openxmlformats.org/officeDocument/2006/relationships/hyperlink" Target="https://www.igi-global.com/chapter/optimizing-knowledge-management-during-crises/314110" TargetMode="External"/><Relationship Id="rId355"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112" Type="http://schemas.openxmlformats.org/officeDocument/2006/relationships/hyperlink" Target="https://www.researchgate.net/profile/Tomina-Saveanu/publication/370156712_Social_responsibility_of_small_and_medium_enterprises_in_Romania/links/644278556216de13629392e8/Social-responsibility-of-small-and-medium-enterprises-in-Romania.pdf" TargetMode="External"/><Relationship Id="rId354"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111" Type="http://schemas.openxmlformats.org/officeDocument/2006/relationships/hyperlink" Target="https://sedici.unlp.edu.ar/handle/10915/162176" TargetMode="External"/><Relationship Id="rId353" Type="http://schemas.openxmlformats.org/officeDocument/2006/relationships/hyperlink" Target="https://www.utgjiu.ro/rev_ing/pdf/2023-4/07_tomescu%20madalin-performance.pdf" TargetMode="External"/><Relationship Id="rId305" Type="http://schemas.openxmlformats.org/officeDocument/2006/relationships/hyperlink" Target="https://tcgd.tapchigiaoduc.edu.vn/index.php/tapchi/article/view/1064" TargetMode="External"/><Relationship Id="rId304" Type="http://schemas.openxmlformats.org/officeDocument/2006/relationships/hyperlink" Target="http://repository.pnb.ac.id/id/eprint/7006" TargetMode="External"/><Relationship Id="rId303" Type="http://schemas.openxmlformats.org/officeDocument/2006/relationships/hyperlink" Target="http://pps.udpu.edu.ua/article/view/288421" TargetMode="External"/><Relationship Id="rId302" Type="http://schemas.openxmlformats.org/officeDocument/2006/relationships/hyperlink" Target="https://journals.lib.pte.hu/index.php/mm/article/view/5833" TargetMode="External"/><Relationship Id="rId309" Type="http://schemas.openxmlformats.org/officeDocument/2006/relationships/hyperlink" Target="http://repository.utm.md/handle/5014/24958" TargetMode="External"/><Relationship Id="rId308" Type="http://schemas.openxmlformats.org/officeDocument/2006/relationships/hyperlink" Target="https://sciendo.com/article/10.2478/sbe-2023-0055" TargetMode="External"/><Relationship Id="rId307" Type="http://schemas.openxmlformats.org/officeDocument/2006/relationships/hyperlink" Target="https://dergipark.org.tr/en/pub/gumus/issue/75752/1128534" TargetMode="External"/><Relationship Id="rId306" Type="http://schemas.openxmlformats.org/officeDocument/2006/relationships/hyperlink" Target="https://www.mdpi.com/2304-8158/12/11/2183" TargetMode="External"/><Relationship Id="rId301" Type="http://schemas.openxmlformats.org/officeDocument/2006/relationships/hyperlink" Target="https://journal.irphe.ac.ir/article_702976.html?lang=en" TargetMode="External"/><Relationship Id="rId300" Type="http://schemas.openxmlformats.org/officeDocument/2006/relationships/hyperlink" Target="https://www.academia.edu/download/102523437/3777.pdf" TargetMode="External"/><Relationship Id="rId327" Type="http://schemas.openxmlformats.org/officeDocument/2006/relationships/hyperlink" Target="https://ojs.amhinternational.com/index.php/imbr/article/view/3518" TargetMode="External"/><Relationship Id="rId326" Type="http://schemas.openxmlformats.org/officeDocument/2006/relationships/hyperlink" Target="https://www.tandfonline.com/doi/abs/10.1080/10978526.2022.2026782" TargetMode="External"/><Relationship Id="rId325" Type="http://schemas.openxmlformats.org/officeDocument/2006/relationships/hyperlink" Target="https://www.proquest.com/docview/2807105671/fulltextPDF/C32BCBCF144E4EA7PQ/1?accountid=8083&amp;sourcetype=Scholarly%20Journals" TargetMode="External"/><Relationship Id="rId324" Type="http://schemas.openxmlformats.org/officeDocument/2006/relationships/hyperlink" Target="https://scholar.google.com/scholar?oi=bibs&amp;hl=ro&amp;cites=12956577773948849551" TargetMode="External"/><Relationship Id="rId329" Type="http://schemas.openxmlformats.org/officeDocument/2006/relationships/hyperlink" Target="https://www.academia.edu/download/108030935/cgobrv7i4p14.pdf" TargetMode="External"/><Relationship Id="rId328" Type="http://schemas.openxmlformats.org/officeDocument/2006/relationships/hyperlink" Target="https://dergipark.org.tr/en/pub/milliegitim/article/1309025" TargetMode="External"/><Relationship Id="rId323" Type="http://schemas.openxmlformats.org/officeDocument/2006/relationships/hyperlink" Target="https://www.jihsci.com/index.php/jihsci/article/view/10" TargetMode="External"/><Relationship Id="rId322" Type="http://schemas.openxmlformats.org/officeDocument/2006/relationships/hyperlink" Target="https://etj.uotechnology.edu.iq/article_181509_c4b5c4f85954da91ca39792f4cc69529.pdf" TargetMode="External"/><Relationship Id="rId321" Type="http://schemas.openxmlformats.org/officeDocument/2006/relationships/hyperlink" Target="https://www.mdpi.com/2813-0391/1/4/54" TargetMode="External"/><Relationship Id="rId320"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316" Type="http://schemas.openxmlformats.org/officeDocument/2006/relationships/hyperlink" Target="https://repository.nwu.ac.za/handle/10394/42253" TargetMode="External"/><Relationship Id="rId315" Type="http://schemas.openxmlformats.org/officeDocument/2006/relationships/hyperlink" Target="https://cyberleninka.ru/article/n/protivodeystvie-prestupnosti-svyazannoy-s-organizatsiey-nezakonnoy-migratsii-v-period-osuschestvleniya-spetsialnoy-voennoy" TargetMode="External"/><Relationship Id="rId314" Type="http://schemas.openxmlformats.org/officeDocument/2006/relationships/hyperlink" Target="https://link.springer.com/article/10.1007/s10043-022-00771-y" TargetMode="External"/><Relationship Id="rId313" Type="http://schemas.openxmlformats.org/officeDocument/2006/relationships/hyperlink" Target="https://link.springer.com/article/10.1007/s11042-022-13552-1" TargetMode="External"/><Relationship Id="rId319" Type="http://schemas.openxmlformats.org/officeDocument/2006/relationships/hyperlink" Target="https://www.utgjiu.ro/rev_ing/pdf/2023-4/14_dimulescu-study%20of%20composite%20materials%20with%20rubber%20matrices%20and%20fa%20and%20pvc%20additives%20using%20finite%20element%20analysis.pdf" TargetMode="External"/><Relationship Id="rId318" Type="http://schemas.openxmlformats.org/officeDocument/2006/relationships/hyperlink" Target="http://repository.uki.ac.id/13245/" TargetMode="External"/><Relationship Id="rId317" Type="http://schemas.openxmlformats.org/officeDocument/2006/relationships/hyperlink" Target="https://cyberleninka.ru/article/n/o-novyh-tipah-lichnosti-prestupnika-v-izmenyayuschemsya-rossiyskom-obschestve/viewer" TargetMode="External"/><Relationship Id="rId312" Type="http://schemas.openxmlformats.org/officeDocument/2006/relationships/hyperlink" Target="https://www.ceeol.com/search/article-detail?id=1201881" TargetMode="External"/><Relationship Id="rId311" Type="http://schemas.openxmlformats.org/officeDocument/2006/relationships/hyperlink" Target="https://www.ceeol.com/search/article-detail?id=1196658" TargetMode="External"/><Relationship Id="rId310" Type="http://schemas.openxmlformats.org/officeDocument/2006/relationships/hyperlink" Target="https://ibn.idsi.md/vizualizare_articol/196708" TargetMode="External"/><Relationship Id="rId297" Type="http://schemas.openxmlformats.org/officeDocument/2006/relationships/hyperlink" Target="https://www.researchgate.net/profile/Shabnam-Mahat/publication/378013216_Non_Graduate's_Turnover_hike_in_SolapurIndia_the_case_of_Profit_maximization_using_Linear_Programming_Problem/links/65c367b034bbff5ba7f444c1/Non-Graduates-Turnover-hike-in-SolapurIndia-the-case-of-Profit-maximization-using-Linear-Programming-Problem.pdf" TargetMode="External"/><Relationship Id="rId296" Type="http://schemas.openxmlformats.org/officeDocument/2006/relationships/hyperlink" Target="https://bijejournal.com/BIJE/article/view/986" TargetMode="External"/><Relationship Id="rId295" Type="http://schemas.openxmlformats.org/officeDocument/2006/relationships/hyperlink" Target="https://www.havenvoorjongeondernemers.be/s/Rapport-SoLiDi-KULeuven-Jeugdwerk-en-Ondernemerschap.pdf" TargetMode="External"/><Relationship Id="rId294" Type="http://schemas.openxmlformats.org/officeDocument/2006/relationships/hyperlink" Target="https://drpress.org/ojs/index.php/ajmss/article/view/10256" TargetMode="External"/><Relationship Id="rId299" Type="http://schemas.openxmlformats.org/officeDocument/2006/relationships/hyperlink" Target="https://www.academia.edu/download/106473016/1825.pdf" TargetMode="External"/><Relationship Id="rId298" Type="http://schemas.openxmlformats.org/officeDocument/2006/relationships/hyperlink" Target="https://www.researchgate.net/profile/Usman-Madugu-2/publication/373424578_Influence_of_Entrepreneurship_Education_on_Students'_Innovation_and_Creativity_in_Nigerian_Public_Universities/links/64eada4140289f7a0fbc24bd/Influence-of-Entrepreneurship-Education-on-Students-Innovation-and-Creativity-in-Nigerian-Public-Universities.pdf" TargetMode="External"/><Relationship Id="rId271" Type="http://schemas.openxmlformats.org/officeDocument/2006/relationships/hyperlink" Target="https://www.mdpi.com/1999-4923/15/4/1144" TargetMode="External"/><Relationship Id="rId270" Type="http://schemas.openxmlformats.org/officeDocument/2006/relationships/hyperlink" Target="https://repository.unimilitar.edu.co/handle/10654/44911" TargetMode="External"/><Relationship Id="rId269" Type="http://schemas.openxmlformats.org/officeDocument/2006/relationships/hyperlink" Target="https://real.mtak.hu/185500/" TargetMode="External"/><Relationship Id="rId264" Type="http://schemas.openxmlformats.org/officeDocument/2006/relationships/hyperlink" Target="https://link.springer.com/chapter/10.1007/978-3-031-28686-5_19" TargetMode="External"/><Relationship Id="rId263" Type="http://schemas.openxmlformats.org/officeDocument/2006/relationships/hyperlink" Target="http://scielo.senescyt.gob.ec/scielo.php?script=sci_arttext&amp;pid=S2602-80502023000100040" TargetMode="External"/><Relationship Id="rId262" Type="http://schemas.openxmlformats.org/officeDocument/2006/relationships/hyperlink" Target="http://scielo.senescyt.gob.ec/scielo.php?pid=S2602-80502023000100040&amp;script=sci_abstract&amp;tlng=e" TargetMode="External"/><Relationship Id="rId261" Type="http://schemas.openxmlformats.org/officeDocument/2006/relationships/hyperlink" Target="https://link.springer.com/article/10.1007/s44211-023-00339-z" TargetMode="External"/><Relationship Id="rId268" Type="http://schemas.openxmlformats.org/officeDocument/2006/relationships/hyperlink" Target="https://lup.lub.lu.se/student-papers/record/9130032/file/9130035.pdf" TargetMode="External"/><Relationship Id="rId267" Type="http://schemas.openxmlformats.org/officeDocument/2006/relationships/hyperlink" Target="https://oa.upm.es/id/eprint/75305" TargetMode="External"/><Relationship Id="rId266" Type="http://schemas.openxmlformats.org/officeDocument/2006/relationships/hyperlink" Target="https://www.mdpi.com/2076-3417/13/5/3153" TargetMode="External"/><Relationship Id="rId265" Type="http://schemas.openxmlformats.org/officeDocument/2006/relationships/hyperlink" Target="https://journal.ump.edu.my/ijame/article/view/9452" TargetMode="External"/><Relationship Id="rId260" Type="http://schemas.openxmlformats.org/officeDocument/2006/relationships/hyperlink" Target="https://www.sciencedirect.com/science/article/pii/S0927776523004988" TargetMode="External"/><Relationship Id="rId259" Type="http://schemas.openxmlformats.org/officeDocument/2006/relationships/hyperlink" Target="https://ijemh.com/issue_dcp/Review%20of%20Zarwani%20Village%20an%20Eco%20tourism%20Planning%20Proposal.pdf" TargetMode="External"/><Relationship Id="rId258" Type="http://schemas.openxmlformats.org/officeDocument/2006/relationships/hyperlink" Target="https://dspace.uii.ac.id/handle/123456789/44133" TargetMode="External"/><Relationship Id="rId253" Type="http://schemas.openxmlformats.org/officeDocument/2006/relationships/hyperlink" Target="https://www.elgaronline.com/edcollchap/book/9781789902532/book-part-9781789902532-10.xml" TargetMode="External"/><Relationship Id="rId252" Type="http://schemas.openxmlformats.org/officeDocument/2006/relationships/hyperlink" Target="https://ajccr.journals.ekb.eg/article_333057.html" TargetMode="External"/><Relationship Id="rId251" Type="http://schemas.openxmlformats.org/officeDocument/2006/relationships/hyperlink" Target="https://intellectdiscover.com/content/journals/10.1386/hosp_00073_1" TargetMode="External"/><Relationship Id="rId250" Type="http://schemas.openxmlformats.org/officeDocument/2006/relationships/hyperlink" Target="https://www.frontiersin.org/articles/10.3389/frsut.2024.1387048/full" TargetMode="External"/><Relationship Id="rId257" Type="http://schemas.openxmlformats.org/officeDocument/2006/relationships/hyperlink" Target="https://www.researchgate.net/profile/Suman-Paul-4/publication/369990712_Perception-satisfaction_based_quality_assessment_of_tourism_and_hospitality_services_in_the_Himalayan_region_An_application_of_AHP-SERVQUAL_approach_on_Sandakphu_Trail_West_Bengal_India/links/64439077017bc07902cf73c9/Perception-satisfaction-based-quality-assessment-of-tourism-and-hospitality-services-in-the-Himalayan-region-An-application-of-AHP-SERVQUAL-approach-on-Sandakphu-Trail-West-Bengal-India.pdf" TargetMode="External"/><Relationship Id="rId256" Type="http://schemas.openxmlformats.org/officeDocument/2006/relationships/hyperlink" Target="https://repositorio.puce.edu.ec/bitstreams/cbe9edb5-7e75-4ea6-8525-8fae962119f0/download" TargetMode="External"/><Relationship Id="rId255" Type="http://schemas.openxmlformats.org/officeDocument/2006/relationships/hyperlink" Target="http://digilib.unila.ac.id/id/eprint/78032" TargetMode="External"/><Relationship Id="rId254" Type="http://schemas.openxmlformats.org/officeDocument/2006/relationships/hyperlink" Target="https://talenta.usu.ac.id/Jsi/article/view/13356" TargetMode="External"/><Relationship Id="rId293" Type="http://schemas.openxmlformats.org/officeDocument/2006/relationships/hyperlink" Target="https://philpapers.org/rec/THATRO-10" TargetMode="External"/><Relationship Id="rId292" Type="http://schemas.openxmlformats.org/officeDocument/2006/relationships/hyperlink" Target="https://lirias.kuleuven.be/retrieve/726262" TargetMode="External"/><Relationship Id="rId291" Type="http://schemas.openxmlformats.org/officeDocument/2006/relationships/hyperlink" Target="https://www.academia.edu/download/108030935/cgobrv7i4p14.pdf" TargetMode="External"/><Relationship Id="rId290" Type="http://schemas.openxmlformats.org/officeDocument/2006/relationships/hyperlink" Target="https://dergipark.org.tr/en/pub/milliegitim/article/1309025" TargetMode="External"/><Relationship Id="rId286" Type="http://schemas.openxmlformats.org/officeDocument/2006/relationships/hyperlink" Target="https://digitalcommons.library.uab.edu/etd-collection/3473/" TargetMode="External"/><Relationship Id="rId285" Type="http://schemas.openxmlformats.org/officeDocument/2006/relationships/hyperlink" Target="https://www.proquest.com/openview/95b027c91b2f9a20994af119702093a5/1?pq-origsite=gscholar&amp;cbl=18750&amp;diss=y" TargetMode="External"/><Relationship Id="rId284" Type="http://schemas.openxmlformats.org/officeDocument/2006/relationships/hyperlink" Target="https://www.proquest.com/openview/95b027c91b2f9a20994af119702093a5/1?pq-origsite=gscholar&amp;cbl=18750&amp;diss=y" TargetMode="External"/><Relationship Id="rId283" Type="http://schemas.openxmlformats.org/officeDocument/2006/relationships/hyperlink" Target="https://www.inderscienceonline.com/doi/abs/10.1504/IJPQM.2023.129616" TargetMode="External"/><Relationship Id="rId289" Type="http://schemas.openxmlformats.org/officeDocument/2006/relationships/hyperlink" Target="https://ojs.amhinternational.com/index.php/imbr/article/view/3518" TargetMode="External"/><Relationship Id="rId288" Type="http://schemas.openxmlformats.org/officeDocument/2006/relationships/hyperlink" Target="https://www.tandfonline.com/doi/abs/10.1080/10978526.2022.2026782" TargetMode="External"/><Relationship Id="rId287" Type="http://schemas.openxmlformats.org/officeDocument/2006/relationships/hyperlink" Target="https://digitalcommons.library.uab.edu/etd-collection/3473/" TargetMode="External"/><Relationship Id="rId282" Type="http://schemas.openxmlformats.org/officeDocument/2006/relationships/hyperlink" Target="https://www.inderscienceonline.com/doi/abs/10.1504/IJPQM.2023.129616" TargetMode="External"/><Relationship Id="rId281" Type="http://schemas.openxmlformats.org/officeDocument/2006/relationships/hyperlink" Target="https://www.meste.org/mest/Archive/MEST_XI_11_1.pdf" TargetMode="External"/><Relationship Id="rId280" Type="http://schemas.openxmlformats.org/officeDocument/2006/relationships/hyperlink" Target="https://www.meste.org/mest/Archive/MEST_XI_11_1.pdf" TargetMode="External"/><Relationship Id="rId275" Type="http://schemas.openxmlformats.org/officeDocument/2006/relationships/hyperlink" Target="https://www.sciencedirect.com/science/article/pii/S0167732222027325" TargetMode="External"/><Relationship Id="rId274" Type="http://schemas.openxmlformats.org/officeDocument/2006/relationships/hyperlink" Target="https://link.springer.com/article/10.1186/s12896-023-00825-2" TargetMode="External"/><Relationship Id="rId273" Type="http://schemas.openxmlformats.org/officeDocument/2006/relationships/hyperlink" Target="https://link.springer.com/article/10.1208/s12249-023-02702-9" TargetMode="External"/><Relationship Id="rId272" Type="http://schemas.openxmlformats.org/officeDocument/2006/relationships/hyperlink" Target="https://www.sciencedirect.com/science/article/pii/S0141813023010954" TargetMode="External"/><Relationship Id="rId279" Type="http://schemas.openxmlformats.org/officeDocument/2006/relationships/hyperlink" Target="https://www.inderscienceonline.com/doi/abs/10.1504/IJMCP.2023.133799" TargetMode="External"/><Relationship Id="rId278" Type="http://schemas.openxmlformats.org/officeDocument/2006/relationships/hyperlink" Target="https://www.inderscienceonline.com/doi/abs/10.1504/IJMCP.2023.133799" TargetMode="External"/><Relationship Id="rId277" Type="http://schemas.openxmlformats.org/officeDocument/2006/relationships/hyperlink" Target="https://dergipark.org.tr/en/pub/imj/issue/79037/1143157" TargetMode="External"/><Relationship Id="rId276" Type="http://schemas.openxmlformats.org/officeDocument/2006/relationships/hyperlink" Target="https://www.techrxiv.org/doi/full/10.22541/au.169027404.42481458" TargetMode="External"/><Relationship Id="rId228" Type="http://schemas.openxmlformats.org/officeDocument/2006/relationships/hyperlink" Target="https://www.inderscienceonline.com/doi/abs/10.1504/IJSSCA.2023.134444" TargetMode="External"/><Relationship Id="rId227" Type="http://schemas.openxmlformats.org/officeDocument/2006/relationships/hyperlink" Target="https://pubs.aip.org/aip/acp/article/2485/1/120013/2906012" TargetMode="External"/><Relationship Id="rId226" Type="http://schemas.openxmlformats.org/officeDocument/2006/relationships/hyperlink" Target="https://ieomsociety.org/proceedings/2023manila/13.pdf" TargetMode="External"/><Relationship Id="rId225" Type="http://schemas.openxmlformats.org/officeDocument/2006/relationships/hyperlink" Target="https://www.sciencedirect.com/science/article/abs/pii/S2214785323049374?via%3Dihub" TargetMode="External"/><Relationship Id="rId229" Type="http://schemas.openxmlformats.org/officeDocument/2006/relationships/hyperlink" Target="https://library.iated.org/view/ZERBES2023GOO" TargetMode="External"/><Relationship Id="rId220" Type="http://schemas.openxmlformats.org/officeDocument/2006/relationships/hyperlink" Target="https://pubs.ufs.ac.za/index.php/ijrcs/article/view/936" TargetMode="External"/><Relationship Id="rId224" Type="http://schemas.openxmlformats.org/officeDocument/2006/relationships/hyperlink" Target="https://www.scientific.net/AMM.914.163" TargetMode="External"/><Relationship Id="rId223" Type="http://schemas.openxmlformats.org/officeDocument/2006/relationships/hyperlink" Target="https://www.scientific.net/AMM.914.151" TargetMode="External"/><Relationship Id="rId222" Type="http://schemas.openxmlformats.org/officeDocument/2006/relationships/hyperlink" Target="https://doctorate.ulbsibiu.ro/wp-content/uploads/Rezumat_Popp_Mihai_EN.pdf" TargetMode="External"/><Relationship Id="rId221" Type="http://schemas.openxmlformats.org/officeDocument/2006/relationships/hyperlink" Target="https://doctorate.ulbsibiu.ro/wp-content/uploads/Rezumat_Popp_Mihai_EN.pdf" TargetMode="External"/><Relationship Id="rId217" Type="http://schemas.openxmlformats.org/officeDocument/2006/relationships/hyperlink" Target="https://www.cambridge.org/core/journals/proceedings-of-the-design-society/article/sensing-insitu-temperatures-by-coordinates-in-fused-filament-fabrication-for-identifying-interlayer-anisotropic-mechanical-properties-and-enabling-postfem-analysis/0F5173B41D101D26A4B038F046EC5632" TargetMode="External"/><Relationship Id="rId216" Type="http://schemas.openxmlformats.org/officeDocument/2006/relationships/hyperlink" Target="https://onlinelibrary.wiley.com/doi/abs/10.1002/adts.202200704" TargetMode="External"/><Relationship Id="rId215" Type="http://schemas.openxmlformats.org/officeDocument/2006/relationships/hyperlink" Target="https://onlinelibrary.wiley.com/doi/abs/10.1002/app.53972" TargetMode="External"/><Relationship Id="rId214" Type="http://schemas.openxmlformats.org/officeDocument/2006/relationships/hyperlink" Target="https://scholar.google.com/scholar?oi=bibs&amp;hl=en&amp;cites=2575880299844784034&amp;as_sdt=5&amp;as_ylo=2023&amp;as_yhi=2023" TargetMode="External"/><Relationship Id="rId219" Type="http://schemas.openxmlformats.org/officeDocument/2006/relationships/hyperlink" Target="https://www.researchgate.net/publication/371832121_The_Importance_of_New_Technologies_in_The_Education_and_Professional_Development_of_Future_Engineers_in_The_Technical_Profession" TargetMode="External"/><Relationship Id="rId218" Type="http://schemas.openxmlformats.org/officeDocument/2006/relationships/hyperlink" Target="https://scholar.google.com/scholar?oi=bibs&amp;cluster=2575880299844784034&amp;btnI=1&amp;hl=en" TargetMode="External"/><Relationship Id="rId213" Type="http://schemas.openxmlformats.org/officeDocument/2006/relationships/hyperlink" Target="https://www.mdpi.com/2073-4360/15/9/2209" TargetMode="External"/><Relationship Id="rId212" Type="http://schemas.openxmlformats.org/officeDocument/2006/relationships/hyperlink" Target="https://scholar.google.com/scholar?oi=bibs&amp;cluster=2575880299844784034&amp;btnI=1&amp;hl=en" TargetMode="External"/><Relationship Id="rId211" Type="http://schemas.openxmlformats.org/officeDocument/2006/relationships/hyperlink" Target="https://scholar.google.com/scholar?oi=bibs&amp;hl=en&amp;cites=16997845847943342618&amp;as_sdt=5&amp;as_ylo=2023&amp;as_yhi=2023" TargetMode="External"/><Relationship Id="rId210" Type="http://schemas.openxmlformats.org/officeDocument/2006/relationships/hyperlink" Target="https://repositorium.sdum.uminho.pt/handle/1822/83825" TargetMode="External"/><Relationship Id="rId249" Type="http://schemas.openxmlformats.org/officeDocument/2006/relationships/hyperlink" Target="https://journal.literasisains.id/index.php/toba/article/view/2636" TargetMode="External"/><Relationship Id="rId248" Type="http://schemas.openxmlformats.org/officeDocument/2006/relationships/hyperlink" Target="https://www.emerald.com/insight/content/doi/10.1108/APJBA-01-2021-0033/full/html" TargetMode="External"/><Relationship Id="rId247" Type="http://schemas.openxmlformats.org/officeDocument/2006/relationships/hyperlink" Target="https://www.tandfonline.com/doi/abs/10.1080/23311916.2023.2183590" TargetMode="External"/><Relationship Id="rId242" Type="http://schemas.openxmlformats.org/officeDocument/2006/relationships/hyperlink" Target="https://inaugural.futminna.edu.ng/wp-content/uploads/2024/01/0.-Inaugural-Lecture-Series-60.pdf" TargetMode="External"/><Relationship Id="rId241" Type="http://schemas.openxmlformats.org/officeDocument/2006/relationships/hyperlink" Target="https://www.prouniversitaria.ro/carte/analiza-datelor-cu-microsoft-excel/" TargetMode="External"/><Relationship Id="rId240" Type="http://schemas.openxmlformats.org/officeDocument/2006/relationships/hyperlink" Target="https://cfdj.journals.ekb.eg/article_289194_8e246cddcbcaade26478a23bc687ac7b.pdf" TargetMode="External"/><Relationship Id="rId246" Type="http://schemas.openxmlformats.org/officeDocument/2006/relationships/hyperlink" Target="https://search.ebscohost.com/login.aspx?direct=true&amp;profile=ehost&amp;scope=site&amp;authtype=crawler&amp;jrnl=24142336&amp;AN=169802648&amp;h=U2HbUua0tUP6cYXnZUsZa2ZmtLz8IXlO8xAes3KjopWhdGnPLAx8sYELk%2B7us0GpGXqQldM3NcPbEpMyRcQATw%3D%3D&amp;crl=c" TargetMode="External"/><Relationship Id="rId245" Type="http://schemas.openxmlformats.org/officeDocument/2006/relationships/hyperlink" Target="https://www.taylorfrancis.com/chapters/edit/10.4324/9781003390312-7/lean-4-0-emil-evin-du%C5%A1an-sabadka-lilla-hortov%C3%A1nyi-s%C3%A1ndor-gyula-nagy-tam%C3%A1s-stukovszky" TargetMode="External"/><Relationship Id="rId244" Type="http://schemas.openxmlformats.org/officeDocument/2006/relationships/hyperlink" Target="http://earsiv.odu.edu.tr/jspui/handle/11489/3839" TargetMode="External"/><Relationship Id="rId243" Type="http://schemas.openxmlformats.org/officeDocument/2006/relationships/hyperlink" Target="https://pubs.aip.org/aip/acp/article-abstract/2683/1/040018/2891292/Individual-characteristics-and-the-5SPrinciple?redirectedFrom=fulltext" TargetMode="External"/><Relationship Id="rId239" Type="http://schemas.openxmlformats.org/officeDocument/2006/relationships/hyperlink" Target="https://www.businessperspectives.org/images/pdf/applications/publishing/templates/article/assets/19180/KPM_2023_1_Saragih.pdf" TargetMode="External"/><Relationship Id="rId238" Type="http://schemas.openxmlformats.org/officeDocument/2006/relationships/hyperlink" Target="https://www.ijpte.latticescipub.com/wp-content/uploads/papers/v4i1/A2023124123.pdf" TargetMode="External"/><Relationship Id="rId237" Type="http://schemas.openxmlformats.org/officeDocument/2006/relationships/hyperlink" Target="https://www.utgjiu.ro/rev_ing/pdf/2023-4/07_tomescu%20madalin-performance.pdf" TargetMode="External"/><Relationship Id="rId236" Type="http://schemas.openxmlformats.org/officeDocument/2006/relationships/hyperlink" Target="https://www.utgjiu.ro/rev_ing/pdf/2023-4/06_tomescu%20madalin%20-%20analisys.pdf" TargetMode="External"/><Relationship Id="rId231" Type="http://schemas.openxmlformats.org/officeDocument/2006/relationships/hyperlink" Target="https://www.proquest.com/openview/c2d6f18800ccc87d8700531c8d92f597/1?pq-origsite=gscholar&amp;cbl=18750&amp;diss=y" TargetMode="External"/><Relationship Id="rId230" Type="http://schemas.openxmlformats.org/officeDocument/2006/relationships/hyperlink" Target="http://jonuns.com/index.php/journal/article/view/1347" TargetMode="External"/><Relationship Id="rId235" Type="http://schemas.openxmlformats.org/officeDocument/2006/relationships/hyperlink" Target="https://www.researchgate.net/publication/373649503_Influence_of_Input_Parameters_on_the_Coefficient_of_Friction_during_Incremental_Sheet_Forming_of_Grade_5_Titanium_Alloy_Sheets" TargetMode="External"/><Relationship Id="rId234" Type="http://schemas.openxmlformats.org/officeDocument/2006/relationships/hyperlink" Target="https://www.researchgate.net/publication/376562529_Investigation_of_the_Effect_of_SPIF_Parameters_on_the_Thickness_of_Al_2024_Alloy" TargetMode="External"/><Relationship Id="rId233" Type="http://schemas.openxmlformats.org/officeDocument/2006/relationships/hyperlink" Target="https://www.uninove.br/" TargetMode="External"/><Relationship Id="rId232" Type="http://schemas.openxmlformats.org/officeDocument/2006/relationships/hyperlink" Target="https://library.iated.org/view/POPESCU2023MOD" TargetMode="External"/><Relationship Id="rId206" Type="http://schemas.openxmlformats.org/officeDocument/2006/relationships/hyperlink" Target="https://www.tandfonline.com/doi/full/10.1080/01605682.2023.2247008" TargetMode="External"/><Relationship Id="rId205" Type="http://schemas.openxmlformats.org/officeDocument/2006/relationships/hyperlink" Target="https://ejournal.uinmybatusangkar.ac.id/ojs/index.php/alfikrah/article/view/12121" TargetMode="External"/><Relationship Id="rId204" Type="http://schemas.openxmlformats.org/officeDocument/2006/relationships/hyperlink" Target="https://garuda.kemdikbud.go.id/documents/detail/3932955" TargetMode="External"/><Relationship Id="rId203" Type="http://schemas.openxmlformats.org/officeDocument/2006/relationships/hyperlink" Target="https://www.sciencedirect.com/science/article/pii/S2666592123000653" TargetMode="External"/><Relationship Id="rId209" Type="http://schemas.openxmlformats.org/officeDocument/2006/relationships/hyperlink" Target="https://scholar.google.com/scholar?oi=bibs&amp;hl=en&amp;cites=11012166232944612689&amp;as_sdt=5&amp;as_ylo=2023&amp;as_yhi=2023" TargetMode="External"/><Relationship Id="rId208" Type="http://schemas.openxmlformats.org/officeDocument/2006/relationships/hyperlink" Target="https://www.sciencedirect.com/science/article/pii/S0140366422004571" TargetMode="External"/><Relationship Id="rId207" Type="http://schemas.openxmlformats.org/officeDocument/2006/relationships/hyperlink" Target="https://ietresearch.onlinelibrary.wiley.com/doi/full/10.1049/tje2.12344" TargetMode="External"/><Relationship Id="rId202" Type="http://schemas.openxmlformats.org/officeDocument/2006/relationships/hyperlink" Target="https://www.igi-global.com/chapter/mobile-technologies-in-disaster-healthcare/309897" TargetMode="External"/><Relationship Id="rId201" Type="http://schemas.openxmlformats.org/officeDocument/2006/relationships/hyperlink" Target="https://link.springer.com/chapter/10.1007/978-3-030-96729-1_27" TargetMode="External"/><Relationship Id="rId200" Type="http://schemas.openxmlformats.org/officeDocument/2006/relationships/hyperlink" Target="https://repositorio.uncp.edu.pe/handle/20.500.12894/10330" TargetMode="External"/></Relationships>
</file>

<file path=xl/worksheets/_rels/sheet14.xml.rels><?xml version="1.0" encoding="UTF-8" standalone="yes"?><Relationships xmlns="http://schemas.openxmlformats.org/package/2006/relationships"><Relationship Id="rId190" Type="http://schemas.openxmlformats.org/officeDocument/2006/relationships/hyperlink" Target="https://www.mdpi.com/journal/electronics" TargetMode="External"/><Relationship Id="rId194" Type="http://schemas.openxmlformats.org/officeDocument/2006/relationships/hyperlink" Target="https://www.mdpi.com/journal/virtualworlds" TargetMode="External"/><Relationship Id="rId193" Type="http://schemas.openxmlformats.org/officeDocument/2006/relationships/hyperlink" Target="https://www.mdpi.com/journal/applsci" TargetMode="External"/><Relationship Id="rId192" Type="http://schemas.openxmlformats.org/officeDocument/2006/relationships/hyperlink" Target="https://www.mdpi.com/journal/sensors" TargetMode="External"/><Relationship Id="rId191" Type="http://schemas.openxmlformats.org/officeDocument/2006/relationships/hyperlink" Target="https://www.mdpi.com/journal/electronics" TargetMode="External"/><Relationship Id="rId187" Type="http://schemas.openxmlformats.org/officeDocument/2006/relationships/hyperlink" Target="https://www.frontiersin.org/journals/virtual-reality" TargetMode="External"/><Relationship Id="rId186" Type="http://schemas.openxmlformats.org/officeDocument/2006/relationships/hyperlink" Target="https://www.frontiersin.org/journals/virtual-reality" TargetMode="External"/><Relationship Id="rId185" Type="http://schemas.openxmlformats.org/officeDocument/2006/relationships/hyperlink" Target="https://www.mdpi.com/journal/education" TargetMode="External"/><Relationship Id="rId184" Type="http://schemas.openxmlformats.org/officeDocument/2006/relationships/hyperlink" Target="https://www.mdpi.com/journal/education" TargetMode="External"/><Relationship Id="rId189" Type="http://schemas.openxmlformats.org/officeDocument/2006/relationships/hyperlink" Target="https://www.mdpi.com/journal/sensors" TargetMode="External"/><Relationship Id="rId188" Type="http://schemas.openxmlformats.org/officeDocument/2006/relationships/hyperlink" Target="https://www.frontiersin.org/journals/virtual-reality" TargetMode="External"/><Relationship Id="rId183" Type="http://schemas.openxmlformats.org/officeDocument/2006/relationships/hyperlink" Target="https://www.mdpi.com/journal/education" TargetMode="External"/><Relationship Id="rId182" Type="http://schemas.openxmlformats.org/officeDocument/2006/relationships/hyperlink" Target="https://www.mdpi.com/journal/education" TargetMode="External"/><Relationship Id="rId181" Type="http://schemas.openxmlformats.org/officeDocument/2006/relationships/hyperlink" Target="https://www.mdpi.com/journal/education" TargetMode="External"/><Relationship Id="rId180" Type="http://schemas.openxmlformats.org/officeDocument/2006/relationships/hyperlink" Target="https://sciendo.com/journal/foli?tab=editorial-board" TargetMode="External"/><Relationship Id="rId176" Type="http://schemas.openxmlformats.org/officeDocument/2006/relationships/hyperlink" Target="https://www.mdpi.com/journal/jmse" TargetMode="External"/><Relationship Id="rId175" Type="http://schemas.openxmlformats.org/officeDocument/2006/relationships/hyperlink" Target="https://www.mdpi.com/journal/energies" TargetMode="External"/><Relationship Id="rId174" Type="http://schemas.openxmlformats.org/officeDocument/2006/relationships/hyperlink" Target="https://www.mdpi.com/journal/materials" TargetMode="External"/><Relationship Id="rId173" Type="http://schemas.openxmlformats.org/officeDocument/2006/relationships/hyperlink" Target="https://www.mdpi.com/journal/polymers" TargetMode="External"/><Relationship Id="rId179" Type="http://schemas.openxmlformats.org/officeDocument/2006/relationships/hyperlink" Target="http://www.rmee.org/editorial_board.htm" TargetMode="External"/><Relationship Id="rId178" Type="http://schemas.openxmlformats.org/officeDocument/2006/relationships/hyperlink" Target="https://www.lobbyart-anthropology.ro/THE-TRIBUNE.php" TargetMode="External"/><Relationship Id="rId177" Type="http://schemas.openxmlformats.org/officeDocument/2006/relationships/hyperlink" Target="https://www.mdpi.com/journal/applsci" TargetMode="External"/><Relationship Id="rId198" Type="http://schemas.openxmlformats.org/officeDocument/2006/relationships/hyperlink" Target="https://www.mdpi.com/journal/electronics" TargetMode="External"/><Relationship Id="rId197" Type="http://schemas.openxmlformats.org/officeDocument/2006/relationships/hyperlink" Target="https://www.mdpi.com/journal/symmetry" TargetMode="External"/><Relationship Id="rId196" Type="http://schemas.openxmlformats.org/officeDocument/2006/relationships/hyperlink" Target="https://www.mdpi.com/journal/sensors" TargetMode="External"/><Relationship Id="rId195" Type="http://schemas.openxmlformats.org/officeDocument/2006/relationships/hyperlink" Target="https://www.mdpi.com/journal/vehicles" TargetMode="External"/><Relationship Id="rId199" Type="http://schemas.openxmlformats.org/officeDocument/2006/relationships/hyperlink" Target="https://www.mdpi.com/journal/standards" TargetMode="External"/><Relationship Id="rId150" Type="http://schemas.openxmlformats.org/officeDocument/2006/relationships/hyperlink" Target="https://www.mdpi.com/journal/sustainability" TargetMode="External"/><Relationship Id="rId1" Type="http://schemas.openxmlformats.org/officeDocument/2006/relationships/hyperlink" Target="https://www.mdpi.com/journal/applsci/submission_reviewers" TargetMode="External"/><Relationship Id="rId2" Type="http://schemas.openxmlformats.org/officeDocument/2006/relationships/hyperlink" Target="https://www.mdpi.com/journal/materials/submission_reviewers?page_no=2" TargetMode="External"/><Relationship Id="rId3" Type="http://schemas.openxmlformats.org/officeDocument/2006/relationships/hyperlink" Target="https://www.mdpi.com/journal/micromachines/topical_advisory_panel?page_no=3" TargetMode="External"/><Relationship Id="rId149" Type="http://schemas.openxmlformats.org/officeDocument/2006/relationships/hyperlink" Target="https://www.mdpi.com/journal/sustainability" TargetMode="External"/><Relationship Id="rId4" Type="http://schemas.openxmlformats.org/officeDocument/2006/relationships/hyperlink" Target="https://ieeeaccess.ieee.org/" TargetMode="External"/><Relationship Id="rId148" Type="http://schemas.openxmlformats.org/officeDocument/2006/relationships/hyperlink" Target="https://www.mdpi.com/journal/materials" TargetMode="External"/><Relationship Id="rId9" Type="http://schemas.openxmlformats.org/officeDocument/2006/relationships/hyperlink" Target="https://www.mdpi.com/journal/crystals" TargetMode="External"/><Relationship Id="rId143" Type="http://schemas.openxmlformats.org/officeDocument/2006/relationships/hyperlink" Target="https://www.mdpi.com/journal/coatings/special_issues/magnesium_aluminum" TargetMode="External"/><Relationship Id="rId142" Type="http://schemas.openxmlformats.org/officeDocument/2006/relationships/hyperlink" Target="https://www.mdpi.com/journal/coatings/special_issues/magnesium_aluminum" TargetMode="External"/><Relationship Id="rId141" Type="http://schemas.openxmlformats.org/officeDocument/2006/relationships/hyperlink" Target="https://www.mdpi.com/journal/applsci" TargetMode="External"/><Relationship Id="rId140" Type="http://schemas.openxmlformats.org/officeDocument/2006/relationships/hyperlink" Target="https://www.mdpi.com/journal/micromachines" TargetMode="External"/><Relationship Id="rId5" Type="http://schemas.openxmlformats.org/officeDocument/2006/relationships/hyperlink" Target="https://ieeexplore.ieee.org/xpl/RecentIssue.jsp?punumber=8856" TargetMode="External"/><Relationship Id="rId147" Type="http://schemas.openxmlformats.org/officeDocument/2006/relationships/hyperlink" Target="https://www.mdpi.com/journal/materials" TargetMode="External"/><Relationship Id="rId6" Type="http://schemas.openxmlformats.org/officeDocument/2006/relationships/hyperlink" Target="https://www.mdpi.com/journal/safety" TargetMode="External"/><Relationship Id="rId146" Type="http://schemas.openxmlformats.org/officeDocument/2006/relationships/hyperlink" Target="https://www.mdpi.com/journal/materials" TargetMode="External"/><Relationship Id="rId7" Type="http://schemas.openxmlformats.org/officeDocument/2006/relationships/hyperlink" Target="https://www.mdpi.com/journal/sensors" TargetMode="External"/><Relationship Id="rId145" Type="http://schemas.openxmlformats.org/officeDocument/2006/relationships/hyperlink" Target="https://www.mdpi.com/journal/metals" TargetMode="External"/><Relationship Id="rId8" Type="http://schemas.openxmlformats.org/officeDocument/2006/relationships/hyperlink" Target="https://www.mdpi.com/journal/buildings" TargetMode="External"/><Relationship Id="rId144" Type="http://schemas.openxmlformats.org/officeDocument/2006/relationships/hyperlink" Target="https://www.mdpi.com/journal/metals" TargetMode="External"/><Relationship Id="rId139" Type="http://schemas.openxmlformats.org/officeDocument/2006/relationships/hyperlink" Target="https://www.mdpi.com/journal/micromachines" TargetMode="External"/><Relationship Id="rId138" Type="http://schemas.openxmlformats.org/officeDocument/2006/relationships/hyperlink" Target="http://sceco.ub.ro/index.php/SCECO/about/editorialTeam" TargetMode="External"/><Relationship Id="rId137" Type="http://schemas.openxmlformats.org/officeDocument/2006/relationships/hyperlink" Target="http://www.rmee.org/editorial_board.htm" TargetMode="External"/><Relationship Id="rId132" Type="http://schemas.openxmlformats.org/officeDocument/2006/relationships/hyperlink" Target="http://www.managementgeneral.ro/" TargetMode="External"/><Relationship Id="rId131" Type="http://schemas.openxmlformats.org/officeDocument/2006/relationships/hyperlink" Target="https://www.rmci.ase.ro/ro/index.html" TargetMode="External"/><Relationship Id="rId130" Type="http://schemas.openxmlformats.org/officeDocument/2006/relationships/hyperlink" Target="http://www.davidpublisher.com/index.php/Home/Journal/detail?journalid=44&amp;jx=ps&amp;cont=editorial" TargetMode="External"/><Relationship Id="rId136" Type="http://schemas.openxmlformats.org/officeDocument/2006/relationships/hyperlink" Target="https://jeeeccs.net/index.php/journal/about/editorialBoardStatic" TargetMode="External"/><Relationship Id="rId135" Type="http://schemas.openxmlformats.org/officeDocument/2006/relationships/hyperlink" Target="http://www.mnmk.ro/colegiu.php" TargetMode="External"/><Relationship Id="rId134" Type="http://schemas.openxmlformats.org/officeDocument/2006/relationships/hyperlink" Target="http://ojs.usp-pl.com/index.php/Modern-Management-Forum/about/editorialTeam" TargetMode="External"/><Relationship Id="rId133" Type="http://schemas.openxmlformats.org/officeDocument/2006/relationships/hyperlink" Target="http://www.davidpublisher.org/index.php/Home/Journal/detail?journalid=7&amp;jx=MS&amp;cont=editorial" TargetMode="External"/><Relationship Id="rId172" Type="http://schemas.openxmlformats.org/officeDocument/2006/relationships/hyperlink" Target="https://www.mdpi.com/journal/applsci" TargetMode="External"/><Relationship Id="rId171" Type="http://schemas.openxmlformats.org/officeDocument/2006/relationships/hyperlink" Target="https://www.mdpi.com/journal/applsci" TargetMode="External"/><Relationship Id="rId170" Type="http://schemas.openxmlformats.org/officeDocument/2006/relationships/hyperlink" Target="https://www.mdpi.com/journal/energies" TargetMode="External"/><Relationship Id="rId165" Type="http://schemas.openxmlformats.org/officeDocument/2006/relationships/hyperlink" Target="https://pjms.zim.pcz.pl/resources/html/cms/SCIENTIFICCOUNCIL" TargetMode="External"/><Relationship Id="rId164" Type="http://schemas.openxmlformats.org/officeDocument/2006/relationships/hyperlink" Target="https://www.mdpi.com/journal/sustainability/topical_collections/risk_assessmen_management" TargetMode="External"/><Relationship Id="rId163" Type="http://schemas.openxmlformats.org/officeDocument/2006/relationships/hyperlink" Target="https://www.mdpi.com/journal/processes/editors" TargetMode="External"/><Relationship Id="rId162" Type="http://schemas.openxmlformats.org/officeDocument/2006/relationships/hyperlink" Target="https://www.mdpi.com/journal/safety/editors" TargetMode="External"/><Relationship Id="rId169" Type="http://schemas.openxmlformats.org/officeDocument/2006/relationships/hyperlink" Target="https://inmateh.eu/about-us/editorial-board/" TargetMode="External"/><Relationship Id="rId168" Type="http://schemas.openxmlformats.org/officeDocument/2006/relationships/hyperlink" Target="https://www.webofscience.com/wos/woscc/full-record/WOS:001069811900001" TargetMode="External"/><Relationship Id="rId167" Type="http://schemas.openxmlformats.org/officeDocument/2006/relationships/hyperlink" Target="https://www.mdpi.com/journal/sustainability/topical_collections/Circular_Economy_and_Sustainable_Strategies" TargetMode="External"/><Relationship Id="rId166" Type="http://schemas.openxmlformats.org/officeDocument/2006/relationships/hyperlink" Target="https://faimajournal.upb.ro/editorial_board.html" TargetMode="External"/><Relationship Id="rId161" Type="http://schemas.openxmlformats.org/officeDocument/2006/relationships/hyperlink" Target="https://www.mdpi.com/journal/sustainability/sectioneditors/environment_and_resources" TargetMode="External"/><Relationship Id="rId160" Type="http://schemas.openxmlformats.org/officeDocument/2006/relationships/hyperlink" Target="https://www.frontiersin.org/journals/physiology/editors" TargetMode="External"/><Relationship Id="rId159" Type="http://schemas.openxmlformats.org/officeDocument/2006/relationships/hyperlink" Target="https://www.mdpi.com/journal/merits/special_issues/KN3755UN9N" TargetMode="External"/><Relationship Id="rId154" Type="http://schemas.openxmlformats.org/officeDocument/2006/relationships/hyperlink" Target="https://ijomam.com/" TargetMode="External"/><Relationship Id="rId153" Type="http://schemas.openxmlformats.org/officeDocument/2006/relationships/hyperlink" Target="https://ijomam.com/" TargetMode="External"/><Relationship Id="rId152" Type="http://schemas.openxmlformats.org/officeDocument/2006/relationships/hyperlink" Target="https://ijomam.com/" TargetMode="External"/><Relationship Id="rId151" Type="http://schemas.openxmlformats.org/officeDocument/2006/relationships/hyperlink" Target="https://www.mdpi.com/journal/processes" TargetMode="External"/><Relationship Id="rId158" Type="http://schemas.openxmlformats.org/officeDocument/2006/relationships/hyperlink" Target="https://www.mdpi.com/journal/sustainability/special_issues/I9EJS6K2MH" TargetMode="External"/><Relationship Id="rId157" Type="http://schemas.openxmlformats.org/officeDocument/2006/relationships/hyperlink" Target="https://www.mdpi.com/journal/information/submission_reviewers?search=grecu" TargetMode="External"/><Relationship Id="rId156" Type="http://schemas.openxmlformats.org/officeDocument/2006/relationships/hyperlink" Target="https://www.mdpi.com/journal/materials/" TargetMode="External"/><Relationship Id="rId155" Type="http://schemas.openxmlformats.org/officeDocument/2006/relationships/hyperlink" Target="https://www.mdpi.com/journal/bioengineering/" TargetMode="External"/><Relationship Id="rId40" Type="http://schemas.openxmlformats.org/officeDocument/2006/relationships/hyperlink" Target="https://www.tandfonline.com/journals/uaai20" TargetMode="External"/><Relationship Id="rId42" Type="http://schemas.openxmlformats.org/officeDocument/2006/relationships/hyperlink" Target="https://www.tandfonline.com/journals/tmpt20" TargetMode="External"/><Relationship Id="rId41" Type="http://schemas.openxmlformats.org/officeDocument/2006/relationships/hyperlink" Target="https://www.mdpi.com/journal/applsci" TargetMode="External"/><Relationship Id="rId44" Type="http://schemas.openxmlformats.org/officeDocument/2006/relationships/hyperlink" Target="https://www.tandfonline.com/journals/uaai20" TargetMode="External"/><Relationship Id="rId43" Type="http://schemas.openxmlformats.org/officeDocument/2006/relationships/hyperlink" Target="https://www.mdpi.com/journal/agronomy" TargetMode="External"/><Relationship Id="rId46" Type="http://schemas.openxmlformats.org/officeDocument/2006/relationships/hyperlink" Target="https://www.springer.com/journal/170" TargetMode="External"/><Relationship Id="rId45" Type="http://schemas.openxmlformats.org/officeDocument/2006/relationships/hyperlink" Target="https://www.mdpi.com/journal/electronics" TargetMode="External"/><Relationship Id="rId48" Type="http://schemas.openxmlformats.org/officeDocument/2006/relationships/hyperlink" Target="https://www.mdpi.com/journal/electronics" TargetMode="External"/><Relationship Id="rId47" Type="http://schemas.openxmlformats.org/officeDocument/2006/relationships/hyperlink" Target="https://www.mdpi.com/journal/electronics" TargetMode="External"/><Relationship Id="rId49" Type="http://schemas.openxmlformats.org/officeDocument/2006/relationships/hyperlink" Target="https://www.mdpi.com/journal/electronics" TargetMode="External"/><Relationship Id="rId31" Type="http://schemas.openxmlformats.org/officeDocument/2006/relationships/hyperlink" Target="https://www.mdpi.com/journal/metals" TargetMode="External"/><Relationship Id="rId30" Type="http://schemas.openxmlformats.org/officeDocument/2006/relationships/hyperlink" Target="https://www.mdpi.com/journal/materials" TargetMode="External"/><Relationship Id="rId33" Type="http://schemas.openxmlformats.org/officeDocument/2006/relationships/hyperlink" Target="https://www.mdpi.com/journal/metals" TargetMode="External"/><Relationship Id="rId32" Type="http://schemas.openxmlformats.org/officeDocument/2006/relationships/hyperlink" Target="https://www.mdpi.com/journal/metals" TargetMode="External"/><Relationship Id="rId35" Type="http://schemas.openxmlformats.org/officeDocument/2006/relationships/hyperlink" Target="https://www.mdpi.com/journal/sensors" TargetMode="External"/><Relationship Id="rId34" Type="http://schemas.openxmlformats.org/officeDocument/2006/relationships/hyperlink" Target="https://www.mdpi.com/journal/applsci" TargetMode="External"/><Relationship Id="rId37" Type="http://schemas.openxmlformats.org/officeDocument/2006/relationships/hyperlink" Target="https://www.mdpi.com/journal/actuators" TargetMode="External"/><Relationship Id="rId36" Type="http://schemas.openxmlformats.org/officeDocument/2006/relationships/hyperlink" Target="https://www.mdpi.com/journal/sensors" TargetMode="External"/><Relationship Id="rId39" Type="http://schemas.openxmlformats.org/officeDocument/2006/relationships/hyperlink" Target="https://www.mdpi.com/journal/robotics" TargetMode="External"/><Relationship Id="rId38" Type="http://schemas.openxmlformats.org/officeDocument/2006/relationships/hyperlink" Target="https://www.mdpi.com/journal/coatings" TargetMode="External"/><Relationship Id="rId20" Type="http://schemas.openxmlformats.org/officeDocument/2006/relationships/hyperlink" Target="https://easychair.org/conferences/review_requests?a=31380887" TargetMode="External"/><Relationship Id="rId22" Type="http://schemas.openxmlformats.org/officeDocument/2006/relationships/hyperlink" Target="https://www.mdpi.com/journal/micromachines" TargetMode="External"/><Relationship Id="rId21" Type="http://schemas.openxmlformats.org/officeDocument/2006/relationships/hyperlink" Target="https://link.springer.com/journal/12633" TargetMode="External"/><Relationship Id="rId24" Type="http://schemas.openxmlformats.org/officeDocument/2006/relationships/hyperlink" Target="https://www.mdpi.com/journal/materials/special_issues/YUUB1IT0O3" TargetMode="External"/><Relationship Id="rId23" Type="http://schemas.openxmlformats.org/officeDocument/2006/relationships/hyperlink" Target="https://link.springer.com/journal/40430" TargetMode="External"/><Relationship Id="rId26" Type="http://schemas.openxmlformats.org/officeDocument/2006/relationships/hyperlink" Target="https://textile.webhost.uoradea.ro/Annals/Comitet%20stiintific.html" TargetMode="External"/><Relationship Id="rId25" Type="http://schemas.openxmlformats.org/officeDocument/2006/relationships/hyperlink" Target="https://medcraveonline.com/JTEFT/reviewer-board" TargetMode="External"/><Relationship Id="rId28" Type="http://schemas.openxmlformats.org/officeDocument/2006/relationships/hyperlink" Target="https://susy.mdpi.com/academic-editor/special_issues/process/902981" TargetMode="External"/><Relationship Id="rId27" Type="http://schemas.openxmlformats.org/officeDocument/2006/relationships/hyperlink" Target="https://www.mdpi.com/journal/metals/submission_reviewers?search=racz" TargetMode="External"/><Relationship Id="rId29" Type="http://schemas.openxmlformats.org/officeDocument/2006/relationships/hyperlink" Target="https://susy.mdpi.com/academic-editor/special_issues/process/1081946" TargetMode="External"/><Relationship Id="rId11" Type="http://schemas.openxmlformats.org/officeDocument/2006/relationships/hyperlink" Target="https://www.mdpi.com/journal/applsci" TargetMode="External"/><Relationship Id="rId10" Type="http://schemas.openxmlformats.org/officeDocument/2006/relationships/hyperlink" Target="https://www.mdpi.com/journal/polymers" TargetMode="External"/><Relationship Id="rId13" Type="http://schemas.openxmlformats.org/officeDocument/2006/relationships/hyperlink" Target="https://www.mdpi.com/journal/sensors" TargetMode="External"/><Relationship Id="rId12" Type="http://schemas.openxmlformats.org/officeDocument/2006/relationships/hyperlink" Target="https://ieeeaccess.ieee.org/" TargetMode="External"/><Relationship Id="rId15" Type="http://schemas.openxmlformats.org/officeDocument/2006/relationships/hyperlink" Target="https://www.inderscience.com/jhome.php?jcode=ijmcdm" TargetMode="External"/><Relationship Id="rId14" Type="http://schemas.openxmlformats.org/officeDocument/2006/relationships/hyperlink" Target="https://www.mdpi.com/journal/jcs" TargetMode="External"/><Relationship Id="rId17" Type="http://schemas.openxmlformats.org/officeDocument/2006/relationships/hyperlink" Target="https://www.nature.com/srep/" TargetMode="External"/><Relationship Id="rId16" Type="http://schemas.openxmlformats.org/officeDocument/2006/relationships/hyperlink" Target="https://macs.semnan.ac.ir/" TargetMode="External"/><Relationship Id="rId19" Type="http://schemas.openxmlformats.org/officeDocument/2006/relationships/hyperlink" Target="https://easychair.org/conferences/review_requests?a=31380887" TargetMode="External"/><Relationship Id="rId18" Type="http://schemas.openxmlformats.org/officeDocument/2006/relationships/hyperlink" Target="https://ieeeaccess.ieee.org/" TargetMode="External"/><Relationship Id="rId84" Type="http://schemas.openxmlformats.org/officeDocument/2006/relationships/hyperlink" Target="https://www.mdpi.com/journal/machines" TargetMode="External"/><Relationship Id="rId83" Type="http://schemas.openxmlformats.org/officeDocument/2006/relationships/hyperlink" Target="https://www.mdpi.com/journal/sensors/sections/environmental_sensing" TargetMode="External"/><Relationship Id="rId86" Type="http://schemas.openxmlformats.org/officeDocument/2006/relationships/hyperlink" Target="https://www.mdpi.com/journal/energies" TargetMode="External"/><Relationship Id="rId85" Type="http://schemas.openxmlformats.org/officeDocument/2006/relationships/hyperlink" Target="https://www.mdpi.com/journal/sensors/sections/environmental_sensing" TargetMode="External"/><Relationship Id="rId88" Type="http://schemas.openxmlformats.org/officeDocument/2006/relationships/hyperlink" Target="https://www.mdpi.com/journal/robotics" TargetMode="External"/><Relationship Id="rId87" Type="http://schemas.openxmlformats.org/officeDocument/2006/relationships/hyperlink" Target="https://www.mdpi.com/journal/sensors/sections/environmental_sensing" TargetMode="External"/><Relationship Id="rId89" Type="http://schemas.openxmlformats.org/officeDocument/2006/relationships/hyperlink" Target="https://www.mdpi.com/journal/sensors/sections/environmental_sensing" TargetMode="External"/><Relationship Id="rId80" Type="http://schemas.openxmlformats.org/officeDocument/2006/relationships/hyperlink" Target="https://susy.mdpi.com/" TargetMode="External"/><Relationship Id="rId82" Type="http://schemas.openxmlformats.org/officeDocument/2006/relationships/hyperlink" Target="https://www.mdpi.com/journal/sensors/sections/environmental_sensing" TargetMode="External"/><Relationship Id="rId81" Type="http://schemas.openxmlformats.org/officeDocument/2006/relationships/hyperlink" Target="https://www.mdpi.com/journal/machines" TargetMode="External"/><Relationship Id="rId73" Type="http://schemas.openxmlformats.org/officeDocument/2006/relationships/hyperlink" Target="https://www.mdpi.com/journal/processes" TargetMode="External"/><Relationship Id="rId72" Type="http://schemas.openxmlformats.org/officeDocument/2006/relationships/hyperlink" Target="https://www.mdpi.com/journal/sustainability" TargetMode="External"/><Relationship Id="rId75" Type="http://schemas.openxmlformats.org/officeDocument/2006/relationships/hyperlink" Target="https://www.mdpi.com/journal/energies" TargetMode="External"/><Relationship Id="rId74" Type="http://schemas.openxmlformats.org/officeDocument/2006/relationships/hyperlink" Target="https://www.mdpi.com/journal/remotesensing" TargetMode="External"/><Relationship Id="rId77" Type="http://schemas.openxmlformats.org/officeDocument/2006/relationships/hyperlink" Target="https://www.mdpi.com/journal/chips" TargetMode="External"/><Relationship Id="rId76" Type="http://schemas.openxmlformats.org/officeDocument/2006/relationships/hyperlink" Target="https://www.mdpi.com/journal/coatings" TargetMode="External"/><Relationship Id="rId79" Type="http://schemas.openxmlformats.org/officeDocument/2006/relationships/hyperlink" Target="https://www.mdpi.com/journal/machines" TargetMode="External"/><Relationship Id="rId78" Type="http://schemas.openxmlformats.org/officeDocument/2006/relationships/hyperlink" Target="https://www.mdpi.com/journal/machines" TargetMode="External"/><Relationship Id="rId71" Type="http://schemas.openxmlformats.org/officeDocument/2006/relationships/hyperlink" Target="https://www.mdpi.com/journal/chips" TargetMode="External"/><Relationship Id="rId70" Type="http://schemas.openxmlformats.org/officeDocument/2006/relationships/hyperlink" Target="https://www.mdpi.com/journal/chips" TargetMode="External"/><Relationship Id="rId62" Type="http://schemas.openxmlformats.org/officeDocument/2006/relationships/hyperlink" Target="https://journals.sagepub.com/home/jit" TargetMode="External"/><Relationship Id="rId61" Type="http://schemas.openxmlformats.org/officeDocument/2006/relationships/hyperlink" Target="https://onlinelibrary.wiley.com/page/journal/1869344x/homepage/productinformation.html" TargetMode="External"/><Relationship Id="rId64" Type="http://schemas.openxmlformats.org/officeDocument/2006/relationships/hyperlink" Target="https://orcid.org/0000-0002-7505-9731" TargetMode="External"/><Relationship Id="rId63" Type="http://schemas.openxmlformats.org/officeDocument/2006/relationships/hyperlink" Target="https://link.springer.com/journal/44245" TargetMode="External"/><Relationship Id="rId66" Type="http://schemas.openxmlformats.org/officeDocument/2006/relationships/hyperlink" Target="https://www.mdpi.com/journal/chips" TargetMode="External"/><Relationship Id="rId65" Type="http://schemas.openxmlformats.org/officeDocument/2006/relationships/hyperlink" Target="https://www.mdpi.com/journal/polymers/special_issues/Polymeric_Fibers_Textiles" TargetMode="External"/><Relationship Id="rId68" Type="http://schemas.openxmlformats.org/officeDocument/2006/relationships/hyperlink" Target="https://www.mdpi.com/journal/chips" TargetMode="External"/><Relationship Id="rId67" Type="http://schemas.openxmlformats.org/officeDocument/2006/relationships/hyperlink" Target="https://www.mdpi.com/journal/chips" TargetMode="External"/><Relationship Id="rId60" Type="http://schemas.openxmlformats.org/officeDocument/2006/relationships/hyperlink" Target="https://www.hindawi.com/journals/sv/2023/1565927/" TargetMode="External"/><Relationship Id="rId69" Type="http://schemas.openxmlformats.org/officeDocument/2006/relationships/hyperlink" Target="https://www.mdpi.com/journal/chips" TargetMode="External"/><Relationship Id="rId51" Type="http://schemas.openxmlformats.org/officeDocument/2006/relationships/hyperlink" Target="https://www.springer.com/journal/170" TargetMode="External"/><Relationship Id="rId50" Type="http://schemas.openxmlformats.org/officeDocument/2006/relationships/hyperlink" Target="https://www.mdpi.com/journal/agronomy" TargetMode="External"/><Relationship Id="rId53" Type="http://schemas.openxmlformats.org/officeDocument/2006/relationships/hyperlink" Target="https://www.mdpi.com/journal/mathematics" TargetMode="External"/><Relationship Id="rId52" Type="http://schemas.openxmlformats.org/officeDocument/2006/relationships/hyperlink" Target="https://www.springer.com/journal/170" TargetMode="External"/><Relationship Id="rId55" Type="http://schemas.openxmlformats.org/officeDocument/2006/relationships/hyperlink" Target="https://www.springer.com/journal/170" TargetMode="External"/><Relationship Id="rId54" Type="http://schemas.openxmlformats.org/officeDocument/2006/relationships/hyperlink" Target="https://www.mdpi.com/journal/electronics" TargetMode="External"/><Relationship Id="rId57" Type="http://schemas.openxmlformats.org/officeDocument/2006/relationships/hyperlink" Target="https://www.springer.com/journal/170" TargetMode="External"/><Relationship Id="rId56" Type="http://schemas.openxmlformats.org/officeDocument/2006/relationships/hyperlink" Target="https://www.springer.com/journal/170" TargetMode="External"/><Relationship Id="rId59" Type="http://schemas.openxmlformats.org/officeDocument/2006/relationships/hyperlink" Target="https://sciendo.com/journal/AUCTS?tab=editorial-board&amp;content-tab=editorial-board" TargetMode="External"/><Relationship Id="rId58" Type="http://schemas.openxmlformats.org/officeDocument/2006/relationships/hyperlink" Target="https://www.springer.com/journal/170" TargetMode="External"/><Relationship Id="rId107" Type="http://schemas.openxmlformats.org/officeDocument/2006/relationships/hyperlink" Target="https://www.mdpi.com/journal/systems" TargetMode="External"/><Relationship Id="rId106" Type="http://schemas.openxmlformats.org/officeDocument/2006/relationships/hyperlink" Target="https://www.mdpi.com/journal/sustainability" TargetMode="External"/><Relationship Id="rId105" Type="http://schemas.openxmlformats.org/officeDocument/2006/relationships/hyperlink" Target="https://www.mdpi.com/journal/sustainability" TargetMode="External"/><Relationship Id="rId104" Type="http://schemas.openxmlformats.org/officeDocument/2006/relationships/hyperlink" Target="https://www.igi-global.com/journals/open-access/reviewers/international-journal-quality-control-standards/220802" TargetMode="External"/><Relationship Id="rId109" Type="http://schemas.openxmlformats.org/officeDocument/2006/relationships/hyperlink" Target="https://www.mdpi.com/journal/mathematics" TargetMode="External"/><Relationship Id="rId108" Type="http://schemas.openxmlformats.org/officeDocument/2006/relationships/hyperlink" Target="https://www.mdpi.com/journal/sustainability" TargetMode="External"/><Relationship Id="rId103" Type="http://schemas.openxmlformats.org/officeDocument/2006/relationships/hyperlink" Target="http://www.mdpi.com/journal/axioms/" TargetMode="External"/><Relationship Id="rId102" Type="http://schemas.openxmlformats.org/officeDocument/2006/relationships/hyperlink" Target="http://revtn.ro/_legacy/" TargetMode="External"/><Relationship Id="rId101" Type="http://schemas.openxmlformats.org/officeDocument/2006/relationships/hyperlink" Target="https://www.armyacademy.ro/editura_carti.php" TargetMode="External"/><Relationship Id="rId100" Type="http://schemas.openxmlformats.org/officeDocument/2006/relationships/hyperlink" Target="https://www.tlr-journal.com/" TargetMode="External"/><Relationship Id="rId129" Type="http://schemas.openxmlformats.org/officeDocument/2006/relationships/hyperlink" Target="https://ijomam.com/editorial-board/" TargetMode="External"/><Relationship Id="rId128" Type="http://schemas.openxmlformats.org/officeDocument/2006/relationships/hyperlink" Target="https://jes.utm.md/editorial-board/" TargetMode="External"/><Relationship Id="rId127" Type="http://schemas.openxmlformats.org/officeDocument/2006/relationships/hyperlink" Target="https://msdjournal.org/editorial-board/" TargetMode="External"/><Relationship Id="rId126" Type="http://schemas.openxmlformats.org/officeDocument/2006/relationships/hyperlink" Target="http://revtn.ro/index.php/revtn/about/editorialTeam" TargetMode="External"/><Relationship Id="rId121" Type="http://schemas.openxmlformats.org/officeDocument/2006/relationships/hyperlink" Target="https://www.mdpi.com/journal/sustainability" TargetMode="External"/><Relationship Id="rId120" Type="http://schemas.openxmlformats.org/officeDocument/2006/relationships/hyperlink" Target="https://www.mdpi.com/journal/applsci/editors" TargetMode="External"/><Relationship Id="rId125" Type="http://schemas.openxmlformats.org/officeDocument/2006/relationships/hyperlink" Target="https://www.igi-global.com/journals/open-access/reviewers/international-journal-quality-control-standards/220802" TargetMode="External"/><Relationship Id="rId124" Type="http://schemas.openxmlformats.org/officeDocument/2006/relationships/hyperlink" Target="https://www.mdpi.com/journal/sensors" TargetMode="External"/><Relationship Id="rId123" Type="http://schemas.openxmlformats.org/officeDocument/2006/relationships/hyperlink" Target="https://www.mdpi.com/journal/sensors" TargetMode="External"/><Relationship Id="rId122" Type="http://schemas.openxmlformats.org/officeDocument/2006/relationships/hyperlink" Target="https://www.mdpi.com/journal/metals" TargetMode="External"/><Relationship Id="rId95" Type="http://schemas.openxmlformats.org/officeDocument/2006/relationships/hyperlink" Target="https://www.mdpi.com/journal/sensors/sections/environmental_sensing" TargetMode="External"/><Relationship Id="rId94" Type="http://schemas.openxmlformats.org/officeDocument/2006/relationships/hyperlink" Target="https://www.mdpi.com/journal/applsci" TargetMode="External"/><Relationship Id="rId97" Type="http://schemas.openxmlformats.org/officeDocument/2006/relationships/hyperlink" Target="http://textile.webhost.uoradea.ro/Annals/Comitet%20stiintific.html" TargetMode="External"/><Relationship Id="rId96" Type="http://schemas.openxmlformats.org/officeDocument/2006/relationships/hyperlink" Target="https://www.mdpi.com/journal/energies" TargetMode="External"/><Relationship Id="rId99" Type="http://schemas.openxmlformats.org/officeDocument/2006/relationships/hyperlink" Target="https://journals.sagepub.com/home/trj" TargetMode="External"/><Relationship Id="rId98" Type="http://schemas.openxmlformats.org/officeDocument/2006/relationships/hyperlink" Target="https://journals.sagepub.com/home/trj" TargetMode="External"/><Relationship Id="rId91" Type="http://schemas.openxmlformats.org/officeDocument/2006/relationships/hyperlink" Target="https://www.mdpi.com/journal/electronics" TargetMode="External"/><Relationship Id="rId90" Type="http://schemas.openxmlformats.org/officeDocument/2006/relationships/hyperlink" Target="https://susy.mdpi.com/" TargetMode="External"/><Relationship Id="rId93" Type="http://schemas.openxmlformats.org/officeDocument/2006/relationships/hyperlink" Target="http://ojs.sv-jme.eu/index.php/sv-jme" TargetMode="External"/><Relationship Id="rId92" Type="http://schemas.openxmlformats.org/officeDocument/2006/relationships/hyperlink" Target="https://www.mdpi.com/journal/applsci" TargetMode="External"/><Relationship Id="rId118" Type="http://schemas.openxmlformats.org/officeDocument/2006/relationships/hyperlink" Target="https://www.tandfonline.com/action/journalInformation?show=journalMetrics&amp;journalCode=dtcr20" TargetMode="External"/><Relationship Id="rId117" Type="http://schemas.openxmlformats.org/officeDocument/2006/relationships/hyperlink" Target="https://www.emerald.com/insight/publication/issn/1355-5855" TargetMode="External"/><Relationship Id="rId116" Type="http://schemas.openxmlformats.org/officeDocument/2006/relationships/hyperlink" Target="https://www.emerald.com/insight/publication/issn/1355-5855" TargetMode="External"/><Relationship Id="rId115" Type="http://schemas.openxmlformats.org/officeDocument/2006/relationships/hyperlink" Target="https://link.springer.com/journal/11192" TargetMode="External"/><Relationship Id="rId119" Type="http://schemas.openxmlformats.org/officeDocument/2006/relationships/hyperlink" Target="https://www.mdpi.com/journal/applsci" TargetMode="External"/><Relationship Id="rId110" Type="http://schemas.openxmlformats.org/officeDocument/2006/relationships/hyperlink" Target="https://www.mdpi.com/journal/sustainability" TargetMode="External"/><Relationship Id="rId114" Type="http://schemas.openxmlformats.org/officeDocument/2006/relationships/hyperlink" Target="https://www.mdpi.com/journal/jrfm" TargetMode="External"/><Relationship Id="rId113" Type="http://schemas.openxmlformats.org/officeDocument/2006/relationships/hyperlink" Target="https://www.mdpi.com/journal/ijerph" TargetMode="External"/><Relationship Id="rId112" Type="http://schemas.openxmlformats.org/officeDocument/2006/relationships/hyperlink" Target="https://www.mdpi.com/journal/sustainability" TargetMode="External"/><Relationship Id="rId111" Type="http://schemas.openxmlformats.org/officeDocument/2006/relationships/hyperlink" Target="https://www.mdpi.com/journal/sustainability" TargetMode="External"/><Relationship Id="rId271" Type="http://schemas.openxmlformats.org/officeDocument/2006/relationships/hyperlink" Target="https://www.sciencedirect.com/journal/journal-of-environmental-chemical-engineering" TargetMode="External"/><Relationship Id="rId270" Type="http://schemas.openxmlformats.org/officeDocument/2006/relationships/hyperlink" Target="https://link.springer.com/journal/12540" TargetMode="External"/><Relationship Id="rId269" Type="http://schemas.openxmlformats.org/officeDocument/2006/relationships/hyperlink" Target="https://www.mdpi.com/journal/polymers" TargetMode="External"/><Relationship Id="rId264" Type="http://schemas.openxmlformats.org/officeDocument/2006/relationships/hyperlink" Target="https://www.sciencedirect.com/journal/arabian-journal-of-chemistry" TargetMode="External"/><Relationship Id="rId263" Type="http://schemas.openxmlformats.org/officeDocument/2006/relationships/hyperlink" Target="https://link.springer.com/journal/12540" TargetMode="External"/><Relationship Id="rId262" Type="http://schemas.openxmlformats.org/officeDocument/2006/relationships/hyperlink" Target="https://link.springer.com/journal/12540" TargetMode="External"/><Relationship Id="rId261" Type="http://schemas.openxmlformats.org/officeDocument/2006/relationships/hyperlink" Target="https://www.sciencedirect.com/journal/journal-of-environmental-chemical-engineering" TargetMode="External"/><Relationship Id="rId268" Type="http://schemas.openxmlformats.org/officeDocument/2006/relationships/hyperlink" Target="https://link.springer.com/journal/10965" TargetMode="External"/><Relationship Id="rId267" Type="http://schemas.openxmlformats.org/officeDocument/2006/relationships/hyperlink" Target="https://www.sciencedirect.com/journal/journal-of-environmental-chemical-engineering" TargetMode="External"/><Relationship Id="rId266" Type="http://schemas.openxmlformats.org/officeDocument/2006/relationships/hyperlink" Target="https://www.sciencedirect.com/journal/journal-of-cleaner-production" TargetMode="External"/><Relationship Id="rId265" Type="http://schemas.openxmlformats.org/officeDocument/2006/relationships/hyperlink" Target="https://www.mdpi.com/journal/lubricants" TargetMode="External"/><Relationship Id="rId260" Type="http://schemas.openxmlformats.org/officeDocument/2006/relationships/hyperlink" Target="https://www.mdpi.com/journal/lubricants" TargetMode="External"/><Relationship Id="rId259" Type="http://schemas.openxmlformats.org/officeDocument/2006/relationships/hyperlink" Target="https://www.sciencedirect.com/journal/additive-manufacturing" TargetMode="External"/><Relationship Id="rId258" Type="http://schemas.openxmlformats.org/officeDocument/2006/relationships/hyperlink" Target="https://www.mdpi.com/journal/polymers" TargetMode="External"/><Relationship Id="rId253" Type="http://schemas.openxmlformats.org/officeDocument/2006/relationships/hyperlink" Target="https://www.sciencedirect.com/journal/applied-thermal-engineering" TargetMode="External"/><Relationship Id="rId252" Type="http://schemas.openxmlformats.org/officeDocument/2006/relationships/hyperlink" Target="https://www.mdpi.com/journal/buildings" TargetMode="External"/><Relationship Id="rId251" Type="http://schemas.openxmlformats.org/officeDocument/2006/relationships/hyperlink" Target="https://www.techno-press.org/?journal=acc&amp;subpage=5" TargetMode="External"/><Relationship Id="rId250" Type="http://schemas.openxmlformats.org/officeDocument/2006/relationships/hyperlink" Target="https://www.mdpi.com/journal/polymers" TargetMode="External"/><Relationship Id="rId257" Type="http://schemas.openxmlformats.org/officeDocument/2006/relationships/hyperlink" Target="https://macs.semnan.ac.ir/" TargetMode="External"/><Relationship Id="rId256" Type="http://schemas.openxmlformats.org/officeDocument/2006/relationships/hyperlink" Target="https://journals.vilniustech.lt/index.php/TEDE" TargetMode="External"/><Relationship Id="rId255" Type="http://schemas.openxmlformats.org/officeDocument/2006/relationships/hyperlink" Target="https://www.mdpi.com/journal/fibers" TargetMode="External"/><Relationship Id="rId254" Type="http://schemas.openxmlformats.org/officeDocument/2006/relationships/hyperlink" Target="https://www.sciencedirect.com/journal/journal-of-environmental-chemical-engineering" TargetMode="External"/><Relationship Id="rId285" Type="http://schemas.openxmlformats.org/officeDocument/2006/relationships/drawing" Target="../drawings/drawing14.xml"/><Relationship Id="rId284" Type="http://schemas.openxmlformats.org/officeDocument/2006/relationships/hyperlink" Target="https://www.frontiersin.org/journals/psychology/articles/10.3389/fpsyg.2022.1105192/full" TargetMode="External"/><Relationship Id="rId283" Type="http://schemas.openxmlformats.org/officeDocument/2006/relationships/hyperlink" Target="https://www.mdpi.com/journal/behavsci" TargetMode="External"/><Relationship Id="rId282" Type="http://schemas.openxmlformats.org/officeDocument/2006/relationships/hyperlink" Target="https://www.mdpi.com/2254-9625/14/1/4" TargetMode="External"/><Relationship Id="rId281" Type="http://schemas.openxmlformats.org/officeDocument/2006/relationships/hyperlink" Target="https://www.mdpi.com/2673-5318/5/2/12" TargetMode="External"/><Relationship Id="rId280" Type="http://schemas.openxmlformats.org/officeDocument/2006/relationships/hyperlink" Target="https://www.frontiersin.org/research-topics/24647/optimizing-the-management-system-and-ergonomics-in-organizations-appropriate-to-the-personality-of-employees" TargetMode="External"/><Relationship Id="rId275" Type="http://schemas.openxmlformats.org/officeDocument/2006/relationships/hyperlink" Target="https://irispublishers.com/mcms/editorialboard.php" TargetMode="External"/><Relationship Id="rId274" Type="http://schemas.openxmlformats.org/officeDocument/2006/relationships/hyperlink" Target="https://techniumscience.com/index.php/technium/about/editorialTeam" TargetMode="External"/><Relationship Id="rId273" Type="http://schemas.openxmlformats.org/officeDocument/2006/relationships/hyperlink" Target="http://www.msee2023.com/" TargetMode="External"/><Relationship Id="rId272" Type="http://schemas.openxmlformats.org/officeDocument/2006/relationships/hyperlink" Target="https://www.sciencedirect.com/journal/applied-thermal-engineering" TargetMode="External"/><Relationship Id="rId279" Type="http://schemas.openxmlformats.org/officeDocument/2006/relationships/hyperlink" Target="https://www.scirea.org/journal/EditorialBoard?JournalID=43000" TargetMode="External"/><Relationship Id="rId278" Type="http://schemas.openxmlformats.org/officeDocument/2006/relationships/hyperlink" Target="https://www.utgjiu.ro/rev_mec/?page=comitet" TargetMode="External"/><Relationship Id="rId277" Type="http://schemas.openxmlformats.org/officeDocument/2006/relationships/hyperlink" Target="https://www.clausiuspress.com/journal/JEMM/editorialBoard.html" TargetMode="External"/><Relationship Id="rId276" Type="http://schemas.openxmlformats.org/officeDocument/2006/relationships/hyperlink" Target="https://journals.bilpubgroup.com/index.php/opmr/about/editorialTeam" TargetMode="External"/><Relationship Id="rId228" Type="http://schemas.openxmlformats.org/officeDocument/2006/relationships/hyperlink" Target="https://www.tandfonline.com/toc/tast20/current" TargetMode="External"/><Relationship Id="rId227" Type="http://schemas.openxmlformats.org/officeDocument/2006/relationships/hyperlink" Target="https://www.mdpi.com/journal/electronics" TargetMode="External"/><Relationship Id="rId226" Type="http://schemas.openxmlformats.org/officeDocument/2006/relationships/hyperlink" Target="https://www.mdpi.com/journal/materials" TargetMode="External"/><Relationship Id="rId225" Type="http://schemas.openxmlformats.org/officeDocument/2006/relationships/hyperlink" Target="https://sciendo.com/journal/AMA" TargetMode="External"/><Relationship Id="rId229" Type="http://schemas.openxmlformats.org/officeDocument/2006/relationships/hyperlink" Target="https://www.mdpi.com/journal/buildings" TargetMode="External"/><Relationship Id="rId220" Type="http://schemas.openxmlformats.org/officeDocument/2006/relationships/hyperlink" Target="https://www.sciencedirect.com/journal/applied-thermal-engineering" TargetMode="External"/><Relationship Id="rId224" Type="http://schemas.openxmlformats.org/officeDocument/2006/relationships/hyperlink" Target="https://www.mdpi.com/journal/materials" TargetMode="External"/><Relationship Id="rId223" Type="http://schemas.openxmlformats.org/officeDocument/2006/relationships/hyperlink" Target="https://www.mdpi.com/journal/materials" TargetMode="External"/><Relationship Id="rId222" Type="http://schemas.openxmlformats.org/officeDocument/2006/relationships/hyperlink" Target="https://www.mdpi.com/journal/materials" TargetMode="External"/><Relationship Id="rId221" Type="http://schemas.openxmlformats.org/officeDocument/2006/relationships/hyperlink" Target="https://onlinelibrary.wiley.com/journal/15206483" TargetMode="External"/><Relationship Id="rId217" Type="http://schemas.openxmlformats.org/officeDocument/2006/relationships/hyperlink" Target="https://www.sciencedirect.com/journal/journal-of-environmental-chemical-engineering" TargetMode="External"/><Relationship Id="rId216" Type="http://schemas.openxmlformats.org/officeDocument/2006/relationships/hyperlink" Target="https://www.mdpi.com/journal/materials" TargetMode="External"/><Relationship Id="rId215" Type="http://schemas.openxmlformats.org/officeDocument/2006/relationships/hyperlink" Target="https://www.mdpi.com/journal/materials" TargetMode="External"/><Relationship Id="rId214" Type="http://schemas.openxmlformats.org/officeDocument/2006/relationships/hyperlink" Target="https://www.sciencedirect.com/journal/applied-thermal-engineering" TargetMode="External"/><Relationship Id="rId219" Type="http://schemas.openxmlformats.org/officeDocument/2006/relationships/hyperlink" Target="https://www.mdpi.com/journal/plasma" TargetMode="External"/><Relationship Id="rId218" Type="http://schemas.openxmlformats.org/officeDocument/2006/relationships/hyperlink" Target="https://www.sciencedirect.com/journal/waste-management" TargetMode="External"/><Relationship Id="rId213" Type="http://schemas.openxmlformats.org/officeDocument/2006/relationships/hyperlink" Target="https://www.sciencedirect.com/journal/journal-of-environmental-chemical-engineering" TargetMode="External"/><Relationship Id="rId212" Type="http://schemas.openxmlformats.org/officeDocument/2006/relationships/hyperlink" Target="https://www.hindawi.com/journals/cmmm/journal-report/" TargetMode="External"/><Relationship Id="rId211" Type="http://schemas.openxmlformats.org/officeDocument/2006/relationships/hyperlink" Target="https://www.mdpi.com/journal/materials" TargetMode="External"/><Relationship Id="rId210" Type="http://schemas.openxmlformats.org/officeDocument/2006/relationships/hyperlink" Target="https://www.mdpi.com/journal/computation" TargetMode="External"/><Relationship Id="rId249" Type="http://schemas.openxmlformats.org/officeDocument/2006/relationships/hyperlink" Target="https://link.springer.com/journal/10163" TargetMode="External"/><Relationship Id="rId248" Type="http://schemas.openxmlformats.org/officeDocument/2006/relationships/hyperlink" Target="https://www.mdpi.com/journal/biomimetics" TargetMode="External"/><Relationship Id="rId247" Type="http://schemas.openxmlformats.org/officeDocument/2006/relationships/hyperlink" Target="https://www.sciencedirect.com/journal/applied-thermal-engineering" TargetMode="External"/><Relationship Id="rId242" Type="http://schemas.openxmlformats.org/officeDocument/2006/relationships/hyperlink" Target="https://www.sciencedirect.com/journal/energy-conversion-and-management" TargetMode="External"/><Relationship Id="rId241" Type="http://schemas.openxmlformats.org/officeDocument/2006/relationships/hyperlink" Target="https://www.mdpi.com/journal/lubricants" TargetMode="External"/><Relationship Id="rId240" Type="http://schemas.openxmlformats.org/officeDocument/2006/relationships/hyperlink" Target="https://www.mdpi.com/journal/sensors" TargetMode="External"/><Relationship Id="rId246" Type="http://schemas.openxmlformats.org/officeDocument/2006/relationships/hyperlink" Target="https://link.springer.com/journal/12540" TargetMode="External"/><Relationship Id="rId245" Type="http://schemas.openxmlformats.org/officeDocument/2006/relationships/hyperlink" Target="https://www.sciencedirect.com/journal/journal-of-cleaner-production" TargetMode="External"/><Relationship Id="rId244" Type="http://schemas.openxmlformats.org/officeDocument/2006/relationships/hyperlink" Target="https://www.sciencedirect.com/journal/applied-thermal-engineering" TargetMode="External"/><Relationship Id="rId243" Type="http://schemas.openxmlformats.org/officeDocument/2006/relationships/hyperlink" Target="https://www.sciencedirect.com/journal/applied-thermal-engineering" TargetMode="External"/><Relationship Id="rId239" Type="http://schemas.openxmlformats.org/officeDocument/2006/relationships/hyperlink" Target="https://link.springer.com/journal/12540" TargetMode="External"/><Relationship Id="rId238" Type="http://schemas.openxmlformats.org/officeDocument/2006/relationships/hyperlink" Target="https://www.sciencedirect.com/journal/journal-of-cleaner-production" TargetMode="External"/><Relationship Id="rId237" Type="http://schemas.openxmlformats.org/officeDocument/2006/relationships/hyperlink" Target="https://www.mdpi.com/journal/polymers" TargetMode="External"/><Relationship Id="rId236" Type="http://schemas.openxmlformats.org/officeDocument/2006/relationships/hyperlink" Target="https://www.sciencedirect.com/journal/applied-thermal-engineering" TargetMode="External"/><Relationship Id="rId231" Type="http://schemas.openxmlformats.org/officeDocument/2006/relationships/hyperlink" Target="https://www.mdpi.com/journal/materials" TargetMode="External"/><Relationship Id="rId230" Type="http://schemas.openxmlformats.org/officeDocument/2006/relationships/hyperlink" Target="https://www.sciencedirect.com/journal/applied-thermal-engineering" TargetMode="External"/><Relationship Id="rId235" Type="http://schemas.openxmlformats.org/officeDocument/2006/relationships/hyperlink" Target="https://www.mdpi.com/journal/processes" TargetMode="External"/><Relationship Id="rId234" Type="http://schemas.openxmlformats.org/officeDocument/2006/relationships/hyperlink" Target="https://www.sciencedirect.com/journal/applied-thermal-engineering" TargetMode="External"/><Relationship Id="rId233" Type="http://schemas.openxmlformats.org/officeDocument/2006/relationships/hyperlink" Target="https://www.sciencedirect.com/journal/journal-of-environmental-chemical-engineering" TargetMode="External"/><Relationship Id="rId232" Type="http://schemas.openxmlformats.org/officeDocument/2006/relationships/hyperlink" Target="https://www.sciencedirect.com/journal/journal-of-cleaner-production" TargetMode="External"/><Relationship Id="rId206" Type="http://schemas.openxmlformats.org/officeDocument/2006/relationships/hyperlink" Target="https://www.mdpi.com/journal/polymers" TargetMode="External"/><Relationship Id="rId205" Type="http://schemas.openxmlformats.org/officeDocument/2006/relationships/hyperlink" Target="https://link.springer.com/journal/12540" TargetMode="External"/><Relationship Id="rId204" Type="http://schemas.openxmlformats.org/officeDocument/2006/relationships/hyperlink" Target="https://journals.bilpubgroup.com/index.php/opmr" TargetMode="External"/><Relationship Id="rId203" Type="http://schemas.openxmlformats.org/officeDocument/2006/relationships/hyperlink" Target="https://www.mdpi.com/journal/materials" TargetMode="External"/><Relationship Id="rId209" Type="http://schemas.openxmlformats.org/officeDocument/2006/relationships/hyperlink" Target="https://www.tandfonline.com/toc/tast20/current" TargetMode="External"/><Relationship Id="rId208" Type="http://schemas.openxmlformats.org/officeDocument/2006/relationships/hyperlink" Target="https://www.mdpi.com/journal/ijms" TargetMode="External"/><Relationship Id="rId207" Type="http://schemas.openxmlformats.org/officeDocument/2006/relationships/hyperlink" Target="https://www.mdpi.com/journal/materials" TargetMode="External"/><Relationship Id="rId202" Type="http://schemas.openxmlformats.org/officeDocument/2006/relationships/hyperlink" Target="https://revtn.ro/_legacy/editorial-board.htm" TargetMode="External"/><Relationship Id="rId201" Type="http://schemas.openxmlformats.org/officeDocument/2006/relationships/hyperlink" Target="https://www.editorialmanager.com/jamt/default2.aspx" TargetMode="External"/><Relationship Id="rId200" Type="http://schemas.openxmlformats.org/officeDocument/2006/relationships/hyperlink" Target="http://www.revtn.ro/index.php/revtn/about/editorialTea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noapteacercetatorilor.ulbsibiu.ro/ro/" TargetMode="External"/><Relationship Id="rId2" Type="http://schemas.openxmlformats.org/officeDocument/2006/relationships/hyperlink" Target="https://noapteacercetatorilor.ulbsibiu.ro/ro/program/facultatea-de-inginerie/" TargetMode="External"/><Relationship Id="rId3" Type="http://schemas.openxmlformats.org/officeDocument/2006/relationships/hyperlink" Target="https://noapteacercetatorilor.ulbsibiu.ro/ro/program/facultatea-de-inginerie/" TargetMode="External"/><Relationship Id="rId4" Type="http://schemas.openxmlformats.org/officeDocument/2006/relationships/hyperlink" Target="https://noapteacercetatorilor.ulbsibiu.ro/ro/" TargetMode="External"/><Relationship Id="rId9" Type="http://schemas.openxmlformats.org/officeDocument/2006/relationships/hyperlink" Target="https://das2023.hu/" TargetMode="External"/><Relationship Id="rId5" Type="http://schemas.openxmlformats.org/officeDocument/2006/relationships/hyperlink" Target="http://conference.icmas.eu/" TargetMode="External"/><Relationship Id="rId6" Type="http://schemas.openxmlformats.org/officeDocument/2006/relationships/hyperlink" Target="https://das2023.hu/" TargetMode="External"/><Relationship Id="rId7" Type="http://schemas.openxmlformats.org/officeDocument/2006/relationships/hyperlink" Target="https://noapteacercetatorilor.ulbsibiu.ro/ro/program/facultatea-de-inginerie/" TargetMode="External"/><Relationship Id="rId8" Type="http://schemas.openxmlformats.org/officeDocument/2006/relationships/hyperlink" Target="https://www.fih.upt.ro/jla/index.php" TargetMode="External"/><Relationship Id="rId40" Type="http://schemas.openxmlformats.org/officeDocument/2006/relationships/hyperlink" Target="https://iated.org/archive/inted2023" TargetMode="External"/><Relationship Id="rId42" Type="http://schemas.openxmlformats.org/officeDocument/2006/relationships/hyperlink" Target="https://iated.org/archive/iceri2023" TargetMode="External"/><Relationship Id="rId41" Type="http://schemas.openxmlformats.org/officeDocument/2006/relationships/hyperlink" Target="https://iated.org/archive/iceri2023" TargetMode="External"/><Relationship Id="rId44" Type="http://schemas.openxmlformats.org/officeDocument/2006/relationships/hyperlink" Target="https://ing.utgjiu.ro/wp-content/conferinte/confereng2023/index.html" TargetMode="External"/><Relationship Id="rId43" Type="http://schemas.openxmlformats.org/officeDocument/2006/relationships/hyperlink" Target="https://ing.utgjiu.ro/wp-content/conferinte/confereng2023/index.html" TargetMode="External"/><Relationship Id="rId46" Type="http://schemas.openxmlformats.org/officeDocument/2006/relationships/hyperlink" Target="https://conferences.ulbsibiu.ro/zmds/" TargetMode="External"/><Relationship Id="rId45" Type="http://schemas.openxmlformats.org/officeDocument/2006/relationships/hyperlink" Target="https://conferences.ulbsibiu.ro/zmds/" TargetMode="External"/><Relationship Id="rId48" Type="http://schemas.openxmlformats.org/officeDocument/2006/relationships/hyperlink" Target="https://conferences.ulbsibiu.ro/zmds/" TargetMode="External"/><Relationship Id="rId47" Type="http://schemas.openxmlformats.org/officeDocument/2006/relationships/hyperlink" Target="https://bioremed.ro/" TargetMode="External"/><Relationship Id="rId49" Type="http://schemas.openxmlformats.org/officeDocument/2006/relationships/hyperlink" Target="http://artn.ro/conference2023/" TargetMode="External"/><Relationship Id="rId31" Type="http://schemas.openxmlformats.org/officeDocument/2006/relationships/hyperlink" Target="https://modtech.ro/conference/ModTech2023_Presentation.php" TargetMode="External"/><Relationship Id="rId30" Type="http://schemas.openxmlformats.org/officeDocument/2006/relationships/hyperlink" Target="https://modtech.ro/conference/docs/Call-for-Papers-ModTech2023.pdf" TargetMode="External"/><Relationship Id="rId33" Type="http://schemas.openxmlformats.org/officeDocument/2006/relationships/hyperlink" Target="https://noapteacercetatorilor.ulbsibiu.ro/ro/program/facultatea-de-inginerie/" TargetMode="External"/><Relationship Id="rId32" Type="http://schemas.openxmlformats.org/officeDocument/2006/relationships/hyperlink" Target="https://www.lobbyart-anthropology.ro/Anthropology--and--Communication.php" TargetMode="External"/><Relationship Id="rId35" Type="http://schemas.openxmlformats.org/officeDocument/2006/relationships/hyperlink" Target="https://inter-eng.umfst.ro/2023/committees.html" TargetMode="External"/><Relationship Id="rId34" Type="http://schemas.openxmlformats.org/officeDocument/2006/relationships/hyperlink" Target="https://www.armyacademy.ro/engleza/conference.php" TargetMode="External"/><Relationship Id="rId37" Type="http://schemas.openxmlformats.org/officeDocument/2006/relationships/hyperlink" Target="https://noapteacercetatorilor.ulbsibiu.ro/ro/" TargetMode="External"/><Relationship Id="rId36" Type="http://schemas.openxmlformats.org/officeDocument/2006/relationships/hyperlink" Target="https://sesam2023.insemex.ro/wp-content/uploads/2023/10/SESAM-2023_Preliminary-Agenda.pdf" TargetMode="External"/><Relationship Id="rId39" Type="http://schemas.openxmlformats.org/officeDocument/2006/relationships/hyperlink" Target="https://iated.org/archive/inted2023" TargetMode="External"/><Relationship Id="rId38" Type="http://schemas.openxmlformats.org/officeDocument/2006/relationships/hyperlink" Target="https://www.icpr2023.org/" TargetMode="External"/><Relationship Id="rId20" Type="http://schemas.openxmlformats.org/officeDocument/2006/relationships/hyperlink" Target="https://noapteacercetatorilor.ulbsibiu.ro/ro/program/facultatea-de-inginerie/" TargetMode="External"/><Relationship Id="rId22" Type="http://schemas.openxmlformats.org/officeDocument/2006/relationships/hyperlink" Target="https://noapteacercetatorilor.ulbsibiu.ro/ro/program/facultatea-de-inginerie/" TargetMode="External"/><Relationship Id="rId21" Type="http://schemas.openxmlformats.org/officeDocument/2006/relationships/hyperlink" Target="https://noapteacercetatorilor.ulbsibiu.ro/ro/program/facultatea-de-inginerie/" TargetMode="External"/><Relationship Id="rId24" Type="http://schemas.openxmlformats.org/officeDocument/2006/relationships/hyperlink" Target="https://noapteacercetatorilor.ulbsibiu.ro/ro/" TargetMode="External"/><Relationship Id="rId23" Type="http://schemas.openxmlformats.org/officeDocument/2006/relationships/hyperlink" Target="https://noapteacercetatorilor.ulbsibiu.ro/ro/" TargetMode="External"/><Relationship Id="rId26" Type="http://schemas.openxmlformats.org/officeDocument/2006/relationships/hyperlink" Target="https://noapteacercetatorilor.ulbsibiu.ro/ro/program/facultatea-de-inginerie/" TargetMode="External"/><Relationship Id="rId25" Type="http://schemas.openxmlformats.org/officeDocument/2006/relationships/hyperlink" Target="https://www.natsci.upit.ro/international-symposium/" TargetMode="External"/><Relationship Id="rId28" Type="http://schemas.openxmlformats.org/officeDocument/2006/relationships/hyperlink" Target="https://modtech.ro/conference/docs/Call-for-Papers-ModTech2023.pdf" TargetMode="External"/><Relationship Id="rId27" Type="http://schemas.openxmlformats.org/officeDocument/2006/relationships/hyperlink" Target="https://icsaam2023.upatras.gr/wp-content/uploads/sites/22/2023/09/ICSAAM-2023-detailed-program-2.pdf" TargetMode="External"/><Relationship Id="rId29" Type="http://schemas.openxmlformats.org/officeDocument/2006/relationships/hyperlink" Target="https://ksem2023.conferences.academy/" TargetMode="External"/><Relationship Id="rId11" Type="http://schemas.openxmlformats.org/officeDocument/2006/relationships/hyperlink" Target="https://noapteacercetatorilor.ulbsibiu.ro/ro/" TargetMode="External"/><Relationship Id="rId10" Type="http://schemas.openxmlformats.org/officeDocument/2006/relationships/hyperlink" Target="https://das2023.hu/" TargetMode="External"/><Relationship Id="rId13" Type="http://schemas.openxmlformats.org/officeDocument/2006/relationships/hyperlink" Target="http://dime.uab.ro/sites/icmea2020/wp-content/uploads/sites/12/2023/05/Agenda-ICMEA-2023-UPDATE-08.05.2023.pdf" TargetMode="External"/><Relationship Id="rId12" Type="http://schemas.openxmlformats.org/officeDocument/2006/relationships/hyperlink" Target="https://noapteacercetatorilor.ulbsibiu.ro/ro/" TargetMode="External"/><Relationship Id="rId15" Type="http://schemas.openxmlformats.org/officeDocument/2006/relationships/hyperlink" Target="https://noapteacercetatorilor.ulbsibiu.ro/ro/" TargetMode="External"/><Relationship Id="rId14" Type="http://schemas.openxmlformats.org/officeDocument/2006/relationships/hyperlink" Target="https://noapteacercetatorilor.ulbsibiu.ro/ro/" TargetMode="External"/><Relationship Id="rId17" Type="http://schemas.openxmlformats.org/officeDocument/2006/relationships/hyperlink" Target="https://das2023.hu/" TargetMode="External"/><Relationship Id="rId16" Type="http://schemas.openxmlformats.org/officeDocument/2006/relationships/hyperlink" Target="https://www.das2023.hu/assets/images/BOA_39th_DAS.pdf" TargetMode="External"/><Relationship Id="rId19" Type="http://schemas.openxmlformats.org/officeDocument/2006/relationships/hyperlink" Target="https://noapteacercetatorilor.ulbsibiu.ro/ro/program/facultatea-de-inginerie/" TargetMode="External"/><Relationship Id="rId18" Type="http://schemas.openxmlformats.org/officeDocument/2006/relationships/hyperlink" Target="https://noapteacercetatorilor.ulbsibiu.ro/ro/program/facultatea-de-inginerie/" TargetMode="External"/><Relationship Id="rId84" Type="http://schemas.openxmlformats.org/officeDocument/2006/relationships/hyperlink" Target="http://www.icmse2023.com/?op=committee" TargetMode="External"/><Relationship Id="rId83" Type="http://schemas.openxmlformats.org/officeDocument/2006/relationships/hyperlink" Target="https://www.utgjiu.ro/docs/SYMECH_2023/Comitet%20stiintific.html" TargetMode="External"/><Relationship Id="rId86" Type="http://schemas.openxmlformats.org/officeDocument/2006/relationships/hyperlink" Target="https://bcyiot2023.org/committee" TargetMode="External"/><Relationship Id="rId85" Type="http://schemas.openxmlformats.org/officeDocument/2006/relationships/hyperlink" Target="http://www.iceacs.org/committee.html" TargetMode="External"/><Relationship Id="rId88" Type="http://schemas.openxmlformats.org/officeDocument/2006/relationships/hyperlink" Target="http://www.ita2023.com/?op=committee" TargetMode="External"/><Relationship Id="rId87" Type="http://schemas.openxmlformats.org/officeDocument/2006/relationships/hyperlink" Target="https://www.icmem.cn/com" TargetMode="External"/><Relationship Id="rId89" Type="http://schemas.openxmlformats.org/officeDocument/2006/relationships/hyperlink" Target="https://www.edass.org/" TargetMode="External"/><Relationship Id="rId80" Type="http://schemas.openxmlformats.org/officeDocument/2006/relationships/hyperlink" Target="https://www.edass.org/" TargetMode="External"/><Relationship Id="rId82" Type="http://schemas.openxmlformats.org/officeDocument/2006/relationships/hyperlink" Target="http://www.msee2023.com/?op=committees" TargetMode="External"/><Relationship Id="rId81" Type="http://schemas.openxmlformats.org/officeDocument/2006/relationships/hyperlink" Target="http://www.aimlr.net/committee.html" TargetMode="External"/><Relationship Id="rId73" Type="http://schemas.openxmlformats.org/officeDocument/2006/relationships/hyperlink" Target="https://unitedscientificforum.com/biodiversity/2023/committee.php" TargetMode="External"/><Relationship Id="rId72" Type="http://schemas.openxmlformats.org/officeDocument/2006/relationships/hyperlink" Target="https://scientificfederation.org/2023/gcemmm/index.php" TargetMode="External"/><Relationship Id="rId75" Type="http://schemas.openxmlformats.org/officeDocument/2006/relationships/hyperlink" Target="http://www.icaa2023.org/?op=committee" TargetMode="External"/><Relationship Id="rId74" Type="http://schemas.openxmlformats.org/officeDocument/2006/relationships/hyperlink" Target="https://www.icgeesd.cn/committee" TargetMode="External"/><Relationship Id="rId77" Type="http://schemas.openxmlformats.org/officeDocument/2006/relationships/hyperlink" Target="http://www.icmes.org/committee.html" TargetMode="External"/><Relationship Id="rId76" Type="http://schemas.openxmlformats.org/officeDocument/2006/relationships/hyperlink" Target="https://www.icgeesd.cn/committee" TargetMode="External"/><Relationship Id="rId79" Type="http://schemas.openxmlformats.org/officeDocument/2006/relationships/hyperlink" Target="https://www.ammsamath.com/committee" TargetMode="External"/><Relationship Id="rId78" Type="http://schemas.openxmlformats.org/officeDocument/2006/relationships/hyperlink" Target="http://www.icnisc2023.com/?op=committee" TargetMode="External"/><Relationship Id="rId71" Type="http://schemas.openxmlformats.org/officeDocument/2006/relationships/hyperlink" Target="http://www.ai-aee.com/committee.html" TargetMode="External"/><Relationship Id="rId70" Type="http://schemas.openxmlformats.org/officeDocument/2006/relationships/hyperlink" Target="https://noapteacercetatorilor.ulbsibiu.ro/ro/program/facultatea-de-inginerie/" TargetMode="External"/><Relationship Id="rId62" Type="http://schemas.openxmlformats.org/officeDocument/2006/relationships/hyperlink" Target="https://www.atiner.gr/branding" TargetMode="External"/><Relationship Id="rId61" Type="http://schemas.openxmlformats.org/officeDocument/2006/relationships/hyperlink" Target="https://www.sim2023.eu/committees.html" TargetMode="External"/><Relationship Id="rId64" Type="http://schemas.openxmlformats.org/officeDocument/2006/relationships/hyperlink" Target="https://www.lobbyart-anthropology.ro/Anthropology--and--Communication.php" TargetMode="External"/><Relationship Id="rId63" Type="http://schemas.openxmlformats.org/officeDocument/2006/relationships/hyperlink" Target="https://noapteacercetatorilor.ulbsibiu.ro/ro/program/facultatea-de-inginerie/" TargetMode="External"/><Relationship Id="rId66" Type="http://schemas.openxmlformats.org/officeDocument/2006/relationships/hyperlink" Target="https://noapteacercetatorilor.ulbsibiu.ro/ro/program/facultatea-de-inginerie/" TargetMode="External"/><Relationship Id="rId65" Type="http://schemas.openxmlformats.org/officeDocument/2006/relationships/hyperlink" Target="https://www.lobbyart-anthropology.ro/Anthropology--and--Communication.php" TargetMode="External"/><Relationship Id="rId68" Type="http://schemas.openxmlformats.org/officeDocument/2006/relationships/hyperlink" Target="https://mtem.utcluj.ro/program/" TargetMode="External"/><Relationship Id="rId67" Type="http://schemas.openxmlformats.org/officeDocument/2006/relationships/hyperlink" Target="https://link.springer.com/book/9783031625190" TargetMode="External"/><Relationship Id="rId60" Type="http://schemas.openxmlformats.org/officeDocument/2006/relationships/hyperlink" Target="https://sesam2023.insemex.ro/committees/" TargetMode="External"/><Relationship Id="rId69" Type="http://schemas.openxmlformats.org/officeDocument/2006/relationships/hyperlink" Target="https://bioremed.ro/" TargetMode="External"/><Relationship Id="rId51" Type="http://schemas.openxmlformats.org/officeDocument/2006/relationships/hyperlink" Target="https://mtem.utcluj.ro/program/" TargetMode="External"/><Relationship Id="rId50" Type="http://schemas.openxmlformats.org/officeDocument/2006/relationships/hyperlink" Target="https://ice-usv44.webnode.ro/current-edition/" TargetMode="External"/><Relationship Id="rId53" Type="http://schemas.openxmlformats.org/officeDocument/2006/relationships/hyperlink" Target="https://drept.ulbsibiu.ro/stiri/conferinta-nationala-de-ordine-si-siguranta-publica-2023/" TargetMode="External"/><Relationship Id="rId52" Type="http://schemas.openxmlformats.org/officeDocument/2006/relationships/hyperlink" Target="https://iecs.ro/conference2023/" TargetMode="External"/><Relationship Id="rId55" Type="http://schemas.openxmlformats.org/officeDocument/2006/relationships/hyperlink" Target="https://eeeu23.gjem.press/" TargetMode="External"/><Relationship Id="rId54" Type="http://schemas.openxmlformats.org/officeDocument/2006/relationships/hyperlink" Target="https://managerconf.com/" TargetMode="External"/><Relationship Id="rId57" Type="http://schemas.openxmlformats.org/officeDocument/2006/relationships/hyperlink" Target="https://inter-eng.umfst.ro/2023/committees.html" TargetMode="External"/><Relationship Id="rId56" Type="http://schemas.openxmlformats.org/officeDocument/2006/relationships/hyperlink" Target="https://www.tererd.upb.ro/index.php/committees/" TargetMode="External"/><Relationship Id="rId59" Type="http://schemas.openxmlformats.org/officeDocument/2006/relationships/hyperlink" Target="https://www.armyacademy.ro/engleza/conference_scientific_committee.php" TargetMode="External"/><Relationship Id="rId58" Type="http://schemas.openxmlformats.org/officeDocument/2006/relationships/hyperlink" Target="http://dime.uab.ro/sites/icmea2020/wp-content/uploads/sites/12/2023/05/Agenda-ICMEA-2023-UPDATE-08.05.2023.pdf" TargetMode="External"/><Relationship Id="rId95" Type="http://schemas.openxmlformats.org/officeDocument/2006/relationships/hyperlink" Target="https://www.iccp.ro/iccp2023/program-committee" TargetMode="External"/><Relationship Id="rId94" Type="http://schemas.openxmlformats.org/officeDocument/2006/relationships/hyperlink" Target="https://events.ulbsibiu.ro/innovationdays/2023.php" TargetMode="External"/><Relationship Id="rId97" Type="http://schemas.openxmlformats.org/officeDocument/2006/relationships/drawing" Target="../drawings/drawing15.xml"/><Relationship Id="rId96" Type="http://schemas.openxmlformats.org/officeDocument/2006/relationships/hyperlink" Target="https://www.icacds.com/icacds2023/index.php" TargetMode="External"/><Relationship Id="rId91" Type="http://schemas.openxmlformats.org/officeDocument/2006/relationships/hyperlink" Target="https://www.iteory2023.org/committee" TargetMode="External"/><Relationship Id="rId90" Type="http://schemas.openxmlformats.org/officeDocument/2006/relationships/hyperlink" Target="https://ing.utgjiu.ro/wp-content/conferinte/confereng2023/commitee.html" TargetMode="External"/><Relationship Id="rId93" Type="http://schemas.openxmlformats.org/officeDocument/2006/relationships/hyperlink" Target="https://www.ksem2023.conferences.academy/committee" TargetMode="External"/><Relationship Id="rId92" Type="http://schemas.openxmlformats.org/officeDocument/2006/relationships/hyperlink" Target="http://www.icncss2023.com/?op=committee"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ulbsibiu.ro/news/cupa-de-schi-si-snowboard-a-ulbs-4/" TargetMode="External"/><Relationship Id="rId2" Type="http://schemas.openxmlformats.org/officeDocument/2006/relationships/hyperlink" Target="https://events.ulbsibiu.ro/event.cupadeschi/" TargetMode="External"/><Relationship Id="rId3"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40" Type="http://schemas.openxmlformats.org/officeDocument/2006/relationships/hyperlink" Target="https://doi.org/10.3390/machines11030385" TargetMode="External"/><Relationship Id="rId190" Type="http://schemas.openxmlformats.org/officeDocument/2006/relationships/hyperlink" Target="https://1y10qdmy8-y-https-www-webofscience-com.z.e-nformation.ro/wos/woscc/full-record/WOS:000938316900001" TargetMode="External"/><Relationship Id="rId42" Type="http://schemas.openxmlformats.org/officeDocument/2006/relationships/hyperlink" Target="https://doi.org/10.3390/app131810181" TargetMode="External"/><Relationship Id="rId41" Type="http://schemas.openxmlformats.org/officeDocument/2006/relationships/hyperlink" Target="https://www.webofscience.com/wos/woscc/full-record/WOS:001145085600001" TargetMode="External"/><Relationship Id="rId44" Type="http://schemas.openxmlformats.org/officeDocument/2006/relationships/hyperlink" Target="https://doi.org/10.1016/j.heliyon.2023.e16390" TargetMode="External"/><Relationship Id="rId43" Type="http://schemas.openxmlformats.org/officeDocument/2006/relationships/hyperlink" Target="https://www.webofscience.com/wos/woscc/full-record/WOS:000786980300001" TargetMode="External"/><Relationship Id="rId193" Type="http://schemas.openxmlformats.org/officeDocument/2006/relationships/drawing" Target="../drawings/drawing2.xml"/><Relationship Id="rId46" Type="http://schemas.openxmlformats.org/officeDocument/2006/relationships/hyperlink" Target="https://1510qdtro-y-https-www-webofscience-com.z.e-nformation.ro/wos/woscc/full-record/WOS:000960072900001" TargetMode="External"/><Relationship Id="rId192" Type="http://schemas.openxmlformats.org/officeDocument/2006/relationships/hyperlink" Target="https://doi.org/10.3389/fpsyg.2023.1160046" TargetMode="External"/><Relationship Id="rId45" Type="http://schemas.openxmlformats.org/officeDocument/2006/relationships/hyperlink" Target="https://doi.org/10.1016/j.heliyon.2023.e16390" TargetMode="External"/><Relationship Id="rId191" Type="http://schemas.openxmlformats.org/officeDocument/2006/relationships/hyperlink" Target="https://www.mdpi.com/2075-5309/13/2/569" TargetMode="External"/><Relationship Id="rId48" Type="http://schemas.openxmlformats.org/officeDocument/2006/relationships/hyperlink" Target="https://doi.org/10.3390/mi14020359" TargetMode="External"/><Relationship Id="rId187" Type="http://schemas.openxmlformats.org/officeDocument/2006/relationships/hyperlink" Target="https://www.sciencedirect.com/science/article/pii/S2214157X23002708" TargetMode="External"/><Relationship Id="rId47" Type="http://schemas.openxmlformats.org/officeDocument/2006/relationships/hyperlink" Target="https://www.mdpi.com/2072-666X/14/2/359" TargetMode="External"/><Relationship Id="rId186" Type="http://schemas.openxmlformats.org/officeDocument/2006/relationships/hyperlink" Target="https://1y10qdmy8-y-https-www-webofscience-com.z.e-nformation.ro/wos/woscc/full-record/WOS:001017581800001" TargetMode="External"/><Relationship Id="rId185" Type="http://schemas.openxmlformats.org/officeDocument/2006/relationships/hyperlink" Target="https://www.sciencedirect.com/science/article/pii/S2214157X23003805" TargetMode="External"/><Relationship Id="rId49" Type="http://schemas.openxmlformats.org/officeDocument/2006/relationships/hyperlink" Target="https://www.webofscience.com/wos/woscc/full-record/WOS:000960072900001" TargetMode="External"/><Relationship Id="rId184" Type="http://schemas.openxmlformats.org/officeDocument/2006/relationships/hyperlink" Target="https://1y10qdmy8-y-https-www-webofscience-com.z.e-nformation.ro/wos/woscc/full-record/WOS:001008375000001" TargetMode="External"/><Relationship Id="rId189" Type="http://schemas.openxmlformats.org/officeDocument/2006/relationships/hyperlink" Target="https://www.mdpi.com/2227-9717/11/3/860" TargetMode="External"/><Relationship Id="rId188" Type="http://schemas.openxmlformats.org/officeDocument/2006/relationships/hyperlink" Target="https://1y10qdmy8-y-https-www-webofscience-com.z.e-nformation.ro/wos/woscc/full-record/WOS:000959028600001" TargetMode="External"/><Relationship Id="rId31" Type="http://schemas.openxmlformats.org/officeDocument/2006/relationships/hyperlink" Target="https://www.mdpi.com/1996-1944/16/8/2948" TargetMode="External"/><Relationship Id="rId30" Type="http://schemas.openxmlformats.org/officeDocument/2006/relationships/hyperlink" Target="https://www.webofscience.com/wos/woscc/full-record/WOS:000983142400001" TargetMode="External"/><Relationship Id="rId33" Type="http://schemas.openxmlformats.org/officeDocument/2006/relationships/hyperlink" Target="https://www.sciencedirect.com/science/article/abs/pii/S2214785323034028" TargetMode="External"/><Relationship Id="rId183" Type="http://schemas.openxmlformats.org/officeDocument/2006/relationships/hyperlink" Target="https://www.sciencedirect.com/science/article/pii/S2214157X23005610" TargetMode="External"/><Relationship Id="rId32" Type="http://schemas.openxmlformats.org/officeDocument/2006/relationships/hyperlink" Target="https://www.scopus.com/record/display.uri?eid=2-s2.0-85182021284&amp;origin=resultslist" TargetMode="External"/><Relationship Id="rId182" Type="http://schemas.openxmlformats.org/officeDocument/2006/relationships/hyperlink" Target="https://1y10qdmy8-y-https-www-webofscience-com.z.e-nformation.ro/wos/woscc/full-record/WOS:001044245700001" TargetMode="External"/><Relationship Id="rId35" Type="http://schemas.openxmlformats.org/officeDocument/2006/relationships/hyperlink" Target="https://www.sciencedirect.com/science/article/abs/pii/S2214785323020072" TargetMode="External"/><Relationship Id="rId181" Type="http://schemas.openxmlformats.org/officeDocument/2006/relationships/hyperlink" Target="https://www.sciencedirect.com/science/article/pii/S2405844023035971" TargetMode="External"/><Relationship Id="rId34" Type="http://schemas.openxmlformats.org/officeDocument/2006/relationships/hyperlink" Target="https://www.scopus.com/record/display.uri?eid=2-s2.0-85153105861&amp;origin=resultslist" TargetMode="External"/><Relationship Id="rId180" Type="http://schemas.openxmlformats.org/officeDocument/2006/relationships/hyperlink" Target="https://1y10qdmy8-y-https-www-webofscience-com.z.e-nformation.ro/wos/woscc/full-record/WOS:001017864100001" TargetMode="External"/><Relationship Id="rId37" Type="http://schemas.openxmlformats.org/officeDocument/2006/relationships/hyperlink" Target="https://www.scopus.com/record/display.uri?eid=2-s2.0-85156272445&amp;origin=inward&amp;txGid=5022fb3787ce33ce0444b26e8f615145" TargetMode="External"/><Relationship Id="rId176" Type="http://schemas.openxmlformats.org/officeDocument/2006/relationships/hyperlink" Target="https://1y10qdmy8-y-https-www-webofscience-com.z.e-nformation.ro/wos/woscc/full-record/WOS:001061188300001" TargetMode="External"/><Relationship Id="rId36" Type="http://schemas.openxmlformats.org/officeDocument/2006/relationships/hyperlink" Target="https://www.sciencedirect.com/science/article/pii/S2214785323022289" TargetMode="External"/><Relationship Id="rId175" Type="http://schemas.openxmlformats.org/officeDocument/2006/relationships/hyperlink" Target="https://www.cell.com/heliyon/fulltext/S2405-8440(23)07273-0?_returnURL=https%3A%2F%2Flinkinghub.elsevier.com%2Fretrieve%2Fpii%2FS2405844023072730%3Fshowall%3Dtrue" TargetMode="External"/><Relationship Id="rId39" Type="http://schemas.openxmlformats.org/officeDocument/2006/relationships/hyperlink" Target="https://www.webofscience.com/wos/woscc/full-record/WOS:000960072900001" TargetMode="External"/><Relationship Id="rId174" Type="http://schemas.openxmlformats.org/officeDocument/2006/relationships/hyperlink" Target="https://1y10qdmy8-y-https-www-webofscience-com.z.e-nformation.ro/wos/woscc/full-record/WOS:001081468400001" TargetMode="External"/><Relationship Id="rId38" Type="http://schemas.openxmlformats.org/officeDocument/2006/relationships/hyperlink" Target="https://1510qkk9d-y-https-www-webofscience-com.z.e-nformation.ro/wos/woscc/full-record/WOS:001119302700001" TargetMode="External"/><Relationship Id="rId173" Type="http://schemas.openxmlformats.org/officeDocument/2006/relationships/hyperlink" Target="https://www.sciencedirect.com/science/article/pii/S1878535223007347" TargetMode="External"/><Relationship Id="rId179" Type="http://schemas.openxmlformats.org/officeDocument/2006/relationships/hyperlink" Target="https://www.sciencedirect.com/science/article/pii/S2214157X23005993" TargetMode="External"/><Relationship Id="rId178" Type="http://schemas.openxmlformats.org/officeDocument/2006/relationships/hyperlink" Target="https://1y10qdmy8-y-https-www-webofscience-com.z.e-nformation.ro/wos/woscc/full-record/WOS:001045316900001" TargetMode="External"/><Relationship Id="rId177" Type="http://schemas.openxmlformats.org/officeDocument/2006/relationships/hyperlink" Target="https://www.mdpi.com/2073-4360/15/17/3634" TargetMode="External"/><Relationship Id="rId20" Type="http://schemas.openxmlformats.org/officeDocument/2006/relationships/hyperlink" Target="https://www.scopus.com/record/display.uri?eid=2-s2.0-85151430561&amp;origin=resultslist&amp;sort=plf-f" TargetMode="External"/><Relationship Id="rId22" Type="http://schemas.openxmlformats.org/officeDocument/2006/relationships/hyperlink" Target="https://www.mdpi.com/2075-1702/11/3/385" TargetMode="External"/><Relationship Id="rId21" Type="http://schemas.openxmlformats.org/officeDocument/2006/relationships/hyperlink" Target="https://doi.org/10.1016/j.matpr.2023.03.175" TargetMode="External"/><Relationship Id="rId24" Type="http://schemas.openxmlformats.org/officeDocument/2006/relationships/hyperlink" Target="https://www.sciencedirect.com/science/article/pii/S2214785323012178?via%3Dihub" TargetMode="External"/><Relationship Id="rId23" Type="http://schemas.openxmlformats.org/officeDocument/2006/relationships/hyperlink" Target="https://doi.org/10.3390/machines11030385" TargetMode="External"/><Relationship Id="rId26" Type="http://schemas.openxmlformats.org/officeDocument/2006/relationships/hyperlink" Target="https://doi.org/10.1016/j.matpr.2023.03.175" TargetMode="External"/><Relationship Id="rId25" Type="http://schemas.openxmlformats.org/officeDocument/2006/relationships/hyperlink" Target="https://www.scopus.com/record/display.uri?eid=2-s2.0-85151430561&amp;origin=resultslist&amp;sort=plf-f" TargetMode="External"/><Relationship Id="rId28" Type="http://schemas.openxmlformats.org/officeDocument/2006/relationships/hyperlink" Target="https://www.mdpi.com/1996-1944/16/8/2948" TargetMode="External"/><Relationship Id="rId27" Type="http://schemas.openxmlformats.org/officeDocument/2006/relationships/hyperlink" Target="https://www.webofscience.com/wos/woscc/full-record/WOS:000983142400001" TargetMode="External"/><Relationship Id="rId29" Type="http://schemas.openxmlformats.org/officeDocument/2006/relationships/hyperlink" Target="https://www.scopus.com/record/display.uri?eid=2-s2.0-85153105861&amp;origin=resultslist&amp;sort=plf-f&amp;src=s&amp;st1=Petrascu&amp;st2=Olivia-Laura&amp;nlo=1&amp;nlr=20&amp;nls=afprfnm-t&amp;sid=01e56eba26768dafda6bb90e6a0009fe&amp;sot=anl&amp;sdt=aut&amp;sl=43&amp;s=AU-ID%28%22Petra%c5%9fcu%2c+Olivia+Laura%22+57754980500%29&amp;relpos=2&amp;citeCnt=1&amp;searchTerm=" TargetMode="External"/><Relationship Id="rId11" Type="http://schemas.openxmlformats.org/officeDocument/2006/relationships/hyperlink" Target="https://www.mdpi.com/1996-1944/16/19/6408" TargetMode="External"/><Relationship Id="rId10" Type="http://schemas.openxmlformats.org/officeDocument/2006/relationships/hyperlink" Target="https://www.webofscience.com/wos/woscc/full-record/WOS:001081829900001" TargetMode="External"/><Relationship Id="rId13" Type="http://schemas.openxmlformats.org/officeDocument/2006/relationships/hyperlink" Target="https://www.tandfonline.com/doi/full/10.1080/03043797.2022.2080529" TargetMode="External"/><Relationship Id="rId12" Type="http://schemas.openxmlformats.org/officeDocument/2006/relationships/hyperlink" Target="https://www.webofscience.com/wos/woscc/full-record/WOS:000807049000001" TargetMode="External"/><Relationship Id="rId15" Type="http://schemas.openxmlformats.org/officeDocument/2006/relationships/hyperlink" Target="https://www.scopus.com/record/display.uri?eid=2-s2.0-85173567169&amp;origin=resultslist&amp;sort=plf-f&amp;src=s&amp;sid=83b8a4d0ee0739ac5fbad1f87c2e28f2&amp;sot=b&amp;sdt=b&amp;s=AUTHOR-NAME%28cosmin+preda%29&amp;sl=25&amp;sessionSearchId=83b8a4d0ee0739ac5fbad1f87c2e28f2&amp;relpos=0" TargetMode="External"/><Relationship Id="rId14" Type="http://schemas.openxmlformats.org/officeDocument/2006/relationships/hyperlink" Target="https://1510qdtro-y-https-www-webofscience-com.z.e-nformation.ro/wos/woscc/full-record/WOS:000960072900001" TargetMode="External"/><Relationship Id="rId17" Type="http://schemas.openxmlformats.org/officeDocument/2006/relationships/hyperlink" Target="https://www.scopus.com/record/display.uri?eid=2-s2.0-85173556960&amp;origin=resultslist" TargetMode="External"/><Relationship Id="rId16" Type="http://schemas.openxmlformats.org/officeDocument/2006/relationships/hyperlink" Target="https://iopscience.iop.org/article/10.1088/1742-6596/2540/1/012022" TargetMode="External"/><Relationship Id="rId19" Type="http://schemas.openxmlformats.org/officeDocument/2006/relationships/hyperlink" Target="https://www.sciencedirect.com/science/article/pii/S2214785323012178?via%3Dihub" TargetMode="External"/><Relationship Id="rId18" Type="http://schemas.openxmlformats.org/officeDocument/2006/relationships/hyperlink" Target="https://iopscience-iop-org.translate.goog/article/10.1088/1742-6596/2540/1/012031/meta?_x_tr_sl=en&amp;_x_tr_tl=ro&amp;_x_tr_hl=ro&amp;_x_tr_pto=sc" TargetMode="External"/><Relationship Id="rId84" Type="http://schemas.openxmlformats.org/officeDocument/2006/relationships/hyperlink" Target="https://1510ql09u-y-https-www-webofscience-com.z.e-nformation.ro/wos/woscc/full-record/WOS:001068086000001" TargetMode="External"/><Relationship Id="rId83" Type="http://schemas.openxmlformats.org/officeDocument/2006/relationships/hyperlink" Target="https://www.researchgate.net/publication/374066946_Connecting_Sustainable_Development_with_Media_Journalism_and_Communication_Programs_in_European_Universities" TargetMode="External"/><Relationship Id="rId86" Type="http://schemas.openxmlformats.org/officeDocument/2006/relationships/hyperlink" Target="https://www.webofscience.com/wos/woscc/full-record/WOS:001131040600001" TargetMode="External"/><Relationship Id="rId85" Type="http://schemas.openxmlformats.org/officeDocument/2006/relationships/hyperlink" Target="https://1510al0af-y-https-www-sciencedirect-com.z.e-nformation.ro/science/article/pii/S0952197623012101?via%3Dihub" TargetMode="External"/><Relationship Id="rId88" Type="http://schemas.openxmlformats.org/officeDocument/2006/relationships/hyperlink" Target="https://1y10qdmy8-y-https-www-webofscience-com.z.e-nformation.ro/wos/woscc/full-record/WOS:001121072300001" TargetMode="External"/><Relationship Id="rId150" Type="http://schemas.openxmlformats.org/officeDocument/2006/relationships/hyperlink" Target="https://npublications.com/journals/educationinformation/2023/a282008-0014(2023).pdf" TargetMode="External"/><Relationship Id="rId87" Type="http://schemas.openxmlformats.org/officeDocument/2006/relationships/hyperlink" Target="https://www.mdpi.com/2227-7102/13/12/1216" TargetMode="External"/><Relationship Id="rId89" Type="http://schemas.openxmlformats.org/officeDocument/2006/relationships/hyperlink" Target="https://www.sciencedirect.com/science/article/pii/S0142941823003604" TargetMode="External"/><Relationship Id="rId80" Type="http://schemas.openxmlformats.org/officeDocument/2006/relationships/hyperlink" Target="https://1510qaiv4-y-https-www-webofscience-com.z.e-nformation.ro/wos/woscc/full-record/WOS:000936491000001" TargetMode="External"/><Relationship Id="rId82" Type="http://schemas.openxmlformats.org/officeDocument/2006/relationships/hyperlink" Target="https://1510qaiv4-y-https-www-webofscience-com.z.e-nformation.ro/wos/woscc/full-record/WOS:001069869700018" TargetMode="External"/><Relationship Id="rId81" Type="http://schemas.openxmlformats.org/officeDocument/2006/relationships/hyperlink" Target="https://ideas.repec.org/a/spr/scient/v128y2023i4d10.1007_s11192-023-04655-z.html" TargetMode="External"/><Relationship Id="rId1" Type="http://schemas.openxmlformats.org/officeDocument/2006/relationships/hyperlink" Target="https://www.webofscience.com/wos/woscc/full-record/WOS:000941590100001" TargetMode="External"/><Relationship Id="rId2" Type="http://schemas.openxmlformats.org/officeDocument/2006/relationships/hyperlink" Target="https://www.mdpi.com/1996-1944/16/4/1644" TargetMode="External"/><Relationship Id="rId3" Type="http://schemas.openxmlformats.org/officeDocument/2006/relationships/hyperlink" Target="https://www.sciencedirect.com/science/article/pii/S2214785323012178?via%3Dihub" TargetMode="External"/><Relationship Id="rId149" Type="http://schemas.openxmlformats.org/officeDocument/2006/relationships/hyperlink" Target="https://npublications.com/indexes.php" TargetMode="External"/><Relationship Id="rId4" Type="http://schemas.openxmlformats.org/officeDocument/2006/relationships/hyperlink" Target="https://www.scopus.com/record/display.uri?eid=2-s2.0-85151430561&amp;origin=resultslist&amp;sort=plf-f" TargetMode="External"/><Relationship Id="rId148" Type="http://schemas.openxmlformats.org/officeDocument/2006/relationships/hyperlink" Target="https://npublications.com/journals/educationinformation/2023/a282008-0014(2023).pdf" TargetMode="External"/><Relationship Id="rId9" Type="http://schemas.openxmlformats.org/officeDocument/2006/relationships/hyperlink" Target="https://www.mdpi.com/1996-1944/16/4/1644" TargetMode="External"/><Relationship Id="rId143" Type="http://schemas.openxmlformats.org/officeDocument/2006/relationships/hyperlink" Target="https://1510qjsxi-y-https-www-webofscience-com.z.e-nformation.ro/wos/woscc/full-record/WOS:001069869700003" TargetMode="External"/><Relationship Id="rId142" Type="http://schemas.openxmlformats.org/officeDocument/2006/relationships/hyperlink" Target="https://www.sciencedirect.com/journal/case-studies-in-thermal-engineering/vol/49/suppl/C?page=2" TargetMode="External"/><Relationship Id="rId141" Type="http://schemas.openxmlformats.org/officeDocument/2006/relationships/hyperlink" Target="https://www.sciencedirect.com/science/article/pii/S2214157X23005993" TargetMode="External"/><Relationship Id="rId140" Type="http://schemas.openxmlformats.org/officeDocument/2006/relationships/hyperlink" Target="https://www.mdpi.com/1996-1944/16/4/1644" TargetMode="External"/><Relationship Id="rId5" Type="http://schemas.openxmlformats.org/officeDocument/2006/relationships/hyperlink" Target="https://doi.org/10.1016/j.matpr.2023.03.175" TargetMode="External"/><Relationship Id="rId147" Type="http://schemas.openxmlformats.org/officeDocument/2006/relationships/hyperlink" Target="https://wseas.com/journals/ead/2023/c445115-044(2023).pdf" TargetMode="External"/><Relationship Id="rId6" Type="http://schemas.openxmlformats.org/officeDocument/2006/relationships/hyperlink" Target="https://www.webofscience.com/wos/woscc/full-record/WOS:000960072900001" TargetMode="External"/><Relationship Id="rId146" Type="http://schemas.openxmlformats.org/officeDocument/2006/relationships/hyperlink" Target="https://ajee-journal.com/enhancing-the-effectiveness-of-defence-planning-through-the-implementation-of-capability-based-budgeting-and-civilian-control" TargetMode="External"/><Relationship Id="rId7" Type="http://schemas.openxmlformats.org/officeDocument/2006/relationships/hyperlink" Target="https://doi.org/10.3390/machines11030385" TargetMode="External"/><Relationship Id="rId145" Type="http://schemas.openxmlformats.org/officeDocument/2006/relationships/hyperlink" Target="https://www.webofscience.com/wos/woscc/full-record/WOS:001100616400001" TargetMode="External"/><Relationship Id="rId8" Type="http://schemas.openxmlformats.org/officeDocument/2006/relationships/hyperlink" Target="https://www.webofscience.com/wos/woscc/full-record/WOS:000941590100001" TargetMode="External"/><Relationship Id="rId144" Type="http://schemas.openxmlformats.org/officeDocument/2006/relationships/hyperlink" Target="https://intapi.sciendo.com/pdf/10.2478/sbe-2023-0023" TargetMode="External"/><Relationship Id="rId73" Type="http://schemas.openxmlformats.org/officeDocument/2006/relationships/hyperlink" Target="https://www.mdpi.com/1996-1073/16/3/1246" TargetMode="External"/><Relationship Id="rId72" Type="http://schemas.openxmlformats.org/officeDocument/2006/relationships/hyperlink" Target="https://1510qkb1a-y-https-www-webofscience-com.z.e-nformation.ro/wos/woscc/full-record/WOS:000930353200001" TargetMode="External"/><Relationship Id="rId75" Type="http://schemas.openxmlformats.org/officeDocument/2006/relationships/hyperlink" Target="https://www.mdpi.com/journal/foods" TargetMode="External"/><Relationship Id="rId74" Type="http://schemas.openxmlformats.org/officeDocument/2006/relationships/hyperlink" Target="https://www.webofscience.com/wos/woscc/full-record/WOS:001090004500001" TargetMode="External"/><Relationship Id="rId77" Type="http://schemas.openxmlformats.org/officeDocument/2006/relationships/hyperlink" Target="https://www.webofscience.com/wos/woscc/full-record/WOS:000930353200001" TargetMode="External"/><Relationship Id="rId76" Type="http://schemas.openxmlformats.org/officeDocument/2006/relationships/hyperlink" Target="https://doi.org/10.3390/foods12203770" TargetMode="External"/><Relationship Id="rId79" Type="http://schemas.openxmlformats.org/officeDocument/2006/relationships/hyperlink" Target="https://doi.org/10.3390/en16031246" TargetMode="External"/><Relationship Id="rId78" Type="http://schemas.openxmlformats.org/officeDocument/2006/relationships/hyperlink" Target="https://www.mdpi.com/journal/energies" TargetMode="External"/><Relationship Id="rId71" Type="http://schemas.openxmlformats.org/officeDocument/2006/relationships/hyperlink" Target="https://link.springer.com/article/10.1007/s11192-023-04655-z" TargetMode="External"/><Relationship Id="rId70" Type="http://schemas.openxmlformats.org/officeDocument/2006/relationships/hyperlink" Target="https://1510qkb1a-y-https-www-webofscience-com.z.e-nformation.ro/wos/woscc/full-record/WOS:000936491000001" TargetMode="External"/><Relationship Id="rId139" Type="http://schemas.openxmlformats.org/officeDocument/2006/relationships/hyperlink" Target="https://www.scopus.com/record/display.uri?eid=2-s2.0-85149231952&amp;origin=resultslist" TargetMode="External"/><Relationship Id="rId138" Type="http://schemas.openxmlformats.org/officeDocument/2006/relationships/hyperlink" Target="https://doi.org/10.24425/amm.2023.145461" TargetMode="External"/><Relationship Id="rId137" Type="http://schemas.openxmlformats.org/officeDocument/2006/relationships/hyperlink" Target="https://0m10mkt1i-y-https-www-webofscience-com.z.e-nformation.ro/wos/woscc/full-record/WOS:001106664500008" TargetMode="External"/><Relationship Id="rId132" Type="http://schemas.openxmlformats.org/officeDocument/2006/relationships/hyperlink" Target="https://doi.org/10.3390/f14101935" TargetMode="External"/><Relationship Id="rId131" Type="http://schemas.openxmlformats.org/officeDocument/2006/relationships/hyperlink" Target="https://0m10mkt1i-y-https-www-webofscience-com.z.e-nformation.ro/wos/woscc/full-record/WOS:001095176800001" TargetMode="External"/><Relationship Id="rId130" Type="http://schemas.openxmlformats.org/officeDocument/2006/relationships/hyperlink" Target="https://atna-mam.utcluj.ro/index.php/Acta/article/view/2142" TargetMode="External"/><Relationship Id="rId136" Type="http://schemas.openxmlformats.org/officeDocument/2006/relationships/hyperlink" Target="https://doi.org/10.24425/amm.2023.145460" TargetMode="External"/><Relationship Id="rId135" Type="http://schemas.openxmlformats.org/officeDocument/2006/relationships/hyperlink" Target="https://0m10mkt1i-y-https-www-webofscience-com.z.e-nformation.ro/wos/woscc/full-record/WOS:001106664500007" TargetMode="External"/><Relationship Id="rId134" Type="http://schemas.openxmlformats.org/officeDocument/2006/relationships/hyperlink" Target="https://doi.org/10.3390/su152316206" TargetMode="External"/><Relationship Id="rId133" Type="http://schemas.openxmlformats.org/officeDocument/2006/relationships/hyperlink" Target="https://0m10mkt1i-y-https-www-webofscience-com.z.e-nformation.ro/wos/woscc/full-record/WOS:001116065800001" TargetMode="External"/><Relationship Id="rId62" Type="http://schemas.openxmlformats.org/officeDocument/2006/relationships/hyperlink" Target="https://doi.org/10.3390/su152015143" TargetMode="External"/><Relationship Id="rId61" Type="http://schemas.openxmlformats.org/officeDocument/2006/relationships/hyperlink" Target="https://www.mdpi.com/2071-1050/15/20/15143" TargetMode="External"/><Relationship Id="rId64" Type="http://schemas.openxmlformats.org/officeDocument/2006/relationships/hyperlink" Target="https://www.mdpi.com/2076-3417/13/18/10181" TargetMode="External"/><Relationship Id="rId63" Type="http://schemas.openxmlformats.org/officeDocument/2006/relationships/hyperlink" Target="https://www.webofscience.com/wos/woscc/full-record/WOS:001145085600001" TargetMode="External"/><Relationship Id="rId66" Type="http://schemas.openxmlformats.org/officeDocument/2006/relationships/hyperlink" Target="https://sciendo.com/article/10.2478/sbe-2023-0030" TargetMode="External"/><Relationship Id="rId172" Type="http://schemas.openxmlformats.org/officeDocument/2006/relationships/hyperlink" Target="https://www.sciencedirect.com/science/article/pii/S2214157X2300878X" TargetMode="External"/><Relationship Id="rId65" Type="http://schemas.openxmlformats.org/officeDocument/2006/relationships/hyperlink" Target="https://doi.org/10.3390/app131810181" TargetMode="External"/><Relationship Id="rId171" Type="http://schemas.openxmlformats.org/officeDocument/2006/relationships/hyperlink" Target="https://1y10qdmy8-y-https-www-webofscience-com.z.e-nformation.ro/wos/woscc/full-record/WOS:001097316800001" TargetMode="External"/><Relationship Id="rId68" Type="http://schemas.openxmlformats.org/officeDocument/2006/relationships/hyperlink" Target="https://1510qkb1a-y-https-www-webofscience-com.z.e-nformation.ro/wos/woscc/full-record/WOS:001056289900001" TargetMode="External"/><Relationship Id="rId170" Type="http://schemas.openxmlformats.org/officeDocument/2006/relationships/hyperlink" Target="https://www.sciencedirect.com/science/article/pii/S0142941823003604" TargetMode="External"/><Relationship Id="rId67" Type="http://schemas.openxmlformats.org/officeDocument/2006/relationships/hyperlink" Target="https://sciendo.com/article/10.2478/sbe-2023-0005" TargetMode="External"/><Relationship Id="rId60" Type="http://schemas.openxmlformats.org/officeDocument/2006/relationships/hyperlink" Target="https://www.webofscience.com/wos/woscc/full-record/WOS:001089466600001" TargetMode="External"/><Relationship Id="rId165" Type="http://schemas.openxmlformats.org/officeDocument/2006/relationships/hyperlink" Target="https://www.webofscience.com/wos/woscc/full-record/WOS:000941590100001" TargetMode="External"/><Relationship Id="rId69" Type="http://schemas.openxmlformats.org/officeDocument/2006/relationships/hyperlink" Target="https://www.mdpi.com/2071-1050/15/7/6140" TargetMode="External"/><Relationship Id="rId164" Type="http://schemas.openxmlformats.org/officeDocument/2006/relationships/hyperlink" Target="https://link.springer.com/chapter/10.1007/978-3-031-23463-7_1" TargetMode="External"/><Relationship Id="rId163" Type="http://schemas.openxmlformats.org/officeDocument/2006/relationships/hyperlink" Target="https://www.webofscience.com/wos/woscc/full-record/WOS:000982537700001" TargetMode="External"/><Relationship Id="rId162" Type="http://schemas.openxmlformats.org/officeDocument/2006/relationships/hyperlink" Target="https://managementjournal.usamv.ro/pdf/vol.23_1/Art33.pdf" TargetMode="External"/><Relationship Id="rId169" Type="http://schemas.openxmlformats.org/officeDocument/2006/relationships/hyperlink" Target="https://1y10qdmy8-y-https-www-webofscience-com.z.e-nformation.ro/wos/woscc/full-record/WOS:001121072300001" TargetMode="External"/><Relationship Id="rId168" Type="http://schemas.openxmlformats.org/officeDocument/2006/relationships/hyperlink" Target="https://www.webofscience.com/wos/woscc/full-record/WOS:001085496900001?SID=EUW1ED0CE7n0kLq39IEp0hDVNRU2c" TargetMode="External"/><Relationship Id="rId167" Type="http://schemas.openxmlformats.org/officeDocument/2006/relationships/hyperlink" Target="https://www.webofscience.com/wos/woscc/full-record/WOS:001017257400001?SID=EUW1ED0CE7n0kLq39IEp0hDVNRU2c" TargetMode="External"/><Relationship Id="rId166" Type="http://schemas.openxmlformats.org/officeDocument/2006/relationships/hyperlink" Target="https://www.mdpi.com/1996-1944/16/4/1644" TargetMode="External"/><Relationship Id="rId51" Type="http://schemas.openxmlformats.org/officeDocument/2006/relationships/hyperlink" Target="https://www.webofscience.com/wos/woscc/full-record/WOS:001145085600001" TargetMode="External"/><Relationship Id="rId50" Type="http://schemas.openxmlformats.org/officeDocument/2006/relationships/hyperlink" Target="https://doi.org/10.3390/machines11030385" TargetMode="External"/><Relationship Id="rId53" Type="http://schemas.openxmlformats.org/officeDocument/2006/relationships/hyperlink" Target="https://www.scopus.com/record/display.uri?eid=2-s2.0-85173567169&amp;origin=resultslist&amp;sort=plf-f&amp;src=s&amp;sid=83b8a4d0ee0739ac5fbad1f87c2e28f2&amp;sot=b&amp;sdt=b&amp;s=AUTHOR-NAME%28cosmin+preda%29&amp;sl=25&amp;sessionSearchId=83b8a4d0ee0739ac5fbad1f87c2e28f2&amp;relpos=0" TargetMode="External"/><Relationship Id="rId52" Type="http://schemas.openxmlformats.org/officeDocument/2006/relationships/hyperlink" Target="https://doi.org/10.3390/app131810181" TargetMode="External"/><Relationship Id="rId55" Type="http://schemas.openxmlformats.org/officeDocument/2006/relationships/hyperlink" Target="https://www.scopus.com/record/display.uri?eid=2-s2.0-85173556960&amp;origin=resultslist" TargetMode="External"/><Relationship Id="rId161" Type="http://schemas.openxmlformats.org/officeDocument/2006/relationships/hyperlink" Target="https://www.webofscience.com/wos/woscc/full-record/WOS:000989840300032" TargetMode="External"/><Relationship Id="rId54" Type="http://schemas.openxmlformats.org/officeDocument/2006/relationships/hyperlink" Target="https://iopscience.iop.org/article/10.1088/1742-6596/2540/1/012022" TargetMode="External"/><Relationship Id="rId160" Type="http://schemas.openxmlformats.org/officeDocument/2006/relationships/hyperlink" Target="https://www.mdpi.com/2227-9717/11/2/335" TargetMode="External"/><Relationship Id="rId57" Type="http://schemas.openxmlformats.org/officeDocument/2006/relationships/hyperlink" Target="https://1510qkncv-y-https-www-webofscience-com.z.e-nformation.ro/wos/woscc/full-record/WOS:001053938300001" TargetMode="External"/><Relationship Id="rId56" Type="http://schemas.openxmlformats.org/officeDocument/2006/relationships/hyperlink" Target="https://iopscience-iop-org.translate.goog/article/10.1088/1742-6596/2540/1/012031/meta?_x_tr_sl=en&amp;_x_tr_tl=ro&amp;_x_tr_hl=ro&amp;_x_tr_pto=sc" TargetMode="External"/><Relationship Id="rId159" Type="http://schemas.openxmlformats.org/officeDocument/2006/relationships/hyperlink" Target="https://www.webofscience.com/wos/woscc/full-record/WOS:000942295400001" TargetMode="External"/><Relationship Id="rId59" Type="http://schemas.openxmlformats.org/officeDocument/2006/relationships/hyperlink" Target="https://doi.org/10.3389/fams.2023.1210404" TargetMode="External"/><Relationship Id="rId154" Type="http://schemas.openxmlformats.org/officeDocument/2006/relationships/hyperlink" Target="https://www.frontiersin.org/journals/psychology/articles/10.3389/fpsyg.2023.1160046/full" TargetMode="External"/><Relationship Id="rId58" Type="http://schemas.openxmlformats.org/officeDocument/2006/relationships/hyperlink" Target="https://www.frontiersin.org/articles/10.3389/fams.2023.1210404/full" TargetMode="External"/><Relationship Id="rId153" Type="http://schemas.openxmlformats.org/officeDocument/2006/relationships/hyperlink" Target="https://www.webofscience.com/wos/woscc/full-record/WOS:001085496900001" TargetMode="External"/><Relationship Id="rId152" Type="http://schemas.openxmlformats.org/officeDocument/2006/relationships/hyperlink" Target="https://www.mdpi.com/2313-4321/8/5/69" TargetMode="External"/><Relationship Id="rId151" Type="http://schemas.openxmlformats.org/officeDocument/2006/relationships/hyperlink" Target="https://www.webofscience.com/wos/woscc/full-record/WOS:001095227500001" TargetMode="External"/><Relationship Id="rId158" Type="http://schemas.openxmlformats.org/officeDocument/2006/relationships/hyperlink" Target="https://link.springer.com/article/10.1007/s11356-023-25718-x" TargetMode="External"/><Relationship Id="rId157" Type="http://schemas.openxmlformats.org/officeDocument/2006/relationships/hyperlink" Target="https://www.webofscience.com/wos/woscc/full-record/WOS:000930833200003" TargetMode="External"/><Relationship Id="rId156" Type="http://schemas.openxmlformats.org/officeDocument/2006/relationships/hyperlink" Target="https://www.mdpi.com/2071-1050/15/15/11908" TargetMode="External"/><Relationship Id="rId155" Type="http://schemas.openxmlformats.org/officeDocument/2006/relationships/hyperlink" Target="https://www.webofscience.com/wos/woscc/full-record/WOS:001045828000001" TargetMode="External"/><Relationship Id="rId107" Type="http://schemas.openxmlformats.org/officeDocument/2006/relationships/hyperlink" Target="https://0m10mkt1i-y-https-www-webofscience-com.z.e-nformation.ro/wos/woscc/full-record/WOS:000940742500001" TargetMode="External"/><Relationship Id="rId106" Type="http://schemas.openxmlformats.org/officeDocument/2006/relationships/hyperlink" Target="https://doi.org/10.3390/ma16041724" TargetMode="External"/><Relationship Id="rId105" Type="http://schemas.openxmlformats.org/officeDocument/2006/relationships/hyperlink" Target="https://0m10mkt1i-y-https-www-webofscience-com.z.e-nformation.ro/wos/woscc/full-record/WOS:000939959800001" TargetMode="External"/><Relationship Id="rId104" Type="http://schemas.openxmlformats.org/officeDocument/2006/relationships/hyperlink" Target="https://doi.org/10.3390/coatings13040701" TargetMode="External"/><Relationship Id="rId109" Type="http://schemas.openxmlformats.org/officeDocument/2006/relationships/hyperlink" Target="https://0m10ekt3t-y-https-www-scopus-com.z.e-nformation.ro/record/display.uri?eid=2-s2.0-85173562975&amp;origin=resultslist&amp;sort=plf-f&amp;src=s&amp;sid=76b5c21b5b3900c9fbd895e0114a327d&amp;sot=b&amp;sdt=b&amp;s=DOI%2810.1088%2F1742-6596%2F2540%2F1%2F012001%29&amp;sl=36&amp;sessionSearchId=76b5c21b5b3900c9fbd895e0114a327d&amp;relpos=0" TargetMode="External"/><Relationship Id="rId108" Type="http://schemas.openxmlformats.org/officeDocument/2006/relationships/hyperlink" Target="https://doi.org/10.3390/ma16041723" TargetMode="External"/><Relationship Id="rId103" Type="http://schemas.openxmlformats.org/officeDocument/2006/relationships/hyperlink" Target="https://0m10mkt1i-y-https-www-webofscience-com.z.e-nformation.ro/wos/woscc/full-record/WOS:000981748700001" TargetMode="External"/><Relationship Id="rId102" Type="http://schemas.openxmlformats.org/officeDocument/2006/relationships/hyperlink" Target="https://doi.org/10.3390/coatings13061054" TargetMode="External"/><Relationship Id="rId101" Type="http://schemas.openxmlformats.org/officeDocument/2006/relationships/hyperlink" Target="https://0m10mkt1i-y-https-www-webofscience-com.z.e-nformation.ro/wos/woscc/full-record/WOS:001014208000001" TargetMode="External"/><Relationship Id="rId100" Type="http://schemas.openxmlformats.org/officeDocument/2006/relationships/hyperlink" Target="https://doi.org/10.3390/coatings13081460" TargetMode="External"/><Relationship Id="rId129" Type="http://schemas.openxmlformats.org/officeDocument/2006/relationships/hyperlink" Target="https://0m10mkt1i-y-https-www-webofscience-com.z.e-nformation.ro/wos/woscc/full-record/WOS:001044548800015" TargetMode="External"/><Relationship Id="rId128" Type="http://schemas.openxmlformats.org/officeDocument/2006/relationships/hyperlink" Target="https://atna-mam.utcluj.ro/index.php/Acta/article/view/2195" TargetMode="External"/><Relationship Id="rId127" Type="http://schemas.openxmlformats.org/officeDocument/2006/relationships/hyperlink" Target="https://0m10mkt1i-y-https-www-webofscience-com.z.e-nformation.ro/wos/woscc/full-record/WOS:001106401600005" TargetMode="External"/><Relationship Id="rId126" Type="http://schemas.openxmlformats.org/officeDocument/2006/relationships/hyperlink" Target="https://atna-mam.utcluj.ro/index.php/Acta/article/view/2224" TargetMode="External"/><Relationship Id="rId121" Type="http://schemas.openxmlformats.org/officeDocument/2006/relationships/hyperlink" Target="https://0m10mkt1i-y-https-www-webofscience-com.z.e-nformation.ro/wos/woscc/full-record/WOS:001134913900019" TargetMode="External"/><Relationship Id="rId120" Type="http://schemas.openxmlformats.org/officeDocument/2006/relationships/hyperlink" Target="https://atna-mam.utcluj.ro/index.php/Acta/article/view/2227" TargetMode="External"/><Relationship Id="rId125" Type="http://schemas.openxmlformats.org/officeDocument/2006/relationships/hyperlink" Target="https://0m10mkt1i-y-https-www-webofscience-com.z.e-nformation.ro/wos/woscc/full-record/WOS:001134913900014" TargetMode="External"/><Relationship Id="rId124" Type="http://schemas.openxmlformats.org/officeDocument/2006/relationships/hyperlink" Target="https://atna-mam.utcluj.ro/index.php/Acta/article/view/2218" TargetMode="External"/><Relationship Id="rId123" Type="http://schemas.openxmlformats.org/officeDocument/2006/relationships/hyperlink" Target="https://0m10mkt1i-y-https-www-webofscience-com.z.e-nformation.ro/wos/woscc/full-record/WOS:001134913900011" TargetMode="External"/><Relationship Id="rId122" Type="http://schemas.openxmlformats.org/officeDocument/2006/relationships/hyperlink" Target="https://atna-mam.utcluj.ro/index.php/Acta/article/view/2222" TargetMode="External"/><Relationship Id="rId95" Type="http://schemas.openxmlformats.org/officeDocument/2006/relationships/hyperlink" Target="https://0m10mkh28-y-https-www-webofscience-com.z.e-nformation.ro/wos/woscc/full-record/WOS:000940525500014" TargetMode="External"/><Relationship Id="rId94" Type="http://schemas.openxmlformats.org/officeDocument/2006/relationships/hyperlink" Target="https://doi.org/10.3390/polym15020347" TargetMode="External"/><Relationship Id="rId97" Type="http://schemas.openxmlformats.org/officeDocument/2006/relationships/hyperlink" Target="https://0m10mkt1i-y-https-www-webofscience-com.z.e-nformation.ro/wos/woscc/full-record/WOS:000960449800001" TargetMode="External"/><Relationship Id="rId96" Type="http://schemas.openxmlformats.org/officeDocument/2006/relationships/hyperlink" Target="https://doi.org/10.35530/IT.074.01.202281" TargetMode="External"/><Relationship Id="rId99" Type="http://schemas.openxmlformats.org/officeDocument/2006/relationships/hyperlink" Target="https://0m10mkt1i-y-https-www-webofscience-com.z.e-nformation.ro/wos/woscc/full-record/WOS:001057465000001" TargetMode="External"/><Relationship Id="rId98" Type="http://schemas.openxmlformats.org/officeDocument/2006/relationships/hyperlink" Target="https://doi.org/10.3390/pr11030779" TargetMode="External"/><Relationship Id="rId91" Type="http://schemas.openxmlformats.org/officeDocument/2006/relationships/hyperlink" Target="https://link.springer.com/chapter/10.1007/978-3-031-24291-5_34" TargetMode="External"/><Relationship Id="rId90" Type="http://schemas.openxmlformats.org/officeDocument/2006/relationships/hyperlink" Target="https://www.scopus.com/record/display.uri?eid=2-s2.0-85148768606&amp;doi=10.1007%2f978-3-031-24291-5_34&amp;origin=inward&amp;txGid=e46189827fb38e3aff01d42e87f91ccc" TargetMode="External"/><Relationship Id="rId93" Type="http://schemas.openxmlformats.org/officeDocument/2006/relationships/hyperlink" Target="https://0m10mkh28-y-https-www-webofscience-com.z.e-nformation.ro/wos/woscc/full-record/WOS:000916163100001" TargetMode="External"/><Relationship Id="rId92" Type="http://schemas.openxmlformats.org/officeDocument/2006/relationships/hyperlink" Target="https://doi.org/10.1007/978-3-031-24291-5_34" TargetMode="External"/><Relationship Id="rId118" Type="http://schemas.openxmlformats.org/officeDocument/2006/relationships/hyperlink" Target="https://doi.org/10.17683/ijomam/issue14.4" TargetMode="External"/><Relationship Id="rId117" Type="http://schemas.openxmlformats.org/officeDocument/2006/relationships/hyperlink" Target="https://0m10ekt3t-y-https-www-scopus-com.z.e-nformation.ro/record/display.uri?eid=2-s2.0-85178471833&amp;origin=resultslist&amp;sort=plf-f&amp;src=s&amp;sid=4e250e39d6db9c233bb30d14079ae171&amp;sot=b&amp;sdt=b&amp;s=ALL%28Enhancing+collaborative+robot+communication+with+Electrical+Discharge+Machine+through+modbus+TCP+integration%3A+a+feasibility+and+application+study%29&amp;sl=30&amp;sessionSearchId=4e250e39d6db9c233bb30d14079ae171&amp;relpos=0" TargetMode="External"/><Relationship Id="rId116" Type="http://schemas.openxmlformats.org/officeDocument/2006/relationships/hyperlink" Target="https://doi.org/10.17683/ijomam/issue13.7" TargetMode="External"/><Relationship Id="rId115" Type="http://schemas.openxmlformats.org/officeDocument/2006/relationships/hyperlink" Target="https://0m10ekt3t-y-https-www-scopus-com.z.e-nformation.ro/record/display.uri?eid=2-s2.0-85165195762&amp;origin=resultslist&amp;sort=plf-f&amp;src=s&amp;sid=aaf98753ff1a4509259c759fcf7f877d&amp;sot=b&amp;sdt=b&amp;s=DOI%2810.17683%2Fijomam%2Fissue13.7%29&amp;sl=31&amp;sessionSearchId=aaf98753ff1a4509259c759fcf7f877d&amp;relpos=0" TargetMode="External"/><Relationship Id="rId119" Type="http://schemas.openxmlformats.org/officeDocument/2006/relationships/hyperlink" Target="https://0m10mkt1i-y-https-www-webofscience-com.z.e-nformation.ro/wos/woscc/full-record/WOS:001134913900015" TargetMode="External"/><Relationship Id="rId110" Type="http://schemas.openxmlformats.org/officeDocument/2006/relationships/hyperlink" Target="https://doi.org/10.1088/1742-6596/2540/1/012001" TargetMode="External"/><Relationship Id="rId114" Type="http://schemas.openxmlformats.org/officeDocument/2006/relationships/hyperlink" Target="https://doi.org/10.17683/ijomam/issue13.16" TargetMode="External"/><Relationship Id="rId113" Type="http://schemas.openxmlformats.org/officeDocument/2006/relationships/hyperlink" Target="https://0m10ekt3t-y-https-www-scopus-com.z.e-nformation.ro/record/display.uri?eid=2-s2.0-85165191480&amp;origin=resultslist&amp;sort=plf-f&amp;src=s&amp;sid=aaf98753ff1a4509259c759fcf7f877d&amp;sot=b&amp;sdt=b&amp;s=DOI%2810.17683%2Fijomam%2Fissue13.16%29&amp;sl=31&amp;sessionSearchId=aaf98753ff1a4509259c759fcf7f877d&amp;relpos=0" TargetMode="External"/><Relationship Id="rId112" Type="http://schemas.openxmlformats.org/officeDocument/2006/relationships/hyperlink" Target="https://doi.org/10.3390/su15118516" TargetMode="External"/><Relationship Id="rId111" Type="http://schemas.openxmlformats.org/officeDocument/2006/relationships/hyperlink" Target="https://0m10mkt1i-y-https-www-webofscience-com.z.e-nformation.ro/wos/woscc/full-record/WOS:001004646600001"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www.cjsibiu.ro/proiecte/energie-verde/" TargetMode="External"/><Relationship Id="rId2" Type="http://schemas.openxmlformats.org/officeDocument/2006/relationships/hyperlink" Target="http://www.cjsibiu.ro/proiecte/energie-verde/" TargetMode="External"/><Relationship Id="rId3" Type="http://schemas.openxmlformats.org/officeDocument/2006/relationships/hyperlink" Target="http://www.cjsibiu.ro/proiecte/energie-verde/" TargetMode="External"/><Relationship Id="rId4" Type="http://schemas.openxmlformats.org/officeDocument/2006/relationships/hyperlink" Target="http://www.cjsibiu.ro/proiecte/energie-verde/" TargetMode="External"/><Relationship Id="rId5"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zem.utcluj.ro/informatii-participanti/rezultate-finale-zem-2023/" TargetMode="External"/><Relationship Id="rId2" Type="http://schemas.openxmlformats.org/officeDocument/2006/relationships/hyperlink" Target="https://zem.utcluj.ro/" TargetMode="External"/><Relationship Id="rId3" Type="http://schemas.openxmlformats.org/officeDocument/2006/relationships/hyperlink" Target="https://zem.utcluj.ro/" TargetMode="External"/><Relationship Id="rId4" Type="http://schemas.openxmlformats.org/officeDocument/2006/relationships/hyperlink" Target="https://zem.utcluj.ro/" TargetMode="External"/><Relationship Id="rId9" Type="http://schemas.openxmlformats.org/officeDocument/2006/relationships/hyperlink" Target="https://www.cadetinova.ro/documente/Premii_Inova_23.pdf" TargetMode="External"/><Relationship Id="rId5" Type="http://schemas.openxmlformats.org/officeDocument/2006/relationships/hyperlink" Target="https://zem.utcluj.ro/" TargetMode="External"/><Relationship Id="rId6" Type="http://schemas.openxmlformats.org/officeDocument/2006/relationships/hyperlink" Target="https://zem.utcluj.ro/informatii-participanti/rezultate-finale-zem-2023/" TargetMode="External"/><Relationship Id="rId7" Type="http://schemas.openxmlformats.org/officeDocument/2006/relationships/hyperlink" Target="https://inginerie.ulbsibiu.ro/dep.iim/?p=1295" TargetMode="External"/><Relationship Id="rId8" Type="http://schemas.openxmlformats.org/officeDocument/2006/relationships/hyperlink" Target="https://fiesc.usv.ro/ice-usv/" TargetMode="External"/><Relationship Id="rId11" Type="http://schemas.openxmlformats.org/officeDocument/2006/relationships/hyperlink" Target="https://fiesc.usv.ro/ice-usv/" TargetMode="External"/><Relationship Id="rId10" Type="http://schemas.openxmlformats.org/officeDocument/2006/relationships/hyperlink" Target="https://www.cadetinova.ro/documente/Premii_Inova_23.pdf" TargetMode="External"/><Relationship Id="rId13" Type="http://schemas.openxmlformats.org/officeDocument/2006/relationships/hyperlink" Target="https://fiesc.usv.ro/ice-usv/" TargetMode="External"/><Relationship Id="rId12" Type="http://schemas.openxmlformats.org/officeDocument/2006/relationships/hyperlink" Target="https://fiesc.usv.ro/ice-usv/" TargetMode="External"/><Relationship Id="rId15" Type="http://schemas.openxmlformats.org/officeDocument/2006/relationships/hyperlink" Target="https://www.cadetinova.ro/documente/Premii_Inova_23.pdf" TargetMode="External"/><Relationship Id="rId14" Type="http://schemas.openxmlformats.org/officeDocument/2006/relationships/hyperlink" Target="https://fiesc.usv.ro/ice-usv/" TargetMode="External"/><Relationship Id="rId17" Type="http://schemas.openxmlformats.org/officeDocument/2006/relationships/drawing" Target="../drawings/drawing22.xml"/><Relationship Id="rId16" Type="http://schemas.openxmlformats.org/officeDocument/2006/relationships/hyperlink" Target="https://www.cadetinova.ro/documente/Premii_Inova_23.pdf" TargetMode="Externa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www.cnatdcu.ro/paneluri-cnatdcu/incepand-cu-data-de-7-septembrie-2012/stiinte-ingineresti/comisia-de-inginerie-industriala-si-management/" TargetMode="External"/><Relationship Id="rId2" Type="http://schemas.openxmlformats.org/officeDocument/2006/relationships/hyperlink" Target="http://www.cnatdcu.ro/paneluri-cnatdcu/" TargetMode="External"/><Relationship Id="rId3"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9.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hyperlink" Target="https://www.ulbsibiu.ro/wp-content/uploads/documents/ca/2023/Anexa-2_Birourile-electorale-ale-sectiilor-de-votare.pdf" TargetMode="External"/><Relationship Id="rId2"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hyperlink" Target="http://www.cnfis.ro/wp-content/uploads/2023/03/Lista-proiecte-FDI-2023_rezultate-preliminare.pdf" TargetMode="External"/><Relationship Id="rId2" Type="http://schemas.openxmlformats.org/officeDocument/2006/relationships/hyperlink" Target="https://websites.auth.gr/odlep/" TargetMode="External"/><Relationship Id="rId3"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mfe.gov.ro/wp-content/uploads/2023/08/3ff0f432f163054ec0eac505477f20a5-1.pdf"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90" Type="http://schemas.openxmlformats.org/officeDocument/2006/relationships/hyperlink" Target="https://link.springer.com/chapter/10.1007/978-3-031-24978-5_10" TargetMode="External"/><Relationship Id="rId194" Type="http://schemas.openxmlformats.org/officeDocument/2006/relationships/hyperlink" Target="https://15109l4d0-y-https-www-scopus-com.z.e-nformation.ro/record/display.uri?eid=2-s2.0-85175837561&amp;origin=resultslist&amp;sort=plf-f&amp;src=s&amp;sid=3a1aef75bb402a4e35e6b227c02a42ae&amp;sot=b&amp;sdt=b&amp;s=TITLE-ABS-KEY%28Effects+of+mechanical+recycling+on+the+properties+of+glass+fiber-reinforced+polyamide+66+composites+in+automotive+components%29&amp;sl=104&amp;sessionSearchId=3a1aef75bb402a4e35e6b227c02a42ae&amp;relpos=0" TargetMode="External"/><Relationship Id="rId193" Type="http://schemas.openxmlformats.org/officeDocument/2006/relationships/hyperlink" Target="https://sciendo.com/article/10.2478/ama-2023-0056?tab=references" TargetMode="External"/><Relationship Id="rId192" Type="http://schemas.openxmlformats.org/officeDocument/2006/relationships/hyperlink" Target="https://www.mdpi.com/1996-1944/16/23/7266" TargetMode="External"/><Relationship Id="rId191" Type="http://schemas.openxmlformats.org/officeDocument/2006/relationships/hyperlink" Target="https://www.scopus.com/record/display.uri?eid=2-s2.0-85148228684&amp;origin=resultslist&amp;sort=plf-f&amp;src=s&amp;sid=c7e0b3287e1af433f908b5b9687be20b&amp;sot=b&amp;sdt=b&amp;s=ALL%28Abrasion+Thermo-transference+Fabric+Vinyl+Resistance+and+Its+Application+in+Haptics+Perception+Stimuli%29&amp;sl=34&amp;sessionSearchId=c7e0b3287e1af433f908b5b9687be20b&amp;relpos=0" TargetMode="External"/><Relationship Id="rId187" Type="http://schemas.openxmlformats.org/officeDocument/2006/relationships/hyperlink" Target="https://www.webofscience.com/wos/woscc/full-record/WOS:001062804400001" TargetMode="External"/><Relationship Id="rId186" Type="http://schemas.openxmlformats.org/officeDocument/2006/relationships/hyperlink" Target="https://www.sciencedirect.com/science/article/abs/pii/S1290072923004556?via%3Dihub" TargetMode="External"/><Relationship Id="rId185" Type="http://schemas.openxmlformats.org/officeDocument/2006/relationships/hyperlink" Target="https://www.webofscience.com/wos/woscc/full-record/WOS:000954785900001" TargetMode="External"/><Relationship Id="rId184" Type="http://schemas.openxmlformats.org/officeDocument/2006/relationships/hyperlink" Target="https://www.sciencedirect.com/science/article/abs/pii/S2211285523001465?via%3Dihub" TargetMode="External"/><Relationship Id="rId189" Type="http://schemas.openxmlformats.org/officeDocument/2006/relationships/hyperlink" Target="https://www.webofscience.com/wos/woscc/full-record/WOS:000914936200001?AlertId=9f961575-b1a7-4d8d-80ad-8b6c8857f4f7&amp;SID=EUW1ED0EEEp6kxOPqLVZxU8F8KNuf,%20SCOPUS" TargetMode="External"/><Relationship Id="rId188" Type="http://schemas.openxmlformats.org/officeDocument/2006/relationships/hyperlink" Target="https://link.springer.com/article/10.1007/s10570-023-05052-8" TargetMode="External"/><Relationship Id="rId183" Type="http://schemas.openxmlformats.org/officeDocument/2006/relationships/hyperlink" Target="https://www.webofscience.com/wos/woscc/full-record/WOS:000980508000001" TargetMode="External"/><Relationship Id="rId182" Type="http://schemas.openxmlformats.org/officeDocument/2006/relationships/hyperlink" Target="https://link.springer.com/article/10.1007/s12283-023-00417-5" TargetMode="External"/><Relationship Id="rId181" Type="http://schemas.openxmlformats.org/officeDocument/2006/relationships/hyperlink" Target="https://www.scopus.com/record/display.uri?eid=2-s2.0-85161096720&amp;origin=resultslist&amp;sort=plf-f&amp;src=s&amp;sid=b56c310fadcd06d50ba08b1ab850af96&amp;sot=b&amp;sdt=b&amp;s=TITLE-ABS-KEY%28Autonomous+Path+Planning+for+Industrial+Omnidirectional+AGV+Based+on+Mechatronic+Engineering+Intelligent+Optical+Sensors%29&amp;sl=83&amp;sessionSearchId=b56c310fadcd06d50ba08b1ab850af96&amp;relpos=0" TargetMode="External"/><Relationship Id="rId180" Type="http://schemas.openxmlformats.org/officeDocument/2006/relationships/hyperlink" Target="https://www.scopus.com/record/display.uri?eid=2-s2.0-85171381033&amp;origin=resultslist&amp;sort=plf-f" TargetMode="External"/><Relationship Id="rId176" Type="http://schemas.openxmlformats.org/officeDocument/2006/relationships/hyperlink" Target="https://www.webofscience.com/wos/woscc/full-record/WOS:001036820200001" TargetMode="External"/><Relationship Id="rId175" Type="http://schemas.openxmlformats.org/officeDocument/2006/relationships/hyperlink" Target="https://www.scopus.com/record/display.uri?eid=2-s2.0-85174967772&amp;origin=resultslist&amp;sort=plf-f&amp;src=s&amp;sid=63b72e0fa6880f08649601bb3b5b11ed&amp;sot=b&amp;sdt=b&amp;s=TITLE-ABS-KEY%28Comparative+Analysis+of+Springback+Compensation+for+Various+Profiles+in+Incremental+Forming%29&amp;sl=116&amp;sessionSearchId=63b72e0fa6880f08649601bb3b5b11ed&amp;relpos=0" TargetMode="External"/><Relationship Id="rId174" Type="http://schemas.openxmlformats.org/officeDocument/2006/relationships/hyperlink" Target="https://www.scopus.com/record/display.uri?eid=2-s2.0-85174388928&amp;origin=resultslist&amp;sort=plf-f&amp;src=s&amp;sid=63b72e0fa6880f08649601bb3b5b11ed&amp;sot=b&amp;sdt=b&amp;s=TITLE-ABS-KEY%28Towards+Single+Point+Incremental+Forming+Accuracy%3A+An+Approach+for+the+Springback+Effect+Compensation%29&amp;sl=116&amp;sessionSearchId=63b72e0fa6880f08649601bb3b5b11ed&amp;relpos=0" TargetMode="External"/><Relationship Id="rId173" Type="http://schemas.openxmlformats.org/officeDocument/2006/relationships/hyperlink" Target="https://www.scopus.com/record/display.uri?eid=2-s2.0-85162847331&amp;origin=resultslist&amp;sort=plf-f&amp;cite=2-s2.0-85099959490&amp;src=s&amp;imp=t&amp;sid=44e6ee5a7eb45576728e1255a16941c7&amp;sot=cite&amp;sdt=a&amp;sl=0&amp;relpos=0&amp;citeCnt=0&amp;searchTerm=" TargetMode="External"/><Relationship Id="rId179" Type="http://schemas.openxmlformats.org/officeDocument/2006/relationships/hyperlink" Target="https://www.scopus.com/record/display.uri?eid=2-s2.0-85171381033&amp;origin=resultslist&amp;sort=plf-f" TargetMode="External"/><Relationship Id="rId178" Type="http://schemas.openxmlformats.org/officeDocument/2006/relationships/hyperlink" Target="https://www.webofscience.com/wos/woscc/full-record/WOS:001071742900001" TargetMode="External"/><Relationship Id="rId177" Type="http://schemas.openxmlformats.org/officeDocument/2006/relationships/hyperlink" Target="https://www.webofscience.com/wos/woscc/full-record/WOS:001062145900001" TargetMode="External"/><Relationship Id="rId198" Type="http://schemas.openxmlformats.org/officeDocument/2006/relationships/hyperlink" Target="https://onlinelibrary.wiley.com/doi/10.1002/9781119986454.ch13" TargetMode="External"/><Relationship Id="rId197" Type="http://schemas.openxmlformats.org/officeDocument/2006/relationships/hyperlink" Target="https://www.scopus.com/record/display.uri?eid=2-s2.0-85171490530&amp;origin=resultslist&amp;sort=plf-f&amp;src=s&amp;nlo=&amp;nlr=&amp;nls=&amp;citedAuthorId=57197396119&amp;imp=t&amp;sid=26591c611099eb29040fab4394dbdc74&amp;sot=cite&amp;sdt=cite&amp;cluster=scopubyr%2c%222023%22%2ct&amp;sl=0&amp;relpos=6&amp;citeCnt=0&amp;searchTerm=" TargetMode="External"/><Relationship Id="rId196" Type="http://schemas.openxmlformats.org/officeDocument/2006/relationships/hyperlink" Target="https://journals.sagepub.com/doi/abs/10.1177/09544054231194106?ai=1gvoi&amp;mi=3ricys&amp;af=R" TargetMode="External"/><Relationship Id="rId195" Type="http://schemas.openxmlformats.org/officeDocument/2006/relationships/hyperlink" Target="https://www.tandfonline.com/doi/pdf/10.1080/2374068X.2023.2280295?casa_token=NKEQwU6pZn4AAAAA:vCgVbPl49I_Fv-ufQ-kIxnG7hr4QxmOWWOg-QTkAPRYmEprKV2NKOCJAWhnGYlWbF9apk5OrAjnM" TargetMode="External"/><Relationship Id="rId199" Type="http://schemas.openxmlformats.org/officeDocument/2006/relationships/hyperlink" Target="https://link.springer.com/article/10.1007/s12008-023-01535-x" TargetMode="External"/><Relationship Id="rId150" Type="http://schemas.openxmlformats.org/officeDocument/2006/relationships/hyperlink" Target="https://www.scopus.com/record/display.uri?eid=2-s2.0-85174967772&amp;origin=resultslist&amp;sort=plf-f&amp;src=s&amp;sid=a9a1610ba323cfe3b6ebdeec461cd152&amp;sot=b&amp;sdt=b&amp;s=TITLE-ABS-KEY%28Comparative+Analysis+of+Springback+Compensation%29&amp;sl=64&amp;sessionSearchId=a9a1610ba323cfe3b6ebdeec461cd152&amp;relpos=0" TargetMode="External"/><Relationship Id="rId392" Type="http://schemas.openxmlformats.org/officeDocument/2006/relationships/hyperlink" Target="https://15109ibgj-y-https-www-scopus-com.z.e-nformation.ro/record/display.uri?eid=2-s2.0-85182158246&amp;citeCnt=3_DELIM_3_DELIM_CTODS_1766295878_DELIM_1&amp;origin=resultslist&amp;sort=plf-f&amp;refeid=2-s2.0-85130406724&amp;src=s&amp;imp=t&amp;sid=cf169d701278e0879c46da2466a9e73a&amp;sot=ctocbw&amp;sdt=a&amp;sl=15&amp;s=PUBYEAR+IS+2023&amp;relpos=0&amp;citeCnt=0&amp;searchTerm=" TargetMode="External"/><Relationship Id="rId391" Type="http://schemas.openxmlformats.org/officeDocument/2006/relationships/hyperlink" Target="https://1510qibbs-y-https-www-webofscience-com.z.e-nformation.ro/wos/woscc/full-record/WOS:001116640900001" TargetMode="External"/><Relationship Id="rId390" Type="http://schemas.openxmlformats.org/officeDocument/2006/relationships/hyperlink" Target="https://1510qaiwy-y-https-www-webofscience-com.z.e-nformation.ro/wos/woscc/full-record/WOS:001073556100001" TargetMode="External"/><Relationship Id="rId1" Type="http://schemas.openxmlformats.org/officeDocument/2006/relationships/hyperlink" Target="https://www.scopus.com/record/display.uri?eid=2-s2.0-85168096654&amp;origin=resultslist&amp;sort=plf-f&amp;src=s&amp;citedAuthorId=56184609800&amp;imp=t&amp;sid=931c4ceeb75c5711e0ac8b8b7608f983&amp;sot=cite&amp;sdt=cite&amp;cluster=scopubyr%2c%222023%22%2ct&amp;sl=0&amp;relpos=0&amp;citeCnt=3&amp;searchTerm=" TargetMode="External"/><Relationship Id="rId2" Type="http://schemas.openxmlformats.org/officeDocument/2006/relationships/hyperlink" Target="https://www.webofscience.com/wos/woscc/full-record/WOS:001022238600006" TargetMode="External"/><Relationship Id="rId3" Type="http://schemas.openxmlformats.org/officeDocument/2006/relationships/hyperlink" Target="https://doi.org/10.1007/s12008-023-01535-x," TargetMode="External"/><Relationship Id="rId149" Type="http://schemas.openxmlformats.org/officeDocument/2006/relationships/hyperlink" Target="https://www.scopus.com/record/display.uri?eid=2-s2.0-85174388928&amp;origin=resultslist&amp;sort=plf-f&amp;src=s&amp;sid=a9a1610ba323cfe3b6ebdeec461cd152&amp;sot=b&amp;sdt=b&amp;s=TITLE-ABS-KEY%28Towards+Single+Point+Incremental+Forming+Accuracy%29&amp;sl=64&amp;sessionSearchId=a9a1610ba323cfe3b6ebdeec461cd152&amp;relpos=1" TargetMode="External"/><Relationship Id="rId4" Type="http://schemas.openxmlformats.org/officeDocument/2006/relationships/hyperlink" Target="https://www.webofscience.com/wos/woscc/summary/f9d9268d-f756-4481-89d8-2f4426f839af-ec5ed961/relevance/1" TargetMode="External"/><Relationship Id="rId148" Type="http://schemas.openxmlformats.org/officeDocument/2006/relationships/hyperlink" Target="https://www.scopus.com/record/display.uri?eid=2-s2.0-85168096654&amp;origin=resultslist&amp;sort=plf-f&amp;src=s&amp;sid=c7e0b3287e1af433f908b5b9687be20b&amp;sot=b&amp;sdt=b&amp;s=DOI%2810.30678%2Ffjt.127844%29&amp;sl=34&amp;sessionSearchId=c7e0b3287e1af433f908b5b9687be20b&amp;relpos=0" TargetMode="External"/><Relationship Id="rId9" Type="http://schemas.openxmlformats.org/officeDocument/2006/relationships/hyperlink" Target="https://www.scopus.com/results/citedbyresults.uri?sort=plf-f&amp;refeid=2-s2.0-85081055133&amp;src=s&amp;imp=t&amp;sid=dd9a0fd111bc62fd7a4d57eea69a3ee8&amp;sot=ctocbw&amp;sdt=a&amp;sl=42&amp;s=PUBYEAR+IS+2023+AND+NOT+AU-ID%2835193491700%29&amp;origin=cto&amp;citeCnt=1_DELIM_1_DELIM_CTODS_1696722914_DELIM_1&amp;txGid=e8bef9bdc1829bc7def366ad2325b94c" TargetMode="External"/><Relationship Id="rId143" Type="http://schemas.openxmlformats.org/officeDocument/2006/relationships/hyperlink" Target="https://link.springer.com/article/10.1007/s12221-023-00055-5" TargetMode="External"/><Relationship Id="rId385" Type="http://schemas.openxmlformats.org/officeDocument/2006/relationships/hyperlink" Target="https://doi.org/10.1007/978-3-031-38241-3_13" TargetMode="External"/><Relationship Id="rId142" Type="http://schemas.openxmlformats.org/officeDocument/2006/relationships/hyperlink" Target="https://www.mdpi.com/2079-9284/11/1/1" TargetMode="External"/><Relationship Id="rId384" Type="http://schemas.openxmlformats.org/officeDocument/2006/relationships/hyperlink" Target="https://doi.org/10.1080/00207543.2023.2219344" TargetMode="External"/><Relationship Id="rId141" Type="http://schemas.openxmlformats.org/officeDocument/2006/relationships/hyperlink" Target="https://bmcoralhealth.biomedcentral.com/articles/10.1186/s12903-022-02703-3" TargetMode="External"/><Relationship Id="rId383" Type="http://schemas.openxmlformats.org/officeDocument/2006/relationships/hyperlink" Target="https://www.scopus.com/sourceid/21100903447?origin=resultslist" TargetMode="External"/><Relationship Id="rId140" Type="http://schemas.openxmlformats.org/officeDocument/2006/relationships/hyperlink" Target="https://www.mdpi.com/1996-1944/16/23/7266" TargetMode="External"/><Relationship Id="rId382" Type="http://schemas.openxmlformats.org/officeDocument/2006/relationships/hyperlink" Target="http://dx.doi.org/10.5267/j.uscm.2023.7.003" TargetMode="External"/><Relationship Id="rId5" Type="http://schemas.openxmlformats.org/officeDocument/2006/relationships/hyperlink" Target="https://doi.org/10.1177/16878132231160265," TargetMode="External"/><Relationship Id="rId147" Type="http://schemas.openxmlformats.org/officeDocument/2006/relationships/hyperlink" Target="https://www.scopus.com/record/display.uri?eid=2-s2.0-85151430561&amp;origin=resultslist&amp;sort=plf-f&amp;src=s&amp;sid=c7e0b3287e1af433f908b5b9687be20b&amp;sot=b&amp;sdt=b&amp;s=%28ALL%28evaluation+AND+of+AND+the+AND+dimensional+AND+accuracy+AND+through+AND+3d+AND+optical+AND+scanning+AND+in+AND+incremental+AND+sheet+AND+forming%29+AND+AUTH%28racz%29%29&amp;sl=34&amp;sessionSearchId=c7e0b3287e1af433f908b5b9687be20b&amp;relpos=0" TargetMode="External"/><Relationship Id="rId389" Type="http://schemas.openxmlformats.org/officeDocument/2006/relationships/hyperlink" Target="https://15109ibgj-y-https-www-scopus-com.z.e-nformation.ro/record/display.uri?eid=2-s2.0-85184829894&amp;citeCnt=3_DELIM_3_DELIM_CTODS_1766280744_DELIM_1&amp;origin=resultslist&amp;sort=plf-f&amp;refeid=2-s2.0-85120072931&amp;src=s&amp;imp=t&amp;sid=7fab23df470164e38f4d74c77d46000f&amp;sot=ctocbw&amp;sdt=a&amp;sl=15&amp;s=PUBYEAR+IS+2023&amp;relpos=1&amp;citeCnt=0&amp;searchTerm=" TargetMode="External"/><Relationship Id="rId6" Type="http://schemas.openxmlformats.org/officeDocument/2006/relationships/hyperlink" Target="https://doi.org/10.1007/s12008-023-01535-x," TargetMode="External"/><Relationship Id="rId146" Type="http://schemas.openxmlformats.org/officeDocument/2006/relationships/hyperlink" Target="https://www.scopus.com/record/display.uri?eid=2-s2.0-85151430561&amp;origin=resultslist&amp;sort=plf-f&amp;src=s&amp;sid=c7e0b3287e1af433f908b5b9687be20b&amp;sot=b&amp;sdt=b&amp;s=%28ALL%28evaluation+AND+of+AND+the+AND+dimensional+AND+accuracy+AND+through+AND+3d+AND+optical+AND+scanning+AND+in+AND+incremental+AND+sheet+AND+forming%29+AND+AUTH%28racz%29%29&amp;sl=34&amp;sessionSearchId=c7e0b3287e1af433f908b5b9687be20b&amp;relpos=0" TargetMode="External"/><Relationship Id="rId388" Type="http://schemas.openxmlformats.org/officeDocument/2006/relationships/hyperlink" Target="https://1510qibbs-y-https-www-webofscience-com.z.e-nformation.ro/wos/woscc/full-record/WOS:001112412700001" TargetMode="External"/><Relationship Id="rId7" Type="http://schemas.openxmlformats.org/officeDocument/2006/relationships/hyperlink" Target="https://www.webofscience.com/wos/woscc/full-record/WOS:001077399400002" TargetMode="External"/><Relationship Id="rId145" Type="http://schemas.openxmlformats.org/officeDocument/2006/relationships/hyperlink" Target="https://www.worldscientific.com/doi/abs/10.1142/S0218126623502882" TargetMode="External"/><Relationship Id="rId387" Type="http://schemas.openxmlformats.org/officeDocument/2006/relationships/hyperlink" Target="https://1510qaiwy-y-https-www-webofscience-com.z.e-nformation.ro/wos/woscc/full-record/WOS:000919958200001" TargetMode="External"/><Relationship Id="rId8" Type="http://schemas.openxmlformats.org/officeDocument/2006/relationships/hyperlink" Target="https://15109k46y-y-https-www-scopus-com.z.e-nformation.ro/record/display.uri?eid=2-s2.0-85184755429&amp;origin=resultslist&amp;sort=plf-f&amp;cite=2-s2.0-85081055133&amp;src=s&amp;imp=t&amp;sid=1ded6d4c9b81e88618b1a093a2cba891&amp;sot=cite&amp;sdt=a&amp;sl=0&amp;relpos=0&amp;citeCnt=1&amp;searchTerm=" TargetMode="External"/><Relationship Id="rId144" Type="http://schemas.openxmlformats.org/officeDocument/2006/relationships/hyperlink" Target="https://www.mdpi.com/1996-1073/16/19/6938" TargetMode="External"/><Relationship Id="rId386" Type="http://schemas.openxmlformats.org/officeDocument/2006/relationships/hyperlink" Target="https://1510qaiwy-y-https-www-webofscience-com.z.e-nformation.ro/wos/woscc/full-record/WOS:001065491400001" TargetMode="External"/><Relationship Id="rId381" Type="http://schemas.openxmlformats.org/officeDocument/2006/relationships/hyperlink" Target="https://scholar.google.ro/citations?view_op=view_citation&amp;hl=ro&amp;user=rDATDQsAAAAJ&amp;sortby=pubdate&amp;citation_for_view=rDATDQsAAAAJ:GnPB-g6toBAC" TargetMode="External"/><Relationship Id="rId380" Type="http://schemas.openxmlformats.org/officeDocument/2006/relationships/hyperlink" Target="https://doi.org/10.1007/s00170-023-12630-4" TargetMode="External"/><Relationship Id="rId139" Type="http://schemas.openxmlformats.org/officeDocument/2006/relationships/hyperlink" Target="https://www.sciencedirect.com/science/article/pii/S2214914723002891?via%3Dihub" TargetMode="External"/><Relationship Id="rId138" Type="http://schemas.openxmlformats.org/officeDocument/2006/relationships/hyperlink" Target="https://www.dovepress.com/research-on-the-influence-of-the-allogeneic-bone-graft-in-postoperativ-peer-reviewed-fulltext-article-TCRM" TargetMode="External"/><Relationship Id="rId137" Type="http://schemas.openxmlformats.org/officeDocument/2006/relationships/hyperlink" Target="https://journal.fi/tribologia/article/view/127844" TargetMode="External"/><Relationship Id="rId379" Type="http://schemas.openxmlformats.org/officeDocument/2006/relationships/hyperlink" Target="https://jrtdd.com/index.php/journal/article/view/2617" TargetMode="External"/><Relationship Id="rId132" Type="http://schemas.openxmlformats.org/officeDocument/2006/relationships/hyperlink" Target="https://www.tandfonline.com/doi/full/10.1080/10426914.2022.2136377" TargetMode="External"/><Relationship Id="rId374" Type="http://schemas.openxmlformats.org/officeDocument/2006/relationships/hyperlink" Target="https://15109ke0x-y-https-www-scopus-com.z.e-nformation.ro/record/display.uri?eid=2-s2.0-85148025894&amp;origin=resultslist&amp;sort=plf-f&amp;src=s&amp;sid=aac003ac23c9f5f1d4669af2cd376120&amp;sot=b&amp;sdt=b&amp;s=TITLE%28Assessing+Lean+Practices+in+Manufacturing+Industries+Through+an+Extensive+Literature+Review%29&amp;sl=81&amp;sessionSearchId=aac003ac23c9f5f1d4669af2cd376120&amp;relpos=0" TargetMode="External"/><Relationship Id="rId131" Type="http://schemas.openxmlformats.org/officeDocument/2006/relationships/hyperlink" Target="https://journals.lww.com/joos/fulltext/2023/11020/stress_effect_on_the_mandibular_dental_arch_by.61.aspx" TargetMode="External"/><Relationship Id="rId373" Type="http://schemas.openxmlformats.org/officeDocument/2006/relationships/hyperlink" Target="https://15109ke0x-y-https-www-scopus-com.z.e-nformation.ro/results/results.uri?sort=plf-f&amp;src=s&amp;st1=The+effects+of+industry+4.0+on+productivity%3A+A+scientific+mapping+study&amp;sid=aac003ac23c9f5f1d4669af2cd376120&amp;sot=b&amp;sdt=b&amp;sl=81&amp;s=TITLE%28The+key+success+factors+to+adopting+lean+practices%3A+the+case+of+South+American+manufacturing+firms%29&amp;origin=searchbasic&amp;editSaveSearch=&amp;yearFrom=Before+1960&amp;yearTo=Present&amp;sessionSearchId=aac003ac23c9f5f1d4669af2cd376120&amp;limit=10" TargetMode="External"/><Relationship Id="rId130" Type="http://schemas.openxmlformats.org/officeDocument/2006/relationships/hyperlink" Target="https://www.thieme-connect.de/products/ejournals/abstract/10.1055/s-0042-1749363" TargetMode="External"/><Relationship Id="rId372" Type="http://schemas.openxmlformats.org/officeDocument/2006/relationships/hyperlink" Target="https://15109ke0x-y-https-www-scopus-com.z.e-nformation.ro/results/results.uri?sort=plf-f&amp;src=s&amp;st1=The+effects+of+industry+4.0+on+productivity%3A+A+scientific+mapping+study&amp;sid=aac003ac23c9f5f1d4669af2cd376120&amp;sot=b&amp;sdt=b&amp;sl=81&amp;s=TITLE%28the+AND+effects+AND+of+AND+industry+4.0+on+AND+productivity%3A+AND+a+AND+scientific+AND+mapping+AND+study%29&amp;origin=searchbasic&amp;editSaveSearch=&amp;yearFrom=Before+1960&amp;yearTo=Present&amp;sessionSearchId=aac003ac23c9f5f1d4669af2cd376120&amp;limit=10" TargetMode="External"/><Relationship Id="rId371" Type="http://schemas.openxmlformats.org/officeDocument/2006/relationships/hyperlink" Target="https://1510q6d2m-y-https-www-webofscience-com.z.e-nformation.ro/wos/woscc/summary/e2dd1c3d-eb4d-4093-bbfa-f21c59d4bb80-92c29707/relevance/1" TargetMode="External"/><Relationship Id="rId136" Type="http://schemas.openxmlformats.org/officeDocument/2006/relationships/hyperlink" Target="https://journal.fi/tribologia/article/view/127844" TargetMode="External"/><Relationship Id="rId378" Type="http://schemas.openxmlformats.org/officeDocument/2006/relationships/hyperlink" Target="https://www.scopus.com/record/display.uri?eid=2-s2.0-85159122333&amp;origin=resultslist&amp;sort=plf-f&amp;cite=2-s2.0-85147956840&amp;src=s&amp;imp=t&amp;sid=a8bf8141b93f5e004932baf32ad25c5e&amp;sot=cite&amp;sdt=a&amp;sl=0&amp;relpos=2&amp;citeCnt=0&amp;searchTerm=" TargetMode="External"/><Relationship Id="rId135" Type="http://schemas.openxmlformats.org/officeDocument/2006/relationships/hyperlink" Target="https://josr-online.biomedcentral.com/articles/10.1186/s13018-023-04140-6" TargetMode="External"/><Relationship Id="rId377" Type="http://schemas.openxmlformats.org/officeDocument/2006/relationships/hyperlink" Target="https://jrtdd.com/index.php/journal/article/view/2602" TargetMode="External"/><Relationship Id="rId134" Type="http://schemas.openxmlformats.org/officeDocument/2006/relationships/hyperlink" Target="https://www.sciencedirect.com/science/article/pii/S2214785323012178" TargetMode="External"/><Relationship Id="rId376" Type="http://schemas.openxmlformats.org/officeDocument/2006/relationships/hyperlink" Target="https://www.webofscience.com/wos/woscc/full-record/WOS:001056822000001" TargetMode="External"/><Relationship Id="rId133" Type="http://schemas.openxmlformats.org/officeDocument/2006/relationships/hyperlink" Target="https://www.mdpi.com/2079-6412/13/3/571" TargetMode="External"/><Relationship Id="rId375" Type="http://schemas.openxmlformats.org/officeDocument/2006/relationships/hyperlink" Target="https://www.webofscience.com/wos/woscc/full-record/WOS:001100207300001" TargetMode="External"/><Relationship Id="rId172" Type="http://schemas.openxmlformats.org/officeDocument/2006/relationships/hyperlink" Target="https://www.scopus.com/record/display.uri?eid=2-s2.0-85147760605&amp;origin=resultslist&amp;sort=plf-f&amp;src=s&amp;citedAuthorId=57220006602&amp;imp=t&amp;sid=088d8f8d3339468ad65843df26c90be5&amp;sot=cite&amp;sdt=cite&amp;cluster=scopubyr%2c%222023%22%2ct&amp;sl=0&amp;relpos=0&amp;citeCnt=0&amp;searchTerm=" TargetMode="External"/><Relationship Id="rId171" Type="http://schemas.openxmlformats.org/officeDocument/2006/relationships/hyperlink" Target="https://www.scopus.com/record/display.uri?eid=2-s2.0-85161231765&amp;origin=resultslist&amp;sort=plf-f&amp;src=s&amp;citedAuthorId=57220006602&amp;imp=t&amp;sid=088d8f8d3339468ad65843df26c90be5&amp;sot=cite&amp;sdt=cite&amp;cluster=scopubyr%2c%222023%22%2ct&amp;sl=0&amp;relpos=2&amp;citeCnt=0&amp;searchTerm=" TargetMode="External"/><Relationship Id="rId170" Type="http://schemas.openxmlformats.org/officeDocument/2006/relationships/hyperlink" Target="https://www.webofscience.com/wos/woscc/full-record/WOS:001145641500001" TargetMode="External"/><Relationship Id="rId165" Type="http://schemas.openxmlformats.org/officeDocument/2006/relationships/hyperlink" Target="https://www.scopus.com/record/display.uri?eid=2-s2.0-85182585449&amp;origin=resultslist&amp;sort=plf-f&amp;src=s&amp;citedAuthorId=57220006602&amp;imp=t&amp;sid=7e59205e32f157a296d405cfa9a58aba&amp;sot=cite&amp;sdt=cite&amp;cluster=scopubyr%2c%222023%22%2ct&amp;sl=0&amp;relpos=8&amp;citeCnt=0&amp;searchTerm=" TargetMode="External"/><Relationship Id="rId164" Type="http://schemas.openxmlformats.org/officeDocument/2006/relationships/hyperlink" Target="https://www.webofscience.com/wos/woscc/full-record/WOS:000973473000001" TargetMode="External"/><Relationship Id="rId163" Type="http://schemas.openxmlformats.org/officeDocument/2006/relationships/hyperlink" Target="https://www.scopus.com/record/display.uri?eid=2-s2.0-85169918978&amp;origin=resultslist&amp;sort=plf-f&amp;cite=2-s2.0-85133593066&amp;src=s&amp;imp=t&amp;sid=a6e442f7520e8e1aa546fc877408d2b3&amp;sot=cite&amp;sdt=a&amp;sl=0&amp;relpos=0&amp;citeCnt=0&amp;searchTerm=" TargetMode="External"/><Relationship Id="rId162" Type="http://schemas.openxmlformats.org/officeDocument/2006/relationships/hyperlink" Target="https://www.scopus.com/record/display.uri?eid=2-s2.0-85188426857&amp;origin=resultslist&amp;sort=plf-f&amp;src=s&amp;sid=b052edbb6291502d60c8282422970c42&amp;sot=b&amp;sdt=b&amp;s=TITLE-ABS-KEY%28Application+of+PID+parameter+tuning+for+robots+based+on+SIMULINK%29&amp;sl=23&amp;sessionSearchId=b052edbb6291502d60c8282422970c42&amp;relpos=1" TargetMode="External"/><Relationship Id="rId169" Type="http://schemas.openxmlformats.org/officeDocument/2006/relationships/hyperlink" Target="https://www.scopus.com/record/display.uri?eid=2-s2.0-85156272445&amp;origin=resultslist&amp;sort=plf-f&amp;src=s&amp;citedAuthorId=57220006602&amp;imp=t&amp;sid=7e59205e32f157a296d405cfa9a58aba&amp;sot=cite&amp;sdt=cite&amp;cluster=scopubyr%2c%222023%22%2ct&amp;sl=0&amp;relpos=13&amp;citeCnt=1&amp;searchTerm=" TargetMode="External"/><Relationship Id="rId168" Type="http://schemas.openxmlformats.org/officeDocument/2006/relationships/hyperlink" Target="https://www.sciencedirect.com/science/article/pii/S1110016823006282" TargetMode="External"/><Relationship Id="rId167" Type="http://schemas.openxmlformats.org/officeDocument/2006/relationships/hyperlink" Target="https://www.webofscience.com/wos/woscc/full-record/WOS:000990305700001" TargetMode="External"/><Relationship Id="rId166" Type="http://schemas.openxmlformats.org/officeDocument/2006/relationships/hyperlink" Target="https://www.webofscience.com/wos/woscc/full-record/WOS:000990305700001" TargetMode="External"/><Relationship Id="rId161" Type="http://schemas.openxmlformats.org/officeDocument/2006/relationships/hyperlink" Target="https://www.scopus.com/record/display.uri?eid=2-s2.0-85162940266&amp;origin=resultslist&amp;sort=plf-f&amp;src=s&amp;sid=bdf5a9af959b895e0e2185e29973cbbc&amp;sot=b&amp;sdt=b&amp;s=TITLE-ABS-KEY%28An+improvement+to+the+conventional+PD+scheme+for+the+speed+control+of+a+two-wheeled+differential+steering+mobile+robot%29&amp;sl=133&amp;sessionSearchId=bdf5a9af959b895e0e2185e29973cbbc&amp;relpos=0" TargetMode="External"/><Relationship Id="rId160" Type="http://schemas.openxmlformats.org/officeDocument/2006/relationships/hyperlink" Target="https://www.webofscience.com/wos/woscc/full-record/WOS:000953327700001" TargetMode="External"/><Relationship Id="rId159" Type="http://schemas.openxmlformats.org/officeDocument/2006/relationships/hyperlink" Target="https://doi.org/10.1007/s12008-023-01535-x," TargetMode="External"/><Relationship Id="rId154" Type="http://schemas.openxmlformats.org/officeDocument/2006/relationships/hyperlink" Target="https://www.scopus.com/record/display.uri?eid=2-s2.0-85146871577&amp;origin=resultslist&amp;sort=plf-f&amp;cite=2-s2.0-85111051982&amp;src=s&amp;imp=t&amp;sid=4f723e15e60a4792bb2eb807c607a661&amp;sot=cite&amp;sdt=a&amp;sl=0&amp;relpos=4&amp;citeCnt=1&amp;searchTerm=" TargetMode="External"/><Relationship Id="rId396" Type="http://schemas.openxmlformats.org/officeDocument/2006/relationships/hyperlink" Target="https://15109ibgj-y-https-www-scopus-com.z.e-nformation.ro/record/display.uri?eid=2-s2.0-85179738075&amp;citeCnt=5_DELIM_5_DELIM_CTODS_1766295878_DELIM_1&amp;origin=resultslist&amp;sort=plf-f&amp;refeid=2-s2.0-85137581183&amp;src=s&amp;imp=t&amp;sid=59657bb409386603ac3fa96d83f560d6&amp;sot=ctocbw&amp;sdt=a&amp;sl=15&amp;s=PUBYEAR+IS+2023&amp;relpos=3&amp;citeCnt=0&amp;searchTerm=" TargetMode="External"/><Relationship Id="rId153" Type="http://schemas.openxmlformats.org/officeDocument/2006/relationships/hyperlink" Target="https://www.scopus.com/record/display.uri?eid=2-s2.0-85160525697&amp;origin=resultslist&amp;sort=plf-f&amp;cite=2-s2.0-85111051982&amp;src=s&amp;imp=t&amp;sid=4f723e15e60a4792bb2eb807c607a661&amp;sot=cite&amp;sdt=a&amp;sl=0&amp;relpos=6&amp;citeCnt=2&amp;searchTerm=" TargetMode="External"/><Relationship Id="rId395" Type="http://schemas.openxmlformats.org/officeDocument/2006/relationships/hyperlink" Target="https://1510qaiwy-y-https-www-webofscience-com.z.e-nformation.ro/wos/woscc/full-record/WOS:001002913600001" TargetMode="External"/><Relationship Id="rId152" Type="http://schemas.openxmlformats.org/officeDocument/2006/relationships/hyperlink" Target="https://www.scopus.com/record/display.uri?origin=citedby&amp;eid=2-s2.0-85173092481&amp;ctoId=CTODS_1794857173&amp;noHighlight=false&amp;relpos=0" TargetMode="External"/><Relationship Id="rId394" Type="http://schemas.openxmlformats.org/officeDocument/2006/relationships/hyperlink" Target="https://1510qibbs-y-https-www-webofscience-com.z.e-nformation.ro/wos/woscc/full-record/WOS:001157415400003" TargetMode="External"/><Relationship Id="rId151" Type="http://schemas.openxmlformats.org/officeDocument/2006/relationships/hyperlink" Target="https://www.scopus.com/record/display.uri?eid=2-s2.0-85162847331&amp;origin=resultslist&amp;sort=plf-f&amp;src=s&amp;sid=a9a1610ba323cfe3b6ebdeec461cd152&amp;sot=b&amp;sdt=b&amp;s=TITLE-ABS-KEY%28Simulation+Study+for+Robot-based+Single+Point+Incremental+Forming%29&amp;sl=64&amp;sessionSearchId=a9a1610ba323cfe3b6ebdeec461cd152&amp;relpos=0" TargetMode="External"/><Relationship Id="rId393" Type="http://schemas.openxmlformats.org/officeDocument/2006/relationships/hyperlink" Target="https://15109ibgj-y-https-www-scopus-com.z.e-nformation.ro/record/display.uri?eid=2-s2.0-85184850551&amp;citeCnt=3_DELIM_3_DELIM_CTODS_1766295878_DELIM_1&amp;origin=resultslist&amp;sort=plf-f&amp;refeid=2-s2.0-85130406724&amp;src=s&amp;imp=t&amp;sid=cf169d701278e0879c46da2466a9e73a&amp;sot=ctocbw&amp;sdt=a&amp;sl=15&amp;s=PUBYEAR+IS+2023&amp;relpos=2&amp;citeCnt=0&amp;searchTerm=" TargetMode="External"/><Relationship Id="rId158" Type="http://schemas.openxmlformats.org/officeDocument/2006/relationships/hyperlink" Target="https://doi.org/10.1177/16878132231160265," TargetMode="External"/><Relationship Id="rId157" Type="http://schemas.openxmlformats.org/officeDocument/2006/relationships/hyperlink" Target="https://www.sciencedirect.com/science/article/pii/S2214785323028201?via%3Dihub" TargetMode="External"/><Relationship Id="rId399" Type="http://schemas.openxmlformats.org/officeDocument/2006/relationships/hyperlink" Target="https://15109aixn-y-https-www-scopus-com.z.e-nformation.ro/record/display.uri?eid=2-s2.0-85151113520&amp;origin=resultslist&amp;sort=plf-f&amp;cite=2-s2.0-85137581183&amp;src=s&amp;imp=t&amp;sid=9fd341902859ff480a17773c30e30852&amp;sot=cite&amp;sdt=a&amp;sl=0&amp;relpos=0&amp;citeCnt=0&amp;searchTerm=" TargetMode="External"/><Relationship Id="rId156" Type="http://schemas.openxmlformats.org/officeDocument/2006/relationships/hyperlink" Target="https://www.mdpi.com/1996-1073/15/19/7412" TargetMode="External"/><Relationship Id="rId398" Type="http://schemas.openxmlformats.org/officeDocument/2006/relationships/hyperlink" Target="https://1510qibbs-y-https-www-webofscience-com.z.e-nformation.ro/wos/woscc/full-record/WOS:001128094300004" TargetMode="External"/><Relationship Id="rId155" Type="http://schemas.openxmlformats.org/officeDocument/2006/relationships/hyperlink" Target="https://www.scopus.com/record/display.uri?eid=2-s2.0-85145550786&amp;origin=resultslist&amp;sort=plf-f&amp;cite=2-s2.0-85111051982&amp;src=s&amp;imp=t&amp;sid=4f723e15e60a4792bb2eb807c607a661&amp;sot=cite&amp;sdt=a&amp;sl=0&amp;relpos=5&amp;citeCnt=5&amp;searchTerm=" TargetMode="External"/><Relationship Id="rId397" Type="http://schemas.openxmlformats.org/officeDocument/2006/relationships/hyperlink" Target="https://1510qaiwy-y-https-www-webofscience-com.z.e-nformation.ro/wos/woscc/full-record/WOS:000960243600001" TargetMode="External"/><Relationship Id="rId808" Type="http://schemas.openxmlformats.org/officeDocument/2006/relationships/hyperlink" Target="https://www.magnanimitas.cz/ADALTA/130238/papers/A_14.pdf" TargetMode="External"/><Relationship Id="rId807" Type="http://schemas.openxmlformats.org/officeDocument/2006/relationships/hyperlink" Target="https://www.tandfonline.com/doi/epub/10.2147/TCRM.S400354?needAccess=true" TargetMode="External"/><Relationship Id="rId806" Type="http://schemas.openxmlformats.org/officeDocument/2006/relationships/hyperlink" Target="https://www.frontiersin.org/articles/10.3389/fmats.2023.1183816/full" TargetMode="External"/><Relationship Id="rId805" Type="http://schemas.openxmlformats.org/officeDocument/2006/relationships/hyperlink" Target="https://www.sciencedirect.com/science/article/pii/S0278612523002170?via%3Dihub" TargetMode="External"/><Relationship Id="rId809" Type="http://schemas.openxmlformats.org/officeDocument/2006/relationships/hyperlink" Target="https://link.springer.com/article/10.1007/s11783-023-1666-4" TargetMode="External"/><Relationship Id="rId800"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804" Type="http://schemas.openxmlformats.org/officeDocument/2006/relationships/hyperlink" Target="https://www.scopus.com/record/display.uri?eid=2-s2.0-85161820114&amp;origin=resultslist&amp;sort=plf-f&amp;src=s&amp;sid=9db89847fc7cc189734918284387f8dd&amp;sot=b&amp;sdt=b&amp;s=TITLE-ABS-KEY%28Challenges+in+OT+Security+and+Their+Impacts+on+Safety-Related+Cyber-Physical+Production+Systems%29&amp;sl=110&amp;sessionSearchId=9db89847fc7cc189734918284387f8dd&amp;relpos=0" TargetMode="External"/><Relationship Id="rId803" Type="http://schemas.openxmlformats.org/officeDocument/2006/relationships/hyperlink" Target="https://www.sciencedirect.com/science/article/pii/S0981942823002565?fr=RR-2&amp;ref=pdf_download&amp;rr=88406be5c95e0549" TargetMode="External"/><Relationship Id="rId802" Type="http://schemas.openxmlformats.org/officeDocument/2006/relationships/hyperlink" Target="https://151096e7t-y-https-www-scopus-com.z.e-nformation.ro/record/display.uri?eid=2-s2.0-85109054537&amp;origin=resultslist&amp;sort=plf-f&amp;cite=2-s2.0-85109054537&amp;src=s&amp;imp=t&amp;sid=c62149d598fa37a2f968d6ac411362bf&amp;sot=cite&amp;sdt=a&amp;sl=0" TargetMode="External"/><Relationship Id="rId801" Type="http://schemas.openxmlformats.org/officeDocument/2006/relationships/hyperlink" Target="https://www.mdpi.com/2225-1154/11/6/129" TargetMode="External"/><Relationship Id="rId40" Type="http://schemas.openxmlformats.org/officeDocument/2006/relationships/hyperlink" Target="https://www.sciencedirect.com/science/article/abs/pii/S2214785322059259?via%3Dihub" TargetMode="External"/><Relationship Id="rId42" Type="http://schemas.openxmlformats.org/officeDocument/2006/relationships/hyperlink" Target="https://doi.org/10.54684/ijmmt.2023.15.2.29" TargetMode="External"/><Relationship Id="rId41" Type="http://schemas.openxmlformats.org/officeDocument/2006/relationships/hyperlink" Target="https://iopscience.iop.org/article/10.1088/1742-6596/2459/1/012073/meta" TargetMode="External"/><Relationship Id="rId44" Type="http://schemas.openxmlformats.org/officeDocument/2006/relationships/hyperlink" Target="https://pubs.aip.org/aip/acp/article-abstract/2700/1/020057/2880604/An-advanced-method-to-test-the-formability-in" TargetMode="External"/><Relationship Id="rId43" Type="http://schemas.openxmlformats.org/officeDocument/2006/relationships/hyperlink" Target="https://journals.sagepub.com/doi/10.1177/08927057221074266" TargetMode="External"/><Relationship Id="rId46" Type="http://schemas.openxmlformats.org/officeDocument/2006/relationships/hyperlink" Target="https://www.sciencedirect.com/science/article/abs/pii/S221478532207078X?via%3Dihub" TargetMode="External"/><Relationship Id="rId45" Type="http://schemas.openxmlformats.org/officeDocument/2006/relationships/hyperlink" Target="https://www.mrforum.com/product/9781644902479-115/" TargetMode="External"/><Relationship Id="rId509" Type="http://schemas.openxmlformats.org/officeDocument/2006/relationships/hyperlink" Target="https://link.springer.com/article/10.1007/s42947-023-00383-y" TargetMode="External"/><Relationship Id="rId508" Type="http://schemas.openxmlformats.org/officeDocument/2006/relationships/hyperlink" Target="https://www.sciencedirect.com/science/article/pii/S0926669023014309?via%3Dihub" TargetMode="External"/><Relationship Id="rId503" Type="http://schemas.openxmlformats.org/officeDocument/2006/relationships/hyperlink" Target="https://doi.org/10.1080/01441647.2023.2189323" TargetMode="External"/><Relationship Id="rId745" Type="http://schemas.openxmlformats.org/officeDocument/2006/relationships/hyperlink" Target="https://link.springer.com/article/10.1007/s11783-023-1623-2" TargetMode="External"/><Relationship Id="rId502" Type="http://schemas.openxmlformats.org/officeDocument/2006/relationships/hyperlink" Target="https://doi.org/10.1016/j.urbmob.2023.100051" TargetMode="External"/><Relationship Id="rId744" Type="http://schemas.openxmlformats.org/officeDocument/2006/relationships/hyperlink" Target="https://www.amfiteatrueconomic.ro/temp/Article_3176.pdf" TargetMode="External"/><Relationship Id="rId501" Type="http://schemas.openxmlformats.org/officeDocument/2006/relationships/hyperlink" Target="https://www.magnanimitas.cz/ADALTA/130238/papers/A_14.pdf" TargetMode="External"/><Relationship Id="rId743" Type="http://schemas.openxmlformats.org/officeDocument/2006/relationships/hyperlink" Target="https://www.mdpi.com/2313-4321/8/2/42" TargetMode="External"/><Relationship Id="rId500" Type="http://schemas.openxmlformats.org/officeDocument/2006/relationships/hyperlink" Target="https://www.mdpi.com/2071-1050/15/5/4491" TargetMode="External"/><Relationship Id="rId742" Type="http://schemas.openxmlformats.org/officeDocument/2006/relationships/hyperlink" Target="https://www.webofscience.com/wos/woscc/full-record/WOS:001028600800001" TargetMode="External"/><Relationship Id="rId507" Type="http://schemas.openxmlformats.org/officeDocument/2006/relationships/hyperlink" Target="https://www.sciencedirect.com/science/article/pii/S0165237023004424?via%3Dihub" TargetMode="External"/><Relationship Id="rId749" Type="http://schemas.openxmlformats.org/officeDocument/2006/relationships/hyperlink" Target="https://www.mdpi.com/2071-1050/15/8/6343" TargetMode="External"/><Relationship Id="rId506" Type="http://schemas.openxmlformats.org/officeDocument/2006/relationships/hyperlink" Target="https://www.sciencedirect.com/science/article/pii/S0165237023004485?via%3Dihub" TargetMode="External"/><Relationship Id="rId748" Type="http://schemas.openxmlformats.org/officeDocument/2006/relationships/hyperlink" Target="https://www.mdpi.com/2071-1050/15/18/13872" TargetMode="External"/><Relationship Id="rId505" Type="http://schemas.openxmlformats.org/officeDocument/2006/relationships/hyperlink" Target="https://www.sciencedirect.com/science/article/pii/S0956053X23007602?via%3Dihub" TargetMode="External"/><Relationship Id="rId747" Type="http://schemas.openxmlformats.org/officeDocument/2006/relationships/hyperlink" Target="https://link.springer.com/article/10.1007/s10570-023-05052-8" TargetMode="External"/><Relationship Id="rId504" Type="http://schemas.openxmlformats.org/officeDocument/2006/relationships/hyperlink" Target="https://doi.org/10.3390/su15054491" TargetMode="External"/><Relationship Id="rId746" Type="http://schemas.openxmlformats.org/officeDocument/2006/relationships/hyperlink" Target="https://www.sciencedirect.com/science/article/pii/S1290072923004556?via%3Dihub" TargetMode="External"/><Relationship Id="rId48" Type="http://schemas.openxmlformats.org/officeDocument/2006/relationships/hyperlink" Target="https://pubs.aip.org/aip/acp/article-abstract/2810/1/130002/2899730/Comparison-on-single-point-incremental-forming-and?redirectedFrom=fulltext" TargetMode="External"/><Relationship Id="rId47" Type="http://schemas.openxmlformats.org/officeDocument/2006/relationships/hyperlink" Target="https://www.scientific.net/AST.132.167" TargetMode="External"/><Relationship Id="rId49" Type="http://schemas.openxmlformats.org/officeDocument/2006/relationships/hyperlink" Target="https://onlinelibrary.wiley.com/doi/10.1002/9781119986454.ch4" TargetMode="External"/><Relationship Id="rId741" Type="http://schemas.openxmlformats.org/officeDocument/2006/relationships/hyperlink" Target="https://link.springer.com/article/10.1007/s10098-023-02579-z" TargetMode="External"/><Relationship Id="rId740" Type="http://schemas.openxmlformats.org/officeDocument/2006/relationships/hyperlink" Target="https://www.mdpi.com/2075-5309/13/11/2894" TargetMode="External"/><Relationship Id="rId31" Type="http://schemas.openxmlformats.org/officeDocument/2006/relationships/hyperlink" Target="https://www.sciencedirect.com/science/article/abs/pii/S1526612523008605?via%3Dihub" TargetMode="External"/><Relationship Id="rId30" Type="http://schemas.openxmlformats.org/officeDocument/2006/relationships/hyperlink" Target="https://iopscience.iop.org/article/10.1088/1757-899X/1284/1/012068/meta" TargetMode="External"/><Relationship Id="rId33" Type="http://schemas.openxmlformats.org/officeDocument/2006/relationships/hyperlink" Target="https://link.springer.com/article/10.1007/s00170-023-12153-y" TargetMode="External"/><Relationship Id="rId32" Type="http://schemas.openxmlformats.org/officeDocument/2006/relationships/hyperlink" Target="https://www.mdpi.com/1996-1944/16/8/3176" TargetMode="External"/><Relationship Id="rId35" Type="http://schemas.openxmlformats.org/officeDocument/2006/relationships/hyperlink" Target="https://www.mdpi.com/2075-1702/11/3/353" TargetMode="External"/><Relationship Id="rId34" Type="http://schemas.openxmlformats.org/officeDocument/2006/relationships/hyperlink" Target="https://www.sciencedirect.com/science/article/pii/S156849462300515X?via%3Dihub" TargetMode="External"/><Relationship Id="rId739" Type="http://schemas.openxmlformats.org/officeDocument/2006/relationships/hyperlink" Target="https://www.mdpi.com/2071-1050/15/22/15892" TargetMode="External"/><Relationship Id="rId734" Type="http://schemas.openxmlformats.org/officeDocument/2006/relationships/hyperlink" Target="https://www.frontiersin.org/journals/psychology/articles/10.3389/fpsyg.2022.1100448/full" TargetMode="External"/><Relationship Id="rId733" Type="http://schemas.openxmlformats.org/officeDocument/2006/relationships/hyperlink" Target="https://www.emerald.com/insight/content/doi/10.1108/IJAIM-03-2023-0055/full/html" TargetMode="External"/><Relationship Id="rId732" Type="http://schemas.openxmlformats.org/officeDocument/2006/relationships/hyperlink" Target="https://www.sciencedirect.com/science/article/pii/S2405844023081823?via%3Dihub" TargetMode="External"/><Relationship Id="rId731" Type="http://schemas.openxmlformats.org/officeDocument/2006/relationships/hyperlink" Target="https://www.tandfonline.com/doi/full/10.1080/23311975.2023.2212492" TargetMode="External"/><Relationship Id="rId738" Type="http://schemas.openxmlformats.org/officeDocument/2006/relationships/hyperlink" Target="https://www.mdpi.com/2077-0472/13/12/2235" TargetMode="External"/><Relationship Id="rId737" Type="http://schemas.openxmlformats.org/officeDocument/2006/relationships/hyperlink" Target="https://ro.uow.edu.au/test2021/10865/" TargetMode="External"/><Relationship Id="rId736" Type="http://schemas.openxmlformats.org/officeDocument/2006/relationships/hyperlink" Target="https://nuevaepoca.revistalatinacs.org/index.php/revista/article/view/1923" TargetMode="External"/><Relationship Id="rId735" Type="http://schemas.openxmlformats.org/officeDocument/2006/relationships/hyperlink" Target="http://www.aimspress.com/article/doi/10.3934/GF.2023010" TargetMode="External"/><Relationship Id="rId37" Type="http://schemas.openxmlformats.org/officeDocument/2006/relationships/hyperlink" Target="https://www.sciencedirect.com/science/article/pii/S1526612523008939?via%3Dihub" TargetMode="External"/><Relationship Id="rId36" Type="http://schemas.openxmlformats.org/officeDocument/2006/relationships/hyperlink" Target="https://www.sciencedirect.com/science/article/abs/pii/S0924013623002273?via%3Dihub" TargetMode="External"/><Relationship Id="rId39" Type="http://schemas.openxmlformats.org/officeDocument/2006/relationships/hyperlink" Target="https://www.sciencedirect.com/science/article/pii/S2214785323012178" TargetMode="External"/><Relationship Id="rId38" Type="http://schemas.openxmlformats.org/officeDocument/2006/relationships/hyperlink" Target="https://www.mdpi.com/1996-1944/16/11/4154" TargetMode="External"/><Relationship Id="rId730" Type="http://schemas.openxmlformats.org/officeDocument/2006/relationships/hyperlink" Target="https://onlinelibrary.wiley.com/doi/10.1111/cjag.12327" TargetMode="External"/><Relationship Id="rId20" Type="http://schemas.openxmlformats.org/officeDocument/2006/relationships/hyperlink" Target="https://15109k46y-y-https-www-scopus-com.z.e-nformation.ro/record/display.uri?eid=2-s2.0-85173976329&amp;origin=resultslist&amp;sort=plf-f&amp;src=s&amp;sid=132d92476e9b9962980050063e313c78&amp;sot=b&amp;sdt=b&amp;s=TITLE-ABS-KEY%28The+use+of+the+multi-criteria+analysis+for+the+exploration+of+surface+irrigation+potential+zones%3A+A+case+of+the+Didesa+sub-basin%2C+Abay+basin%2C+Ethiopia%29&amp;sl=165&amp;sessionSearchId=132d92476e9b9962980050063e313c78&amp;relpos=0" TargetMode="External"/><Relationship Id="rId22" Type="http://schemas.openxmlformats.org/officeDocument/2006/relationships/hyperlink" Target="https://ieeexplore.ieee.org/abstract/document/10382341?casa_token=844pKWti-3oAAAAA:tEBa5QOJTe5xC1gmlwC5Xdkw-MU8Uenup5SqSYawzTRnvYxGwwFVBl47DS3v-IfULouI12vcVeo" TargetMode="External"/><Relationship Id="rId21" Type="http://schemas.openxmlformats.org/officeDocument/2006/relationships/hyperlink" Target="https://15109k489-y-https-www-scopus-com.z.e-nformation.ro/record/display.uri?eid=2-s2.0-85174393239&amp;origin=resultslist&amp;sort=plf-f&amp;src=s&amp;sid=960c5babb8e70ef240a0f3183180e7f3&amp;sot=b&amp;sdt=b&amp;s=TITLE-ABS-KEY%28Design+Changes%2C+Saving+Materials+and+Energy+in+Food+Serving+Robot+Via+Topology+Optimization%29&amp;sl=119&amp;sessionSearchId=960c5babb8e70ef240a0f3183180e7f3&amp;relpos=0" TargetMode="External"/><Relationship Id="rId24" Type="http://schemas.openxmlformats.org/officeDocument/2006/relationships/hyperlink" Target="https://scholar.google.com/citations?view_op=view_citation&amp;hl=ro&amp;user=aMmLmzMAAAAJ&amp;citation_for_view=aMmLmzMAAAAJ:QIV2ME_5wuYC" TargetMode="External"/><Relationship Id="rId23" Type="http://schemas.openxmlformats.org/officeDocument/2006/relationships/hyperlink" Target="https://www.scopus.com/record/display.uri?eid=2-s2.0-85159595568&amp;origin=resultslist&amp;sort=plf-f&amp;cite=2-s2.0-85174393239&amp;refeid=2-s2.0-85145357772&amp;src=s&amp;imp=t&amp;sid=daea1e91b4ae0af8cec846dbb1205fe9&amp;sot=cite&amp;sdt=a&amp;sl=0&amp;relpos=2&amp;citeCnt=0&amp;searchTerm=" TargetMode="External"/><Relationship Id="rId525" Type="http://schemas.openxmlformats.org/officeDocument/2006/relationships/hyperlink" Target="https://jmstt.ntou.edu.tw/journal/vol31/iss1/1/" TargetMode="External"/><Relationship Id="rId767" Type="http://schemas.openxmlformats.org/officeDocument/2006/relationships/hyperlink" Target="https://www.tandfonline.com/doi/full/10.1080/0965254X.2023.2273501" TargetMode="External"/><Relationship Id="rId524" Type="http://schemas.openxmlformats.org/officeDocument/2006/relationships/hyperlink" Target="https://ascelibrary.org/doi/10.1061/%28ASCE%29MT.1943-5533.0004568" TargetMode="External"/><Relationship Id="rId766" Type="http://schemas.openxmlformats.org/officeDocument/2006/relationships/hyperlink" Target="https://www.sciencedirect.com/science/article/pii/S2211715623001625?via%3Dihub" TargetMode="External"/><Relationship Id="rId523" Type="http://schemas.openxmlformats.org/officeDocument/2006/relationships/hyperlink" Target="https://www.mdpi.com/1996-1944/16/3/1301" TargetMode="External"/><Relationship Id="rId765" Type="http://schemas.openxmlformats.org/officeDocument/2006/relationships/hyperlink" Target="https://www.sciencedirect.com/science/article/pii/S0141813023018196?via%3Dihub" TargetMode="External"/><Relationship Id="rId522" Type="http://schemas.openxmlformats.org/officeDocument/2006/relationships/hyperlink" Target="https://www.icevirtuallibrary.com/doi/10.1680/jgein.22.00263" TargetMode="External"/><Relationship Id="rId764" Type="http://schemas.openxmlformats.org/officeDocument/2006/relationships/hyperlink" Target="https://www.mdpi.com/2218-273X/13/12/1785" TargetMode="External"/><Relationship Id="rId529" Type="http://schemas.openxmlformats.org/officeDocument/2006/relationships/hyperlink" Target="https://www.scopus.com/record/display.uri?eid=2-s2.0-85184856337&amp;origin=resultslist&amp;zone=contextBox" TargetMode="External"/><Relationship Id="rId528" Type="http://schemas.openxmlformats.org/officeDocument/2006/relationships/hyperlink" Target="https://searchworks-lb.stanford.edu/articles/edseee__edseee.10406882" TargetMode="External"/><Relationship Id="rId527" Type="http://schemas.openxmlformats.org/officeDocument/2006/relationships/hyperlink" Target="https://pubs.aip.org/aip/acp/article-abstract/2544/1/020017/2884996/Development-of-sustainable-lightweight-heat?redirectedFrom=PDF" TargetMode="External"/><Relationship Id="rId769" Type="http://schemas.openxmlformats.org/officeDocument/2006/relationships/hyperlink" Target="https://sic.ici.ro/empowering-digital-education-understanding-students-perceptions-about-risks-and-threats-in-the-shifting-educational-paradigm/" TargetMode="External"/><Relationship Id="rId526" Type="http://schemas.openxmlformats.org/officeDocument/2006/relationships/hyperlink" Target="https://www.mdpi.com/1996-1944/16/1/243" TargetMode="External"/><Relationship Id="rId768" Type="http://schemas.openxmlformats.org/officeDocument/2006/relationships/hyperlink" Target="https://www.tandfonline.com/doi/full/10.1080/00140139.2023.2223788" TargetMode="External"/><Relationship Id="rId26" Type="http://schemas.openxmlformats.org/officeDocument/2006/relationships/hyperlink" Target="https://www.sciencedirect.com/science/article/abs/pii/S1526612523003973?via%3Dihub" TargetMode="External"/><Relationship Id="rId25" Type="http://schemas.openxmlformats.org/officeDocument/2006/relationships/hyperlink" Target="https://www.webofscience.com/wos/woscc/full-record/WOS:001145085600001" TargetMode="External"/><Relationship Id="rId28" Type="http://schemas.openxmlformats.org/officeDocument/2006/relationships/hyperlink" Target="https://www.sciencedirect.com/science/article/abs/pii/S0924013623001097?via%3Dihub" TargetMode="External"/><Relationship Id="rId27" Type="http://schemas.openxmlformats.org/officeDocument/2006/relationships/hyperlink" Target="https://www.mdpi.com/1996-1944/16/19/6371" TargetMode="External"/><Relationship Id="rId521" Type="http://schemas.openxmlformats.org/officeDocument/2006/relationships/hyperlink" Target="https://www.mdpi.com/2073-4360/15/6/1406" TargetMode="External"/><Relationship Id="rId763" Type="http://schemas.openxmlformats.org/officeDocument/2006/relationships/hyperlink" Target="https://www.mdpi.com/2076-2607/11/3/643" TargetMode="External"/><Relationship Id="rId29" Type="http://schemas.openxmlformats.org/officeDocument/2006/relationships/hyperlink" Target="https://www.sciencedirect.com/science/article/pii/S1110016823006282?via%3Dihub" TargetMode="External"/><Relationship Id="rId520" Type="http://schemas.openxmlformats.org/officeDocument/2006/relationships/hyperlink" Target="https://www.sciencedirect.com/science/article/pii/S2352710223004345?via%3Dihub" TargetMode="External"/><Relationship Id="rId762" Type="http://schemas.openxmlformats.org/officeDocument/2006/relationships/hyperlink" Target="https://link.springer.com/article/10.1007/s10570-023-05052-8" TargetMode="External"/><Relationship Id="rId761" Type="http://schemas.openxmlformats.org/officeDocument/2006/relationships/hyperlink" Target="https://ecocyb.ase.ro/nr2023_4/03_AhmetFarukAysan_AsadUlIslamKhan.pdf" TargetMode="External"/><Relationship Id="rId760" Type="http://schemas.openxmlformats.org/officeDocument/2006/relationships/hyperlink" Target="https://www.mdpi.com/2227-7072/11/1/6" TargetMode="External"/><Relationship Id="rId11" Type="http://schemas.openxmlformats.org/officeDocument/2006/relationships/hyperlink" Target="https://www.scopus.com/record/display.uri?eid=2-s2.0-85182585449&amp;citeCnt=1_DELIM_4_DELIM_CTODS_1747088553_DELIM_1&amp;origin=resultslist&amp;sort=plf-f&amp;refeid=2-s2.0-85133593066&amp;src=s&amp;imp=t&amp;sid=634da4441cc4fe53a03274929b4d9144&amp;sot=ctocbw&amp;sdt=a&amp;sl=43&amp;s=PUBYEAR+BEF+2026+AND+NOT+AU-ID%2835193491700%29&amp;relpos=2&amp;citeCnt=0&amp;searchTerm=" TargetMode="External"/><Relationship Id="rId10" Type="http://schemas.openxmlformats.org/officeDocument/2006/relationships/hyperlink" Target="https://www.scopus.com/record/display.uri?eid=2-s2.0-85169918978&amp;citeCnt=2_DELIM_2_DELIM_CTODS_1696722914_DELIM_1&amp;origin=resultslist&amp;sort=plf-f&amp;refeid=2-s2.0-85133593066&amp;src=s&amp;imp=t&amp;sid=2b94b314f9f76f0f75e4f060235cc959&amp;sot=ctocbw&amp;sdt=a&amp;sl=42&amp;s=PUBYEAR+IS+2023+AND+NOT+AU-ID%2835193491700%29&amp;relpos=0&amp;citeCnt=0&amp;searchTerm=" TargetMode="External"/><Relationship Id="rId13" Type="http://schemas.openxmlformats.org/officeDocument/2006/relationships/hyperlink" Target="https://www.scopus.com/record/display.uri?eid=2-s2.0-85166183657&amp;citeCnt=1_DELIM_1_DELIM_CTODS_1696722914_DELIM_1&amp;origin=resultslist&amp;sort=plf-f&amp;refeid=2-s2.0-85151479075&amp;src=s&amp;imp=t&amp;sid=7b1a41ab1c5f7b5dd68a3e08e2ac66ec&amp;sot=ctocbw&amp;sdt=a&amp;sl=42&amp;s=PUBYEAR+IS+2023+AND+NOT+AU-ID%2835193491700%29&amp;relpos=0&amp;citeCnt=0&amp;searchTerm=" TargetMode="External"/><Relationship Id="rId12" Type="http://schemas.openxmlformats.org/officeDocument/2006/relationships/hyperlink" Target="https://www.webofscience.com/wos/woscc/full-record/WOS:001071742900001?AlertId=53b20fa4-6482-42ad-aff0-aaa011c9f55f&amp;SID=EUW1ED0A2F5CY4pYaWTAuZoMx4bWH" TargetMode="External"/><Relationship Id="rId519" Type="http://schemas.openxmlformats.org/officeDocument/2006/relationships/hyperlink" Target="https://pubs.acs.org/doi/10.1021/acsami.2c20393" TargetMode="External"/><Relationship Id="rId514" Type="http://schemas.openxmlformats.org/officeDocument/2006/relationships/hyperlink" Target="https://www.sciencedirect.com/science/article/pii/S2542504822000525?via%3Dihub" TargetMode="External"/><Relationship Id="rId756" Type="http://schemas.openxmlformats.org/officeDocument/2006/relationships/hyperlink" Target="https://www.mdpi.com/2071-1050/15/12/9451" TargetMode="External"/><Relationship Id="rId513" Type="http://schemas.openxmlformats.org/officeDocument/2006/relationships/hyperlink" Target="https://www.tandfonline.com/doi/full/10.1080/15567036.2023.2226087" TargetMode="External"/><Relationship Id="rId755" Type="http://schemas.openxmlformats.org/officeDocument/2006/relationships/hyperlink" Target="https://www.mdpi.com/2071-1050/15/15/11649" TargetMode="External"/><Relationship Id="rId512" Type="http://schemas.openxmlformats.org/officeDocument/2006/relationships/hyperlink" Target="https://www.ukm.my/jsm/pdf_files/SM-PDF-52-9-2023/17.pdf" TargetMode="External"/><Relationship Id="rId754" Type="http://schemas.openxmlformats.org/officeDocument/2006/relationships/hyperlink" Target="https://www.sciencedirect.com/science/article/pii/S0959652623025489?via%3Dihub" TargetMode="External"/><Relationship Id="rId511" Type="http://schemas.openxmlformats.org/officeDocument/2006/relationships/hyperlink" Target="https://www.mdpi.com/1996-1944/16/17/5771" TargetMode="External"/><Relationship Id="rId753" Type="http://schemas.openxmlformats.org/officeDocument/2006/relationships/hyperlink" Target="https://link.springer.com/article/10.1007/s10668-023-03930-6" TargetMode="External"/><Relationship Id="rId518" Type="http://schemas.openxmlformats.org/officeDocument/2006/relationships/hyperlink" Target="https://ascelibrary.org/doi/10.1061/%28ASCE%29MT.1943-5533.0004688" TargetMode="External"/><Relationship Id="rId517" Type="http://schemas.openxmlformats.org/officeDocument/2006/relationships/hyperlink" Target="https://link.springer.com/article/10.1186/s40069-023-00592-6" TargetMode="External"/><Relationship Id="rId759" Type="http://schemas.openxmlformats.org/officeDocument/2006/relationships/hyperlink" Target="https://www.sciencedirect.com/science/article/pii/S1059056023002484?via%3Dihub" TargetMode="External"/><Relationship Id="rId516" Type="http://schemas.openxmlformats.org/officeDocument/2006/relationships/hyperlink" Target="https://www.sciencedirect.com/science/article/pii/S1359431123008542?via%3Dihub" TargetMode="External"/><Relationship Id="rId758" Type="http://schemas.openxmlformats.org/officeDocument/2006/relationships/hyperlink" Target="https://link.springer.com/article/10.1007/s41060-023-00435-3" TargetMode="External"/><Relationship Id="rId515" Type="http://schemas.openxmlformats.org/officeDocument/2006/relationships/hyperlink" Target="https://www.sciencedirect.com/science/article/pii/S0360544223012355?via%3Dihub" TargetMode="External"/><Relationship Id="rId757" Type="http://schemas.openxmlformats.org/officeDocument/2006/relationships/hyperlink" Target="https://www.sciencedirect.com/science/article/pii/S1309104223003653?via%3Dihub" TargetMode="External"/><Relationship Id="rId15" Type="http://schemas.openxmlformats.org/officeDocument/2006/relationships/hyperlink" Target="https://15109k489-y-https-www-scopus-com.z.e-nformation.ro/record/display.uri?eid=2-s2.0-85156272445&amp;origin=resultslist&amp;sort=plf-f&amp;src=s&amp;sid=960c5babb8e70ef240a0f3183180e7f3&amp;sot=b&amp;sdt=b&amp;s=TITLE-ABS-KEY%28Mobile+robot+vision+navigation+strategy+based+on+Pixy2+camera%29&amp;sl=119&amp;sessionSearchId=960c5babb8e70ef240a0f3183180e7f3&amp;relpos=0" TargetMode="External"/><Relationship Id="rId14" Type="http://schemas.openxmlformats.org/officeDocument/2006/relationships/hyperlink" Target="https://15109k46y-y-https-www-scopus-com.z.e-nformation.ro/record/display.uri?origin=citedby&amp;eid=2-s2.0-85147220241&amp;noHighlight=false&amp;sort=plf-f&amp;src=s&amp;sid=e0c97fc255b24cce01ab98aaf70b85ff&amp;sot=b&amp;sdt=b&amp;sl=101&amp;s=TITLE-ABS-KEY%28Inverse+kinematics+of+a+7+DOF+manipulator+using+adaptive+neuro-fuzzy+inference+systems%29&amp;relpos=0" TargetMode="External"/><Relationship Id="rId17" Type="http://schemas.openxmlformats.org/officeDocument/2006/relationships/hyperlink" Target="https://www.sciencedirect.com/science/article/pii/S1110016823006282" TargetMode="External"/><Relationship Id="rId16" Type="http://schemas.openxmlformats.org/officeDocument/2006/relationships/hyperlink" Target="https://www.webofscience.com/wos/woscc/full-record/WOS:001145641500001" TargetMode="External"/><Relationship Id="rId19" Type="http://schemas.openxmlformats.org/officeDocument/2006/relationships/hyperlink" Target="https://link.springer.com/article/10.1007/s42452-023-05375-y" TargetMode="External"/><Relationship Id="rId510" Type="http://schemas.openxmlformats.org/officeDocument/2006/relationships/hyperlink" Target="https://www.sciencedirect.com/science/article/pii/S0959652623029451?via%3Dihub" TargetMode="External"/><Relationship Id="rId752" Type="http://schemas.openxmlformats.org/officeDocument/2006/relationships/hyperlink" Target="https://onlinelibrary.wiley.com/doi/10.1002/bsd2.327" TargetMode="External"/><Relationship Id="rId18" Type="http://schemas.openxmlformats.org/officeDocument/2006/relationships/hyperlink" Target="https://www.sciencedirect.com/science/article/pii/S1110016823006282" TargetMode="External"/><Relationship Id="rId751" Type="http://schemas.openxmlformats.org/officeDocument/2006/relationships/hyperlink" Target="https://www.mdpi.com/2071-1050/15/2/1419" TargetMode="External"/><Relationship Id="rId750" Type="http://schemas.openxmlformats.org/officeDocument/2006/relationships/hyperlink" Target="https://www.ekonomiaisrodowisko.pl/journal/article/view/607" TargetMode="External"/><Relationship Id="rId84" Type="http://schemas.openxmlformats.org/officeDocument/2006/relationships/hyperlink" Target="https://link.springer.com/article/10.1007/s00170-023-10935-y" TargetMode="External"/><Relationship Id="rId83" Type="http://schemas.openxmlformats.org/officeDocument/2006/relationships/hyperlink" Target="https://link.springer.com/article/10.1007/s40430-023-04055-7" TargetMode="External"/><Relationship Id="rId86" Type="http://schemas.openxmlformats.org/officeDocument/2006/relationships/hyperlink" Target="https://www.mdpi.com/1996-1944/16/19/6371" TargetMode="External"/><Relationship Id="rId85" Type="http://schemas.openxmlformats.org/officeDocument/2006/relationships/hyperlink" Target="https://www.mrforum.com/product/9781644902417-7/" TargetMode="External"/><Relationship Id="rId88" Type="http://schemas.openxmlformats.org/officeDocument/2006/relationships/hyperlink" Target="https://link.springer.com/article/10.1007/s00170-023-10935-y" TargetMode="External"/><Relationship Id="rId87" Type="http://schemas.openxmlformats.org/officeDocument/2006/relationships/hyperlink" Target="https://www.sciencedirect.com/science/article/abs/pii/S2352492823024327?via%3Dihub" TargetMode="External"/><Relationship Id="rId89" Type="http://schemas.openxmlformats.org/officeDocument/2006/relationships/hyperlink" Target="https://iopscience.iop.org/article/10.1088/1757-899X/1284/1/012068/meta" TargetMode="External"/><Relationship Id="rId709" Type="http://schemas.openxmlformats.org/officeDocument/2006/relationships/hyperlink" Target="https://onlinelibrary.wiley.com/doi/10.1002/tqem.22120" TargetMode="External"/><Relationship Id="rId708" Type="http://schemas.openxmlformats.org/officeDocument/2006/relationships/hyperlink" Target="https://www.igi-global.com/chapter/breaking-the-mold/331377" TargetMode="External"/><Relationship Id="rId707" Type="http://schemas.openxmlformats.org/officeDocument/2006/relationships/hyperlink" Target="https://www.igi-global.com/book/transformational-leadership-styles-global-leaders/327793" TargetMode="External"/><Relationship Id="rId706" Type="http://schemas.openxmlformats.org/officeDocument/2006/relationships/hyperlink" Target="https://onlinelibrary.wiley.com/doi/10.1002/gj.4738" TargetMode="External"/><Relationship Id="rId80" Type="http://schemas.openxmlformats.org/officeDocument/2006/relationships/hyperlink" Target="https://ieeexplore.ieee.org/abstract/document/10272754" TargetMode="External"/><Relationship Id="rId82" Type="http://schemas.openxmlformats.org/officeDocument/2006/relationships/hyperlink" Target="https://journal.fi/tribologia/article/view/127844" TargetMode="External"/><Relationship Id="rId81" Type="http://schemas.openxmlformats.org/officeDocument/2006/relationships/hyperlink" Target="https://ieeexplore.ieee.org/abstract/document/10260568" TargetMode="External"/><Relationship Id="rId701" Type="http://schemas.openxmlformats.org/officeDocument/2006/relationships/hyperlink" Target="https://www.mdpi.com/2075-4442/11/2/52" TargetMode="External"/><Relationship Id="rId700" Type="http://schemas.openxmlformats.org/officeDocument/2006/relationships/hyperlink" Target="https://www.mdpi.com/2075-4442/11/3/108" TargetMode="External"/><Relationship Id="rId705" Type="http://schemas.openxmlformats.org/officeDocument/2006/relationships/hyperlink" Target="https://www.mdpi.com/2071-1050/15/10/8261" TargetMode="External"/><Relationship Id="rId704" Type="http://schemas.openxmlformats.org/officeDocument/2006/relationships/hyperlink" Target="https://onlinelibrary.wiley.com/doi/10.1002/gj.4805" TargetMode="External"/><Relationship Id="rId703" Type="http://schemas.openxmlformats.org/officeDocument/2006/relationships/hyperlink" Target="https://link.springer.com/article/10.1007/s12144-023-04990-7" TargetMode="External"/><Relationship Id="rId702" Type="http://schemas.openxmlformats.org/officeDocument/2006/relationships/hyperlink" Target="https://www.mdpi.com/2075-4442/11/1/16" TargetMode="External"/><Relationship Id="rId73" Type="http://schemas.openxmlformats.org/officeDocument/2006/relationships/hyperlink" Target="https://www.mdpi.com/1996-1944/16/15/5207" TargetMode="External"/><Relationship Id="rId72" Type="http://schemas.openxmlformats.org/officeDocument/2006/relationships/hyperlink" Target="https://www.mdpi.com/2075-4442/11/1/28" TargetMode="External"/><Relationship Id="rId75" Type="http://schemas.openxmlformats.org/officeDocument/2006/relationships/hyperlink" Target="https://doi.org/%2010.54684/ijmmt.2023.15.2.29" TargetMode="External"/><Relationship Id="rId74" Type="http://schemas.openxmlformats.org/officeDocument/2006/relationships/hyperlink" Target="https://www.mdpi.com/2079-6412/13/3/571" TargetMode="External"/><Relationship Id="rId77" Type="http://schemas.openxmlformats.org/officeDocument/2006/relationships/hyperlink" Target="https://www.sciencedirect.com/science/article/abs/pii/S1526612522008313?via%3Dihub" TargetMode="External"/><Relationship Id="rId76" Type="http://schemas.openxmlformats.org/officeDocument/2006/relationships/hyperlink" Target="https://onlinelibrary.wiley.com/doi/10.1002/9781119986454.ch5" TargetMode="External"/><Relationship Id="rId79" Type="http://schemas.openxmlformats.org/officeDocument/2006/relationships/hyperlink" Target="https://link.springer.com/article/10.1007/s10845-022-02026-8" TargetMode="External"/><Relationship Id="rId78" Type="http://schemas.openxmlformats.org/officeDocument/2006/relationships/hyperlink" Target="https://d.wanfangdata.com.cn/periodical/ChlQZXJpb2RpY2FsQ0hJTmV3UzIwMjMxMjI2Eg9zeGdjeGIyMDIzMDMwMDUaCGpyZTMzbnlx" TargetMode="External"/><Relationship Id="rId71" Type="http://schemas.openxmlformats.org/officeDocument/2006/relationships/hyperlink" Target="https://jestec.taylors.edu.my/Vol%2018%20Issue%201%20February%20%202023/18_1_23.pdf" TargetMode="External"/><Relationship Id="rId70" Type="http://schemas.openxmlformats.org/officeDocument/2006/relationships/hyperlink" Target="https://www.sciencedirect.com/science/article/pii/S156849462300515X?via%3Dihub" TargetMode="External"/><Relationship Id="rId62" Type="http://schemas.openxmlformats.org/officeDocument/2006/relationships/hyperlink" Target="https://link.springer.com/article/10.1007/s40033-023-00450-5" TargetMode="External"/><Relationship Id="rId61" Type="http://schemas.openxmlformats.org/officeDocument/2006/relationships/hyperlink" Target="https://onlinelibrary.wiley.com/doi/10.1002/9781119986454.ch3" TargetMode="External"/><Relationship Id="rId64" Type="http://schemas.openxmlformats.org/officeDocument/2006/relationships/hyperlink" Target="https://ieeexplore.ieee.org/abstract/document/10272754" TargetMode="External"/><Relationship Id="rId63" Type="http://schemas.openxmlformats.org/officeDocument/2006/relationships/hyperlink" Target="https://www.sciencedirect.com/science/article/abs/pii/S221478532207078X?via%3Dihub" TargetMode="External"/><Relationship Id="rId66" Type="http://schemas.openxmlformats.org/officeDocument/2006/relationships/hyperlink" Target="https://www.mdpi.com/1996-1944/16/19/6371" TargetMode="External"/><Relationship Id="rId65" Type="http://schemas.openxmlformats.org/officeDocument/2006/relationships/hyperlink" Target="https://onlinelibrary.wiley.com/doi/abs/10.1002/9781119986454.ch6" TargetMode="External"/><Relationship Id="rId68" Type="http://schemas.openxmlformats.org/officeDocument/2006/relationships/hyperlink" Target="https://www.mdpi.com/1996-1944/16/3/1026" TargetMode="External"/><Relationship Id="rId67" Type="http://schemas.openxmlformats.org/officeDocument/2006/relationships/hyperlink" Target="https://www.mdpi.com/1996-1944/16/23/7266" TargetMode="External"/><Relationship Id="rId729" Type="http://schemas.openxmlformats.org/officeDocument/2006/relationships/hyperlink" Target="https://www.emerald.com/insight/content/doi/10.1108/APJML-08-2022-0731/full/html" TargetMode="External"/><Relationship Id="rId728" Type="http://schemas.openxmlformats.org/officeDocument/2006/relationships/hyperlink" Target="https://www.mdpi.com/2071-1050/15/16/12549" TargetMode="External"/><Relationship Id="rId60" Type="http://schemas.openxmlformats.org/officeDocument/2006/relationships/hyperlink" Target="https://journals.sagepub.com/doi/10.1177/09544062221133674" TargetMode="External"/><Relationship Id="rId723" Type="http://schemas.openxmlformats.org/officeDocument/2006/relationships/hyperlink" Target="https://www.mdpi.com/2076-3387/13/8/190" TargetMode="External"/><Relationship Id="rId722" Type="http://schemas.openxmlformats.org/officeDocument/2006/relationships/hyperlink" Target="https://www.tandfonline.com/doi/full/10.1080/08874417.2023.2255551" TargetMode="External"/><Relationship Id="rId721" Type="http://schemas.openxmlformats.org/officeDocument/2006/relationships/hyperlink" Target="https://www.mdpi.com/2073-4360/15/7/1711" TargetMode="External"/><Relationship Id="rId720" Type="http://schemas.openxmlformats.org/officeDocument/2006/relationships/hyperlink" Target="https://publications.hse.ru/en/chapters/856817436" TargetMode="External"/><Relationship Id="rId727" Type="http://schemas.openxmlformats.org/officeDocument/2006/relationships/hyperlink" Target="https://www.igi-global.com/chapter/identifying-the-effect-of-motivation-on-employee-job-performance-in-people-analytics/327754" TargetMode="External"/><Relationship Id="rId726" Type="http://schemas.openxmlformats.org/officeDocument/2006/relationships/hyperlink" Target="https://onlinelibrary.wiley.com/doi/10.1002/gj.4688" TargetMode="External"/><Relationship Id="rId725" Type="http://schemas.openxmlformats.org/officeDocument/2006/relationships/hyperlink" Target="https://onlinelibrary.wiley.com/doi/10.1002/gj.4712" TargetMode="External"/><Relationship Id="rId724" Type="http://schemas.openxmlformats.org/officeDocument/2006/relationships/hyperlink" Target="https://www.mdpi.com/2071-1050/15/11/8684" TargetMode="External"/><Relationship Id="rId69" Type="http://schemas.openxmlformats.org/officeDocument/2006/relationships/hyperlink" Target="https://link.springer.com/article/10.1007/s00170-023-11854-8" TargetMode="External"/><Relationship Id="rId51" Type="http://schemas.openxmlformats.org/officeDocument/2006/relationships/hyperlink" Target="https://link.springer.com/article/10.1007/s12206-023-1120-3" TargetMode="External"/><Relationship Id="rId50" Type="http://schemas.openxmlformats.org/officeDocument/2006/relationships/hyperlink" Target="https://www.sciencedirect.com/science/article/abs/pii/S2214785323038385" TargetMode="External"/><Relationship Id="rId53" Type="http://schemas.openxmlformats.org/officeDocument/2006/relationships/hyperlink" Target="https://link.springer.com/article/10.1007/s43452-022-00585-4" TargetMode="External"/><Relationship Id="rId52" Type="http://schemas.openxmlformats.org/officeDocument/2006/relationships/hyperlink" Target="https://asmedigitalcollection.asme.org/IMECE/proceedings-abstract/IMECE2023/87707/V013T14A005/1196315" TargetMode="External"/><Relationship Id="rId55" Type="http://schemas.openxmlformats.org/officeDocument/2006/relationships/hyperlink" Target="https://www.tandfonline.com/doi/full/10.1080/2374068X.2023.2280295" TargetMode="External"/><Relationship Id="rId54" Type="http://schemas.openxmlformats.org/officeDocument/2006/relationships/hyperlink" Target="https://journals.sagepub.com/doi/10.1177/09544054231194106" TargetMode="External"/><Relationship Id="rId57" Type="http://schemas.openxmlformats.org/officeDocument/2006/relationships/hyperlink" Target="https://www.sciencedirect.com/science/article/abs/pii/S2214785323049374?via%3Dihub" TargetMode="External"/><Relationship Id="rId56" Type="http://schemas.openxmlformats.org/officeDocument/2006/relationships/hyperlink" Target="https://link.springer.com/article/10.1007/s10845-021-01868-y" TargetMode="External"/><Relationship Id="rId719" Type="http://schemas.openxmlformats.org/officeDocument/2006/relationships/hyperlink" Target="https://www.e3s-conferences.org/articles/e3sconf/abs/2023/48/e3sconf_apecvi2023_01059/e3sconf_apecvi2023_01059.html" TargetMode="External"/><Relationship Id="rId718" Type="http://schemas.openxmlformats.org/officeDocument/2006/relationships/hyperlink" Target="https://www.frontiersin.org/journals/public-health/articles/10.3389/fpubh.2023.1079702/full" TargetMode="External"/><Relationship Id="rId717" Type="http://schemas.openxmlformats.org/officeDocument/2006/relationships/hyperlink" Target="https://www.sciencedirect.com/science/article/pii/S095965262303531X?via%3Dihub" TargetMode="External"/><Relationship Id="rId712" Type="http://schemas.openxmlformats.org/officeDocument/2006/relationships/hyperlink" Target="https://onlinelibrary.wiley.com/doi/10.1002/bsd2.258" TargetMode="External"/><Relationship Id="rId711" Type="http://schemas.openxmlformats.org/officeDocument/2006/relationships/hyperlink" Target="https://www.sciencedirect.com/science/article/pii/S0747563223002418?via%3Dihub" TargetMode="External"/><Relationship Id="rId710" Type="http://schemas.openxmlformats.org/officeDocument/2006/relationships/hyperlink" Target="https://www.mdpi.com/1999-4907/14/10/1935" TargetMode="External"/><Relationship Id="rId716" Type="http://schemas.openxmlformats.org/officeDocument/2006/relationships/hyperlink" Target="https://link.springer.com/article/10.1007/s00477-023-02598-8" TargetMode="External"/><Relationship Id="rId715" Type="http://schemas.openxmlformats.org/officeDocument/2006/relationships/hyperlink" Target="https://onlinelibrary.wiley.com/doi/10.1111/1467-8268.12727" TargetMode="External"/><Relationship Id="rId714" Type="http://schemas.openxmlformats.org/officeDocument/2006/relationships/hyperlink" Target="https://www.sciencedirect.com/science/article/pii/S095965262300046X?via%3Dihub" TargetMode="External"/><Relationship Id="rId713" Type="http://schemas.openxmlformats.org/officeDocument/2006/relationships/hyperlink" Target="https://www.mdpi.com/2071-1050/15/6/5443" TargetMode="External"/><Relationship Id="rId59" Type="http://schemas.openxmlformats.org/officeDocument/2006/relationships/hyperlink" Target="https://iopscience.iop.org/article/10.1088/2053-1591/acca67" TargetMode="External"/><Relationship Id="rId58" Type="http://schemas.openxmlformats.org/officeDocument/2006/relationships/hyperlink" Target="https://www.sciencedirect.com/science/article/pii/S1110016823006282?via%3Dihub" TargetMode="External"/><Relationship Id="rId590" Type="http://schemas.openxmlformats.org/officeDocument/2006/relationships/hyperlink" Target="https://www.mdpi.com/2227-9717/11/9/2705" TargetMode="External"/><Relationship Id="rId107" Type="http://schemas.openxmlformats.org/officeDocument/2006/relationships/hyperlink" Target="https://link.springer.com/article/10.1007/s10845-022-02026-8" TargetMode="External"/><Relationship Id="rId349" Type="http://schemas.openxmlformats.org/officeDocument/2006/relationships/hyperlink" Target="https://1510qkd3u-y-https-www-webofscience-com.z.e-nformation.ro/wos/woscc/full-record/WOS:001050304000001" TargetMode="External"/><Relationship Id="rId106" Type="http://schemas.openxmlformats.org/officeDocument/2006/relationships/hyperlink" Target="https://www.sciencedirect.com/science/article/abs/pii/S2214785322074867?via%3Dihub" TargetMode="External"/><Relationship Id="rId348" Type="http://schemas.openxmlformats.org/officeDocument/2006/relationships/hyperlink" Target="https://15109kdck-y-https-www-scopus-com.z.e-nformation.ro/results/citedbyresults.uri?sort=plf-f&amp;cite=2-s2.0-85073054173&amp;src=s&amp;imp=t&amp;sid=84aa8a5baa122eb0c9481e00a701b2b8&amp;sot=cite&amp;sdt=a&amp;sl=0&amp;origin=resultslist&amp;editSaveSearch=&amp;txGid=10a459fd0d03680b9712cd57cd845e56" TargetMode="External"/><Relationship Id="rId105" Type="http://schemas.openxmlformats.org/officeDocument/2006/relationships/hyperlink" Target="https://www.tandfonline.com/doi/full/10.1080/2374068X.2022.2091835" TargetMode="External"/><Relationship Id="rId347" Type="http://schemas.openxmlformats.org/officeDocument/2006/relationships/hyperlink" Target="https://15109kdck-y-https-www-scopus-com.z.e-nformation.ro/results/citedbyresults.uri?sort=plf-f&amp;cite=2-s2.0-85073054173&amp;src=s&amp;imp=t&amp;sid=84aa8a5baa122eb0c9481e00a701b2b8&amp;sot=cite&amp;sdt=a&amp;sl=0&amp;origin=resultslist&amp;editSaveSearch=&amp;txGid=10a459fd0d03680b9712cd57cd845e56" TargetMode="External"/><Relationship Id="rId589" Type="http://schemas.openxmlformats.org/officeDocument/2006/relationships/hyperlink" Target="https://onlinelibrary.wiley.com/doi/10.1002/bse.3560" TargetMode="External"/><Relationship Id="rId104" Type="http://schemas.openxmlformats.org/officeDocument/2006/relationships/hyperlink" Target="https://onlinelibrary.wiley.com/doi/10.1002/9781119986454.ch5" TargetMode="External"/><Relationship Id="rId346" Type="http://schemas.openxmlformats.org/officeDocument/2006/relationships/hyperlink" Target="https://15109kdck-y-https-www-scopus-com.z.e-nformation.ro/results/citedbyresults.uri?sort=plf-f&amp;cite=2-s2.0-85073054173&amp;src=s&amp;imp=t&amp;sid=84aa8a5baa122eb0c9481e00a701b2b8&amp;sot=cite&amp;sdt=a&amp;sl=0&amp;origin=resultslist&amp;editSaveSearch=&amp;txGid=10a459fd0d03680b9712cd57cd845e56" TargetMode="External"/><Relationship Id="rId588" Type="http://schemas.openxmlformats.org/officeDocument/2006/relationships/hyperlink" Target="https://onlinelibrary.wiley.com/doi/10.1002/bsd2.290" TargetMode="External"/><Relationship Id="rId109" Type="http://schemas.openxmlformats.org/officeDocument/2006/relationships/hyperlink" Target="https://asmedigitalcollection.asme.org/IMECE/proceedings-abstract/IMECE2023/87707/V013T14A005/1196315" TargetMode="External"/><Relationship Id="rId108" Type="http://schemas.openxmlformats.org/officeDocument/2006/relationships/hyperlink" Target="https://onlinelibrary.wiley.com/doi/10.1002/9781119986454.ch1" TargetMode="External"/><Relationship Id="rId341" Type="http://schemas.openxmlformats.org/officeDocument/2006/relationships/hyperlink" Target="https://1510qkd3u-y-https-www-webofscience-com.z.e-nformation.ro/wos/woscc/full-record/WOS:001127520200001" TargetMode="External"/><Relationship Id="rId583" Type="http://schemas.openxmlformats.org/officeDocument/2006/relationships/hyperlink" Target="https://www.tandfonline.com/doi/full/10.1080/09640568.2023.2284124" TargetMode="External"/><Relationship Id="rId340" Type="http://schemas.openxmlformats.org/officeDocument/2006/relationships/hyperlink" Target="https://15109kdck-y-https-www-scopus-com.z.e-nformation.ro/results/citedbyresults.uri?sort=plf-f&amp;cite=2-s2.0-85120072931&amp;src=s&amp;imp=t&amp;sid=cdd92ab774e99a7be0e05cb863f0bb03&amp;sot=cite&amp;sdt=a&amp;sl=0&amp;origin=resultslist&amp;editSaveSearch=&amp;txGid=df4a4ed37d5b4f35d0c18991afd09722" TargetMode="External"/><Relationship Id="rId582" Type="http://schemas.openxmlformats.org/officeDocument/2006/relationships/hyperlink" Target="https://www.tandfonline.com/doi/full/10.1080/09640568.2023.2284656" TargetMode="External"/><Relationship Id="rId581" Type="http://schemas.openxmlformats.org/officeDocument/2006/relationships/hyperlink" Target="https://www.sciencedirect.com/science/article/pii/S0040162523006625?via%3Dihub" TargetMode="External"/><Relationship Id="rId580" Type="http://schemas.openxmlformats.org/officeDocument/2006/relationships/hyperlink" Target="https://www.sciencedirect.com/science/article/pii/S0040162523006893?via%3Dihub" TargetMode="External"/><Relationship Id="rId103" Type="http://schemas.openxmlformats.org/officeDocument/2006/relationships/hyperlink" Target="https://avestia.com/MCM2023_Proceedings/files/paper/ICMIE/ICMIE_143.pdf" TargetMode="External"/><Relationship Id="rId345" Type="http://schemas.openxmlformats.org/officeDocument/2006/relationships/hyperlink" Target="https://15109kdck-y-https-www-scopus-com.z.e-nformation.ro/results/citedbyresults.uri?sort=plf-f&amp;cite=2-s2.0-85073054173&amp;src=s&amp;imp=t&amp;sid=84aa8a5baa122eb0c9481e00a701b2b8&amp;sot=cite&amp;sdt=a&amp;sl=0&amp;origin=resultslist&amp;editSaveSearch=&amp;txGid=10a459fd0d03680b9712cd57cd845e56" TargetMode="External"/><Relationship Id="rId587" Type="http://schemas.openxmlformats.org/officeDocument/2006/relationships/hyperlink" Target="https://onlinelibrary.wiley.com/doi/10.1002/sd.2756" TargetMode="External"/><Relationship Id="rId102" Type="http://schemas.openxmlformats.org/officeDocument/2006/relationships/hyperlink" Target="https://www.mdpi.com/2075-4442/11/1/28" TargetMode="External"/><Relationship Id="rId344" Type="http://schemas.openxmlformats.org/officeDocument/2006/relationships/hyperlink" Target="https://1510qkd3u-y-https-www-webofscience-com.z.e-nformation.ro/wos/woscc/full-record/WOS:000863173000003" TargetMode="External"/><Relationship Id="rId586" Type="http://schemas.openxmlformats.org/officeDocument/2006/relationships/hyperlink" Target="https://link.springer.com/article/10.1007/s10668-023-03905-7" TargetMode="External"/><Relationship Id="rId101" Type="http://schemas.openxmlformats.org/officeDocument/2006/relationships/hyperlink" Target="https://www.mdpi.com/2075-1702/11/6/616" TargetMode="External"/><Relationship Id="rId343" Type="http://schemas.openxmlformats.org/officeDocument/2006/relationships/hyperlink" Target="https://1510qkd3u-y-https-www-webofscience-com.z.e-nformation.ro/wos/woscc/full-record/WOS:001065491400001" TargetMode="External"/><Relationship Id="rId585" Type="http://schemas.openxmlformats.org/officeDocument/2006/relationships/hyperlink" Target="https://www.sciencedirect.com/science/article/pii/S0301420723007912?via%3Dihub" TargetMode="External"/><Relationship Id="rId100" Type="http://schemas.openxmlformats.org/officeDocument/2006/relationships/hyperlink" Target="https://www.mdpi.com/1424-8220/23/12/5639" TargetMode="External"/><Relationship Id="rId342" Type="http://schemas.openxmlformats.org/officeDocument/2006/relationships/hyperlink" Target="https://1510qkd3u-y-https-www-webofscience-com.z.e-nformation.ro/wos/woscc/full-record/WOS:001102297500001" TargetMode="External"/><Relationship Id="rId584" Type="http://schemas.openxmlformats.org/officeDocument/2006/relationships/hyperlink" Target="https://www.mdpi.com/2071-1050/15/22/15948" TargetMode="External"/><Relationship Id="rId338" Type="http://schemas.openxmlformats.org/officeDocument/2006/relationships/hyperlink" Target="https://1510qkd3u-y-https-www-webofscience-com.z.e-nformation.ro/wos/woscc/full-record/WOS:000919958200001" TargetMode="External"/><Relationship Id="rId337" Type="http://schemas.openxmlformats.org/officeDocument/2006/relationships/hyperlink" Target="https://1510qkd3u-y-https-www-webofscience-com.z.e-nformation.ro/wos/woscc/full-record/WOS:001112412700001" TargetMode="External"/><Relationship Id="rId579" Type="http://schemas.openxmlformats.org/officeDocument/2006/relationships/hyperlink" Target="https://www.sciencedirect.com/science/article/pii/S0148296323007750?via%3Dihub" TargetMode="External"/><Relationship Id="rId336" Type="http://schemas.openxmlformats.org/officeDocument/2006/relationships/hyperlink" Target="https://15109kdck-y-https-www-scopus-com.z.e-nformation.ro/results/citedbyresults.uri?sort=plf-f&amp;cite=2-s2.0-85120807573&amp;src=s&amp;imp=t&amp;sid=58b649bfc93ccb314255fba26f16f561&amp;sot=cite&amp;sdt=a&amp;sl=0&amp;origin=resultslist&amp;editSaveSearch=&amp;txGid=8f583876f86ec49e5a1343a9be9586c0" TargetMode="External"/><Relationship Id="rId578" Type="http://schemas.openxmlformats.org/officeDocument/2006/relationships/hyperlink" Target="https://onlinelibrary.wiley.com/doi/10.1002/sd.2831" TargetMode="External"/><Relationship Id="rId335" Type="http://schemas.openxmlformats.org/officeDocument/2006/relationships/hyperlink" Target="https://1510qkc2b-y-https-www-webofscience-com.z.e-nformation.ro/wos/woscc/full-record/WOS:001002913600001" TargetMode="External"/><Relationship Id="rId577" Type="http://schemas.openxmlformats.org/officeDocument/2006/relationships/hyperlink" Target="https://www.worldscientific.com/doi/10.1142/S0219877024500135" TargetMode="External"/><Relationship Id="rId339" Type="http://schemas.openxmlformats.org/officeDocument/2006/relationships/hyperlink" Target="https://1510qkd3u-y-https-www-webofscience-com.z.e-nformation.ro/wos/woscc/full-record/WOS:001065491400001" TargetMode="External"/><Relationship Id="rId330" Type="http://schemas.openxmlformats.org/officeDocument/2006/relationships/hyperlink" Target="https://15109kdck-y-https-www-scopus-com.z.e-nformation.ro/results/citedbyresults.uri?sort=plf-f&amp;cite=2-s2.0-85137581183&amp;src=s&amp;imp=t&amp;sid=335d0ebbbe45f8100b04b5de3cd68a48&amp;sot=cite&amp;sdt=a&amp;sl=0&amp;origin=resultslist&amp;editSaveSearch=&amp;txGid=9605c55f8f0c1e7a1b6a1f7d27de88fa" TargetMode="External"/><Relationship Id="rId572" Type="http://schemas.openxmlformats.org/officeDocument/2006/relationships/hyperlink" Target="https://www.sciencedirect.com/science/article/pii/S2444569X23001506?via%3Dihub" TargetMode="External"/><Relationship Id="rId571" Type="http://schemas.openxmlformats.org/officeDocument/2006/relationships/hyperlink" Target="https://www.sciencedirect.com/science/article/pii/S0960148123017457?via%3Dihub" TargetMode="External"/><Relationship Id="rId570" Type="http://schemas.openxmlformats.org/officeDocument/2006/relationships/hyperlink" Target="https://www.mdpi.com/2071-1050/1%205/4/3689" TargetMode="External"/><Relationship Id="rId334" Type="http://schemas.openxmlformats.org/officeDocument/2006/relationships/hyperlink" Target="https://15109kdck-y-https-www-scopus-com.z.e-nformation.ro/record/display.uri?eid=2-s2.0-85159122333&amp;origin=resultslist&amp;sort=plf-f&amp;cite=2-s2.0-85147956840&amp;src=s&amp;imp=t&amp;sid=83108aab0cdc3a1b6318d744f9228458&amp;sot=cite&amp;sdt=a&amp;sl=0&amp;relpos=2&amp;citeCnt=0&amp;searchTerm=" TargetMode="External"/><Relationship Id="rId576" Type="http://schemas.openxmlformats.org/officeDocument/2006/relationships/hyperlink" Target="https://www.sciencedirect.com/science/article/pii/S2214845023001059?via%3Dihub" TargetMode="External"/><Relationship Id="rId333" Type="http://schemas.openxmlformats.org/officeDocument/2006/relationships/hyperlink" Target="https://1510qkd3u-y-https-www-webofscience-com.z.e-nformation.ro/wos/woscc/full-record/WOS:001056822000001" TargetMode="External"/><Relationship Id="rId575" Type="http://schemas.openxmlformats.org/officeDocument/2006/relationships/hyperlink" Target="https://www.emerald.com/insight/content/doi/10.1108/BPMJ-03-2023-0160/full/html" TargetMode="External"/><Relationship Id="rId332" Type="http://schemas.openxmlformats.org/officeDocument/2006/relationships/hyperlink" Target="https://1510qkd3u-y-https-www-webofscience-com.z.e-nformation.ro/wos/woscc/full-record/WOS:001100207300001" TargetMode="External"/><Relationship Id="rId574" Type="http://schemas.openxmlformats.org/officeDocument/2006/relationships/hyperlink" Target="https://www.tandfonline.com/doi/full/10.1080/09640568.2023.2297916" TargetMode="External"/><Relationship Id="rId331" Type="http://schemas.openxmlformats.org/officeDocument/2006/relationships/hyperlink" Target="https://15109kdck-y-https-www-scopus-com.z.e-nformation.ro/record/display.uri?eid=2-s2.0-85144561200&amp;origin=resultslist&amp;sort=plf-f&amp;cite=2-s2.0-85137581183&amp;src=s&amp;imp=t&amp;sid=335d0ebbbe45f8100b04b5de3cd68a48&amp;sot=cite&amp;sdt=a&amp;sl=0&amp;relpos=5&amp;citeCnt=5&amp;searchTerm=" TargetMode="External"/><Relationship Id="rId573" Type="http://schemas.openxmlformats.org/officeDocument/2006/relationships/hyperlink" Target="https://www.tandfonline.com/doi/full/10.1080/09640568.2023.2298263" TargetMode="External"/><Relationship Id="rId370" Type="http://schemas.openxmlformats.org/officeDocument/2006/relationships/hyperlink" Target="https://15109keh5-y-https-www-scopus-com.z.e-nformation.ro/results/results.uri?sort=plf-f&amp;src=s&amp;st1=Enabling+knowledge+sharing+in+a+production+context+in+China&amp;sid=bb6d12f7ae918caea0c8ec8292edb120&amp;sot=b&amp;sdt=b&amp;sl=66&amp;s=TITLE%28Introducing+MOWSCER+Method+for+Multiple+Criteria+Group+Decision-Making%3A+A+New+Method+of+Weighting+in+the+Structure+of+Cause+and+Effect+Relationships%29&amp;origin=searchbasic&amp;editSaveSearch=&amp;yearFrom=Before+1960&amp;yearTo=Present&amp;sessionSearchId=bb6d12f7ae918caea0c8ec8292edb120&amp;limit=10" TargetMode="External"/><Relationship Id="rId129" Type="http://schemas.openxmlformats.org/officeDocument/2006/relationships/hyperlink" Target="https://www.mdpi.com/2077-0383/12/24/7506" TargetMode="External"/><Relationship Id="rId128" Type="http://schemas.openxmlformats.org/officeDocument/2006/relationships/hyperlink" Target="https://link.springer.com/article/10.1007/s10845-021-01868-y" TargetMode="External"/><Relationship Id="rId127" Type="http://schemas.openxmlformats.org/officeDocument/2006/relationships/hyperlink" Target="https://link.springer.com/article/10.1007/s12008-023-01535-x" TargetMode="External"/><Relationship Id="rId369" Type="http://schemas.openxmlformats.org/officeDocument/2006/relationships/hyperlink" Target="https://15109keh5-y-https-www-scopus-com.z.e-nformation.ro/results/results.uri?sort=plf-f&amp;src=s&amp;st1=Enabling+knowledge+sharing+in+a+production+context+in+China&amp;sid=bb6d12f7ae918caea0c8ec8292edb120&amp;sot=b&amp;sdt=b&amp;sl=66&amp;s=TITLE%28Bivariate%2C+cluster%2C+and+suitability+analysis+of+NoSQL+solutions+for+big+graph+applications%29&amp;origin=searchbasic&amp;editSaveSearch=&amp;yearFrom=Before+1960&amp;yearTo=Present&amp;sessionSearchId=bb6d12f7ae918caea0c8ec8292edb120&amp;limit=10" TargetMode="External"/><Relationship Id="rId126" Type="http://schemas.openxmlformats.org/officeDocument/2006/relationships/hyperlink" Target="https://arrow.tudublin.ie/sefi2023_respap/93/" TargetMode="External"/><Relationship Id="rId368" Type="http://schemas.openxmlformats.org/officeDocument/2006/relationships/hyperlink" Target="https://1510q6cqw-y-https-www-webofscience-com.z.e-nformation.ro/wos/woscc/full-record/WOS:000882909300001" TargetMode="External"/><Relationship Id="rId121" Type="http://schemas.openxmlformats.org/officeDocument/2006/relationships/hyperlink" Target="https://www.mdpi.com/2227-7102/13/2/219" TargetMode="External"/><Relationship Id="rId363" Type="http://schemas.openxmlformats.org/officeDocument/2006/relationships/hyperlink" Target="https://15109kdwr-y-https-www-scopus-com.z.e-nformation.ro/results/citedbyresults.uri?sort=plf-f&amp;cite=2-s2.0-84981289567&amp;src=s&amp;imp=t&amp;sid=7f6ac09c8d2826a59be17ba6534d7a6d&amp;sot=cite&amp;sdt=a&amp;sl=0&amp;origin=resultslist&amp;editSaveSearch=&amp;txGid=101eeb6336400317ac876607a8ead6db" TargetMode="External"/><Relationship Id="rId120" Type="http://schemas.openxmlformats.org/officeDocument/2006/relationships/hyperlink" Target="https://link.springer.com/article/10.1007/s12008-023-01670-5" TargetMode="External"/><Relationship Id="rId362" Type="http://schemas.openxmlformats.org/officeDocument/2006/relationships/hyperlink" Target="https://15109kdwr-y-https-www-scopus-com.z.e-nformation.ro/results/citedbyresults.uri?sort=plf-f&amp;cite=2-s2.0-84981289567&amp;src=s&amp;imp=t&amp;sid=7f6ac09c8d2826a59be17ba6534d7a6d&amp;sot=cite&amp;sdt=a&amp;sl=0&amp;origin=resultslist&amp;editSaveSearch=&amp;txGid=101eeb6336400317ac876607a8ead6db" TargetMode="External"/><Relationship Id="rId361" Type="http://schemas.openxmlformats.org/officeDocument/2006/relationships/hyperlink" Target="https://1510qkd3u-y-https-www-webofscience-com.z.e-nformation.ro/wos/woscc/summary/b24aa4df-5327-4908-b179-fab95e59b9d3-e684e2be/date-descending/1" TargetMode="External"/><Relationship Id="rId360" Type="http://schemas.openxmlformats.org/officeDocument/2006/relationships/hyperlink" Target="https://15109kdck-y-https-www-scopus-com.z.e-nformation.ro/results/citedbyresults.uri?sort=plf-f&amp;cite=2-s2.0-84994417678&amp;src=s&amp;imp=t&amp;sid=cff879ebbd5f396dae3e9afa03784797&amp;sot=cite&amp;sdt=a&amp;sl=0&amp;origin=resultslist&amp;editSaveSearch=&amp;txGid=0a36b3611c17b9bf773fa0aff7b98664" TargetMode="External"/><Relationship Id="rId125" Type="http://schemas.openxmlformats.org/officeDocument/2006/relationships/hyperlink" Target="https://15113knud-y-https-ieeexplore-ieee-org.z.e-nformation.ro/document/10343013" TargetMode="External"/><Relationship Id="rId367" Type="http://schemas.openxmlformats.org/officeDocument/2006/relationships/hyperlink" Target="https://15109kdwr-y-https-www-scopus-com.z.e-nformation.ro/results/citedbyresults.uri?sort=plf-f&amp;cite=2-s2.0-84941764282&amp;src=s&amp;imp=t&amp;sid=e7c8883662fca426bad58c9592ae13c8&amp;sot=cite&amp;sdt=a&amp;sl=0&amp;origin=resultslist&amp;editSaveSearch=&amp;txGid=ba2e88576176109158069c8635e5bfe1" TargetMode="External"/><Relationship Id="rId124" Type="http://schemas.openxmlformats.org/officeDocument/2006/relationships/hyperlink" Target="https://www.igi-global.com/gateway/chapter/328568" TargetMode="External"/><Relationship Id="rId366" Type="http://schemas.openxmlformats.org/officeDocument/2006/relationships/hyperlink" Target="https://15109kdwr-y-https-www-scopus-com.z.e-nformation.ro/results/citedbyresults.uri?sort=plf-f&amp;cite=2-s2.0-84941800315&amp;src=s&amp;imp=t&amp;sid=c7cc2fcc7852219eafbc31e9ce0c88b6&amp;sot=cite&amp;sdt=a&amp;sl=0&amp;origin=resultslist&amp;editSaveSearch=&amp;txGid=366885ad7124d0b5f26e8c6211344b1d" TargetMode="External"/><Relationship Id="rId123" Type="http://schemas.openxmlformats.org/officeDocument/2006/relationships/hyperlink" Target="https://www.tandfonline.com/doi/full/10.1080/03043797.2023.2248042" TargetMode="External"/><Relationship Id="rId365" Type="http://schemas.openxmlformats.org/officeDocument/2006/relationships/hyperlink" Target="https://15109kdck-y-https-www-scopus-com.z.e-nformation.ro/results/citedbyresults.uri?sort=plf-f&amp;cite=2-s2.0-85097434749&amp;src=s&amp;imp=t&amp;sid=085b6ff264773fb26a16bb1ecf46939a&amp;sot=cite&amp;sdt=a&amp;sl=0&amp;origin=resultslist&amp;editSaveSearch=&amp;txGid=baf78d2853c4c456e2c594f7a2ab35ea" TargetMode="External"/><Relationship Id="rId122" Type="http://schemas.openxmlformats.org/officeDocument/2006/relationships/hyperlink" Target="https://journals.plos.org/plosone/article?id=10.1371/journal.pone.0291876" TargetMode="External"/><Relationship Id="rId364" Type="http://schemas.openxmlformats.org/officeDocument/2006/relationships/hyperlink" Target="https://15109kdwr-y-https-www-scopus-com.z.e-nformation.ro/results/citedbyresults.uri?sort=plf-f&amp;cite=2-s2.0-84981289567&amp;src=s&amp;imp=t&amp;sid=7f6ac09c8d2826a59be17ba6534d7a6d&amp;sot=cite&amp;sdt=a&amp;sl=0&amp;origin=resultslist&amp;editSaveSearch=&amp;txGid=101eeb6336400317ac876607a8ead6db" TargetMode="External"/><Relationship Id="rId95" Type="http://schemas.openxmlformats.org/officeDocument/2006/relationships/hyperlink" Target="https://www.igi-global.com/gateway/book/318402" TargetMode="External"/><Relationship Id="rId94" Type="http://schemas.openxmlformats.org/officeDocument/2006/relationships/hyperlink" Target="https://onlinelibrary.wiley.com/doi/10.1002/9781119986454.ch13" TargetMode="External"/><Relationship Id="rId97" Type="http://schemas.openxmlformats.org/officeDocument/2006/relationships/hyperlink" Target="https://onlinelibrary.wiley.com/doi/10.1002/9781119986454.ch3" TargetMode="External"/><Relationship Id="rId96" Type="http://schemas.openxmlformats.org/officeDocument/2006/relationships/hyperlink" Target="https://link.springer.com/article/10.1007/s12008-023-01535-x" TargetMode="External"/><Relationship Id="rId99" Type="http://schemas.openxmlformats.org/officeDocument/2006/relationships/hyperlink" Target="https://www.mdpi.com/1996-1944/16/18/6244" TargetMode="External"/><Relationship Id="rId98" Type="http://schemas.openxmlformats.org/officeDocument/2006/relationships/hyperlink" Target="https://www.igi-global.com/gateway/chapter/328470" TargetMode="External"/><Relationship Id="rId91" Type="http://schemas.openxmlformats.org/officeDocument/2006/relationships/hyperlink" Target="https://link.springer.com/article/10.1007/s40436-022-00431-z" TargetMode="External"/><Relationship Id="rId90" Type="http://schemas.openxmlformats.org/officeDocument/2006/relationships/hyperlink" Target="https://www.mdpi.com/2226-4310/10/4/332" TargetMode="External"/><Relationship Id="rId93" Type="http://schemas.openxmlformats.org/officeDocument/2006/relationships/hyperlink" Target="https://journal.fi/tribologia/article/view/127844" TargetMode="External"/><Relationship Id="rId92" Type="http://schemas.openxmlformats.org/officeDocument/2006/relationships/hyperlink" Target="https://www.tandfonline.com/doi/full/10.1080/10426914.2022.2136377" TargetMode="External"/><Relationship Id="rId118" Type="http://schemas.openxmlformats.org/officeDocument/2006/relationships/hyperlink" Target="https://www.mrforum.com/product/9781644902479-183/" TargetMode="External"/><Relationship Id="rId117" Type="http://schemas.openxmlformats.org/officeDocument/2006/relationships/hyperlink" Target="https://www.mdpi.com/1996-1944/16/1/451" TargetMode="External"/><Relationship Id="rId359" Type="http://schemas.openxmlformats.org/officeDocument/2006/relationships/hyperlink" Target="https://1510qkd3u-y-https-www-webofscience-com.z.e-nformation.ro/wos/woscc/full-record/WOS:001007605800008" TargetMode="External"/><Relationship Id="rId116" Type="http://schemas.openxmlformats.org/officeDocument/2006/relationships/hyperlink" Target="https://www.sciencedirect.com/science/article/abs/pii/S0254058423002237?via%3Dihub" TargetMode="External"/><Relationship Id="rId358" Type="http://schemas.openxmlformats.org/officeDocument/2006/relationships/hyperlink" Target="https://15109ke7n-y-https-www-scopus-com.z.e-nformation.ro/results/results.uri?sort=plf-f&amp;src=s&amp;st1=The+liaison+between+performance%2C+strategic+knowledge+management%2C+and+lean+six+sigma&amp;sid=28abf9b931288321570fa9262bde979f&amp;sot=b&amp;sdt=b&amp;sl=90&amp;s=TITLE%28The+liaison+between+performance%2C+strategic+knowledge+management%2C+and+lean+six+sigma%29&amp;origin=searchbasic&amp;editSaveSearch=&amp;yearFrom=Before+1960&amp;yearTo=Present&amp;sessionSearchId=28abf9b931288321570fa9262bde979f&amp;limit=10" TargetMode="External"/><Relationship Id="rId115" Type="http://schemas.openxmlformats.org/officeDocument/2006/relationships/hyperlink" Target="https://www.nature.com/articles/s41598-023-39967-w" TargetMode="External"/><Relationship Id="rId357" Type="http://schemas.openxmlformats.org/officeDocument/2006/relationships/hyperlink" Target="https://15109kdck-y-https-www-scopus-com.z.e-nformation.ro/results/citedbyresults.uri?sort=plf-f&amp;cite=2-s2.0-85041098727&amp;src=s&amp;imp=t&amp;sid=85b143af466f436d6e7beade7e634a19&amp;sot=cite&amp;sdt=a&amp;sl=0&amp;origin=resultslist&amp;editSaveSearch=&amp;txGid=83afba91dae6d8c0b5b9159c93bcb8a6" TargetMode="External"/><Relationship Id="rId599" Type="http://schemas.openxmlformats.org/officeDocument/2006/relationships/hyperlink" Target="https://www.emerald.com/insight/content/doi/10.1108/SRJ-03-2023-0125/full/html" TargetMode="External"/><Relationship Id="rId119" Type="http://schemas.openxmlformats.org/officeDocument/2006/relationships/hyperlink" Target="https://www.sciencedirect.com/science/article/abs/pii/S2214785322073096?via%3Dihub" TargetMode="External"/><Relationship Id="rId110" Type="http://schemas.openxmlformats.org/officeDocument/2006/relationships/hyperlink" Target="https://journal.fi/tribologia/article/view/127844" TargetMode="External"/><Relationship Id="rId352" Type="http://schemas.openxmlformats.org/officeDocument/2006/relationships/hyperlink" Target="https://1510qkd3u-y-https-www-webofscience-com.z.e-nformation.ro/wos/woscc/full-record/WOS:000964426300001" TargetMode="External"/><Relationship Id="rId594" Type="http://schemas.openxmlformats.org/officeDocument/2006/relationships/hyperlink" Target="https://www.mdpi.com/2071-1050/15/16/12122" TargetMode="External"/><Relationship Id="rId351" Type="http://schemas.openxmlformats.org/officeDocument/2006/relationships/hyperlink" Target="https://1510qkd3u-y-https-www-webofscience-com.z.e-nformation.ro/wos/woscc/full-record/WOS:001132740900001" TargetMode="External"/><Relationship Id="rId593" Type="http://schemas.openxmlformats.org/officeDocument/2006/relationships/hyperlink" Target="https://www.ncbi.nlm.nih.gov/pmc/articles/PMC10481185/" TargetMode="External"/><Relationship Id="rId350" Type="http://schemas.openxmlformats.org/officeDocument/2006/relationships/hyperlink" Target="https://1510qkd3u-y-https-www-webofscience-com.z.e-nformation.ro/wos/woscc/full-record/WOS:001044957400001" TargetMode="External"/><Relationship Id="rId592" Type="http://schemas.openxmlformats.org/officeDocument/2006/relationships/hyperlink" Target="https://www.sciencedirect.com/science/article/pii/S0959652623026975?via%3Dihub" TargetMode="External"/><Relationship Id="rId591" Type="http://schemas.openxmlformats.org/officeDocument/2006/relationships/hyperlink" Target="https://www.mdpi.com/2071-1050/15/17/13281" TargetMode="External"/><Relationship Id="rId114" Type="http://schemas.openxmlformats.org/officeDocument/2006/relationships/hyperlink" Target="https://bmcmusculoskeletdisord.biomedcentral.com/articles/10.1186/s12891-023-06478-8" TargetMode="External"/><Relationship Id="rId356" Type="http://schemas.openxmlformats.org/officeDocument/2006/relationships/hyperlink" Target="https://15109kdck-y-https-www-scopus-com.z.e-nformation.ro/results/citedbyresults.uri?sort=plf-f&amp;cite=2-s2.0-85041098727&amp;src=s&amp;imp=t&amp;sid=85b143af466f436d6e7beade7e634a19&amp;sot=cite&amp;sdt=a&amp;sl=0&amp;origin=resultslist&amp;editSaveSearch=&amp;txGid=83afba91dae6d8c0b5b9159c93bcb8a6" TargetMode="External"/><Relationship Id="rId598" Type="http://schemas.openxmlformats.org/officeDocument/2006/relationships/hyperlink" Target="https://journals.sagepub.com/doi/10.1177/21582440231185093" TargetMode="External"/><Relationship Id="rId113" Type="http://schemas.openxmlformats.org/officeDocument/2006/relationships/hyperlink" Target="https://ieeexplore.ieee.org/abstract/document/10290838" TargetMode="External"/><Relationship Id="rId355" Type="http://schemas.openxmlformats.org/officeDocument/2006/relationships/hyperlink" Target="https://1510qkd3u-y-https-www-webofscience-com.z.e-nformation.ro/wos/woscc/full-record/WOS:000927222900001" TargetMode="External"/><Relationship Id="rId597" Type="http://schemas.openxmlformats.org/officeDocument/2006/relationships/hyperlink" Target="https://www.sciencedirect.com/science/article/pii/S0959652623020085?via%3Dihub" TargetMode="External"/><Relationship Id="rId112" Type="http://schemas.openxmlformats.org/officeDocument/2006/relationships/hyperlink" Target="http://www.astrj.com/Machine-Tool-Table-Dynamics-Tests-when-Starting-and-Braking-during-an-Operation-Test,157113,0,2.html" TargetMode="External"/><Relationship Id="rId354" Type="http://schemas.openxmlformats.org/officeDocument/2006/relationships/hyperlink" Target="https://1510qkd3u-y-https-www-webofscience-com.z.e-nformation.ro/wos/woscc/full-record/WOS:001052661200005" TargetMode="External"/><Relationship Id="rId596" Type="http://schemas.openxmlformats.org/officeDocument/2006/relationships/hyperlink" Target="https://www.sciencedirect.com/science/article/pii/S2444569X23001063?via%3Dihub" TargetMode="External"/><Relationship Id="rId111" Type="http://schemas.openxmlformats.org/officeDocument/2006/relationships/hyperlink" Target="https://www.sciencedirect.com/science/article/abs/pii/S0924013622003612?via%3Dihub" TargetMode="External"/><Relationship Id="rId353" Type="http://schemas.openxmlformats.org/officeDocument/2006/relationships/hyperlink" Target="https://1510qkd3u-y-https-www-webofscience-com.z.e-nformation.ro/wos/woscc/full-record/WOS:001009246600001" TargetMode="External"/><Relationship Id="rId595" Type="http://schemas.openxmlformats.org/officeDocument/2006/relationships/hyperlink" Target="https://onlinelibrary.wiley.com/doi/10.1002/sd.2556" TargetMode="External"/><Relationship Id="rId305" Type="http://schemas.openxmlformats.org/officeDocument/2006/relationships/hyperlink" Target="https://www.webofscience.com/wos/woscc/full-record/WOS:000969736100001" TargetMode="External"/><Relationship Id="rId547" Type="http://schemas.openxmlformats.org/officeDocument/2006/relationships/hyperlink" Target="https://www.mdpi.com/2071-1050/15/16/12602" TargetMode="External"/><Relationship Id="rId789" Type="http://schemas.openxmlformats.org/officeDocument/2006/relationships/hyperlink" Target="https://onlinelibrary.wiley.com/doi/10.1002/9781119986454.ch13" TargetMode="External"/><Relationship Id="rId304" Type="http://schemas.openxmlformats.org/officeDocument/2006/relationships/hyperlink" Target="https://www.webofscience.com/wos/woscc/full-record/WOS:001042209800001" TargetMode="External"/><Relationship Id="rId546" Type="http://schemas.openxmlformats.org/officeDocument/2006/relationships/hyperlink" Target="https://www.emerald.com/insight/content/doi/10.1108/BIJ-01-2023-0032/full/html" TargetMode="External"/><Relationship Id="rId788" Type="http://schemas.openxmlformats.org/officeDocument/2006/relationships/hyperlink" Target="https://www.mdpi.com/2227-7390/11/3/631" TargetMode="External"/><Relationship Id="rId303" Type="http://schemas.openxmlformats.org/officeDocument/2006/relationships/hyperlink" Target="https://www.webofscience.com/wos/woscc/full-record/WOS:000914428300001" TargetMode="External"/><Relationship Id="rId545" Type="http://schemas.openxmlformats.org/officeDocument/2006/relationships/hyperlink" Target="https://www.sciencedirect.com/science/article/pii/S0959652623025866?via%3Dihub" TargetMode="External"/><Relationship Id="rId787" Type="http://schemas.openxmlformats.org/officeDocument/2006/relationships/hyperlink" Target="https://www.sciencedirect.com/science/article/pii/S1568494623004179?via%3Dihub" TargetMode="External"/><Relationship Id="rId302" Type="http://schemas.openxmlformats.org/officeDocument/2006/relationships/hyperlink" Target="https://www.webofscience.com/wos/woscc/full-record/WOS:001106062400015" TargetMode="External"/><Relationship Id="rId544" Type="http://schemas.openxmlformats.org/officeDocument/2006/relationships/hyperlink" Target="https://link.springer.com/article/10.1007/s11205-023-03191-w" TargetMode="External"/><Relationship Id="rId786" Type="http://schemas.openxmlformats.org/officeDocument/2006/relationships/hyperlink" Target="https://www.mdpi.com/1999-4907/14/2/173" TargetMode="External"/><Relationship Id="rId309" Type="http://schemas.openxmlformats.org/officeDocument/2006/relationships/hyperlink" Target="https://www.webofscience.com/wos/woscc/full-record/WOS:001052896800001" TargetMode="External"/><Relationship Id="rId308" Type="http://schemas.openxmlformats.org/officeDocument/2006/relationships/hyperlink" Target="https://www.webofscience.com/wos/woscc/full-record/WOS:000988114900001" TargetMode="External"/><Relationship Id="rId307" Type="http://schemas.openxmlformats.org/officeDocument/2006/relationships/hyperlink" Target="https://www.webofscience.com/wos/woscc/full-record/WOS:001008779500001" TargetMode="External"/><Relationship Id="rId549" Type="http://schemas.openxmlformats.org/officeDocument/2006/relationships/hyperlink" Target="https://www.emerald.com/insight/content/doi/10.1108/MD-11-2022-1620/full/html" TargetMode="External"/><Relationship Id="rId306" Type="http://schemas.openxmlformats.org/officeDocument/2006/relationships/hyperlink" Target="https://www.scopus.com/record/display.uri?eid=2-s2.0-85143311729&amp;origin=resultslist&amp;sort=plf-f&amp;src=s&amp;sid=0b3ed5073e84ff23c5e67e08069f052c&amp;sot=b&amp;sdt=b&amp;s=AUTH%28Mughilmathi%2C++j.%29&amp;sl=146&amp;sessionSearchId=0b3ed5073e84ff23c5e67e08069f052c&amp;relpos=0" TargetMode="External"/><Relationship Id="rId548" Type="http://schemas.openxmlformats.org/officeDocument/2006/relationships/hyperlink" Target="https://www.emerald.com/insight/content/doi/10.1108/BIJ-04-2023-0272/full/html" TargetMode="External"/><Relationship Id="rId781" Type="http://schemas.openxmlformats.org/officeDocument/2006/relationships/hyperlink" Target="https://link.springer.com/article/10.1007/s12126-023-09537-6" TargetMode="External"/><Relationship Id="rId780" Type="http://schemas.openxmlformats.org/officeDocument/2006/relationships/hyperlink" Target="https://www.mdpi.com/2071-1050/15/9/7180" TargetMode="External"/><Relationship Id="rId301" Type="http://schemas.openxmlformats.org/officeDocument/2006/relationships/hyperlink" Target="https://doi.org/10.1108/APJBA-04-2021-0165" TargetMode="External"/><Relationship Id="rId543" Type="http://schemas.openxmlformats.org/officeDocument/2006/relationships/hyperlink" Target="https://www.mdpi.com/2071-1050/15/17/12678" TargetMode="External"/><Relationship Id="rId785" Type="http://schemas.openxmlformats.org/officeDocument/2006/relationships/hyperlink" Target="https://bmchealthservres.biomedcentral.com/articles/10.1186/s12913-023-10204-4" TargetMode="External"/><Relationship Id="rId300" Type="http://schemas.openxmlformats.org/officeDocument/2006/relationships/hyperlink" Target="https://scholar.google.com/citations?view_op=view_citation&amp;hl=en&amp;user=aYMjNncAAAAJ&amp;sortby=pubdate&amp;citation_for_view=aYMjNncAAAAJ:2osOgNQ5qMEC" TargetMode="External"/><Relationship Id="rId542" Type="http://schemas.openxmlformats.org/officeDocument/2006/relationships/hyperlink" Target="https://www.sciencedirect.com/science/article/pii/S2405844023072079?via%3Dihub" TargetMode="External"/><Relationship Id="rId784" Type="http://schemas.openxmlformats.org/officeDocument/2006/relationships/hyperlink" Target="https://www.sciencedirect.com/science/article/pii/S0167732223015647?via%3Dihub" TargetMode="External"/><Relationship Id="rId541" Type="http://schemas.openxmlformats.org/officeDocument/2006/relationships/hyperlink" Target="https://www.sciencedirect.com/science/article/pii/S009913332300109X?via%3Dihub" TargetMode="External"/><Relationship Id="rId783" Type="http://schemas.openxmlformats.org/officeDocument/2006/relationships/hyperlink" Target="https://www.sciencedirect.com/science/article/pii/S2213343723022947?via%3Dihub" TargetMode="External"/><Relationship Id="rId540" Type="http://schemas.openxmlformats.org/officeDocument/2006/relationships/hyperlink" Target="https://www.tandfonline.com/doi/full/10.1080/10962247.2023.2244461" TargetMode="External"/><Relationship Id="rId782" Type="http://schemas.openxmlformats.org/officeDocument/2006/relationships/hyperlink" Target="https://ijcs.ro/public/IJCS-23-60_Baera.pdf" TargetMode="External"/><Relationship Id="rId536" Type="http://schemas.openxmlformats.org/officeDocument/2006/relationships/hyperlink" Target="https://www.frontiersin.org/articles/10.3389/fenvs.2023.1238810/full" TargetMode="External"/><Relationship Id="rId778" Type="http://schemas.openxmlformats.org/officeDocument/2006/relationships/hyperlink" Target="https://www.mdpi.com/2071-1050/15/12/9606" TargetMode="External"/><Relationship Id="rId535" Type="http://schemas.openxmlformats.org/officeDocument/2006/relationships/hyperlink" Target="https://www.mdpi.com/2071-1050/15/22/15715" TargetMode="External"/><Relationship Id="rId777" Type="http://schemas.openxmlformats.org/officeDocument/2006/relationships/hyperlink" Target="https://www.mdpi.com/2079-9276/12/2/19" TargetMode="External"/><Relationship Id="rId534" Type="http://schemas.openxmlformats.org/officeDocument/2006/relationships/hyperlink" Target="https://onlinelibrary.wiley.com/doi/10.1002/csr.2665" TargetMode="External"/><Relationship Id="rId776" Type="http://schemas.openxmlformats.org/officeDocument/2006/relationships/hyperlink" Target="https://www.mdpi.com/2073-445X/12/9/1755" TargetMode="External"/><Relationship Id="rId533" Type="http://schemas.openxmlformats.org/officeDocument/2006/relationships/hyperlink" Target="https://www.sciencedirect.com/science/article/pii/S2352186423004431?via%3Dihub" TargetMode="External"/><Relationship Id="rId775" Type="http://schemas.openxmlformats.org/officeDocument/2006/relationships/hyperlink" Target="https://onlinelibrary.wiley.com/doi/10.1111/gcb.16983" TargetMode="External"/><Relationship Id="rId539" Type="http://schemas.openxmlformats.org/officeDocument/2006/relationships/hyperlink" Target="https://www.sciencedirect.com/science/article/pii/S2211464523001227?via%3Dihub" TargetMode="External"/><Relationship Id="rId538" Type="http://schemas.openxmlformats.org/officeDocument/2006/relationships/hyperlink" Target="https://www.sciencedirect.com/science/article/pii/S0959652623028664?via%3Dihub" TargetMode="External"/><Relationship Id="rId537" Type="http://schemas.openxmlformats.org/officeDocument/2006/relationships/hyperlink" Target="https://www.emerald.com/insight/content/doi/10.1108/MD-02-2023-0279/full/html" TargetMode="External"/><Relationship Id="rId779" Type="http://schemas.openxmlformats.org/officeDocument/2006/relationships/hyperlink" Target="https://pubs.acs.org/doi/10.1021/acsestengg.2c00438" TargetMode="External"/><Relationship Id="rId770" Type="http://schemas.openxmlformats.org/officeDocument/2006/relationships/hyperlink" Target="https://www.sciencedirect.com/science/article/pii/S1470160X23006520?via%3Dihub" TargetMode="External"/><Relationship Id="rId532" Type="http://schemas.openxmlformats.org/officeDocument/2006/relationships/hyperlink" Target="https://onlinelibrary.wiley.com/doi/10.1002/bsd2.318" TargetMode="External"/><Relationship Id="rId774" Type="http://schemas.openxmlformats.org/officeDocument/2006/relationships/hyperlink" Target="https://link.springer.com/article/10.1007/s10661-023-11951-x" TargetMode="External"/><Relationship Id="rId531" Type="http://schemas.openxmlformats.org/officeDocument/2006/relationships/hyperlink" Target="https://www.sciencedirect.com/science/article/pii/S0013935123024672?via%3Dihub" TargetMode="External"/><Relationship Id="rId773" Type="http://schemas.openxmlformats.org/officeDocument/2006/relationships/hyperlink" Target="https://www.mdpi.com/2071-1050/15/8/6982" TargetMode="External"/><Relationship Id="rId530" Type="http://schemas.openxmlformats.org/officeDocument/2006/relationships/hyperlink" Target="https://www.sciencedirect.com/science/article/pii/S0959652623043871?via%3Dihub" TargetMode="External"/><Relationship Id="rId772" Type="http://schemas.openxmlformats.org/officeDocument/2006/relationships/hyperlink" Target="https://www.mdpi.com/2071-1050/15/8/6846" TargetMode="External"/><Relationship Id="rId771" Type="http://schemas.openxmlformats.org/officeDocument/2006/relationships/hyperlink" Target="https://produccioncientificaluz.org/index.php/rluz/article/view/40076/45466" TargetMode="External"/><Relationship Id="rId327" Type="http://schemas.openxmlformats.org/officeDocument/2006/relationships/hyperlink" Target="https://1510qkc2b-y-https-www-webofscience-com.z.e-nformation.ro/wos/woscc/full-record/WOS:000960243600001" TargetMode="External"/><Relationship Id="rId569" Type="http://schemas.openxmlformats.org/officeDocument/2006/relationships/hyperlink" Target="https://www.sciencedirect.com/science/article/pii/S1342937X23003039?via%3Dihub" TargetMode="External"/><Relationship Id="rId326" Type="http://schemas.openxmlformats.org/officeDocument/2006/relationships/hyperlink" Target="https://1510qkc2b-y-https-www-webofscience-com.z.e-nformation.ro/wos/woscc/full-record/WOS:001128094300004" TargetMode="External"/><Relationship Id="rId568" Type="http://schemas.openxmlformats.org/officeDocument/2006/relationships/hyperlink" Target="https://www.wageningenacademic.com/doi/10.3920/JIFF2022.0012" TargetMode="External"/><Relationship Id="rId325" Type="http://schemas.openxmlformats.org/officeDocument/2006/relationships/hyperlink" Target="https://www.webofscience.com/wos/woscc/full-record/WOS:001143675300016" TargetMode="External"/><Relationship Id="rId567" Type="http://schemas.openxmlformats.org/officeDocument/2006/relationships/hyperlink" Target="https://www.mdpi.com/2077-0375/13/1/99" TargetMode="External"/><Relationship Id="rId324" Type="http://schemas.openxmlformats.org/officeDocument/2006/relationships/hyperlink" Target="https://www.scopus.com/record/display.uri?eid=2-s2.0-85153337717&amp;origin=resultslist&amp;sort=plf-f&amp;src=s&amp;sot=mulcite&amp;sdt=mulcite&amp;s=REFEID%282-s2.0-85109054440%29&amp;citeCnt=1&amp;sessionSearchId=887f379cee35b2c20cd1bd77f2900c32&amp;relpos=0" TargetMode="External"/><Relationship Id="rId566" Type="http://schemas.openxmlformats.org/officeDocument/2006/relationships/hyperlink" Target="https://revistas.uptc.edu.co/index.php/inquietud_empresarial/article/view/15699" TargetMode="External"/><Relationship Id="rId329" Type="http://schemas.openxmlformats.org/officeDocument/2006/relationships/hyperlink" Target="https://15109kdck-y-https-www-scopus-com.z.e-nformation.ro/results/citedbyresults.uri?sort=plf-f&amp;cite=2-s2.0-85137581183&amp;src=s&amp;imp=t&amp;sid=335d0ebbbe45f8100b04b5de3cd68a48&amp;sot=cite&amp;sdt=a&amp;sl=0&amp;origin=resultslist&amp;editSaveSearch=&amp;txGid=9605c55f8f0c1e7a1b6a1f7d27de88fa" TargetMode="External"/><Relationship Id="rId328" Type="http://schemas.openxmlformats.org/officeDocument/2006/relationships/hyperlink" Target="https://15109kdck-y-https-www-scopus-com.z.e-nformation.ro/results/citedbyresults.uri?sort=plf-f&amp;cite=2-s2.0-85137581183&amp;src=s&amp;imp=t&amp;sid=335d0ebbbe45f8100b04b5de3cd68a48&amp;sot=cite&amp;sdt=a&amp;sl=0&amp;origin=resultslist&amp;editSaveSearch=&amp;txGid=9605c55f8f0c1e7a1b6a1f7d27de88fa" TargetMode="External"/><Relationship Id="rId561" Type="http://schemas.openxmlformats.org/officeDocument/2006/relationships/hyperlink" Target="https://www.sciencedirect.com/science/article/pii/S0959652623003761?via%3Dihub" TargetMode="External"/><Relationship Id="rId560" Type="http://schemas.openxmlformats.org/officeDocument/2006/relationships/hyperlink" Target="https://www.emerald.com/insight/content/doi/10.1108/IMDS-08-2022-0464/full/html" TargetMode="External"/><Relationship Id="rId323" Type="http://schemas.openxmlformats.org/officeDocument/2006/relationships/hyperlink" Target="https://www.cell.com/heliyon/fulltext/S2405-8440(23)00927-1?_returnURL=https%3A%2F%2Flinkinghub.elsevier.com%2Fretrieve%2Fpii%2FS2405844023009271%3Fshowall%3Dtrue" TargetMode="External"/><Relationship Id="rId565" Type="http://schemas.openxmlformats.org/officeDocument/2006/relationships/hyperlink" Target="https://www.sciencedirect.com/science/article/pii/S004016252200659X?via%3Dihub" TargetMode="External"/><Relationship Id="rId322" Type="http://schemas.openxmlformats.org/officeDocument/2006/relationships/hyperlink" Target="https://www.researchgate.net/publication/371307022_HUMAN_RESOURCE_ECONOMICS_IMPACT_OF_SOCIAL_AND_ECONOMIC_FACTORS_ON_EMPLOYER-EMPLOYEE_RELATIONSHIP" TargetMode="External"/><Relationship Id="rId564" Type="http://schemas.openxmlformats.org/officeDocument/2006/relationships/hyperlink" Target="https://www.sciencedirect.com/science/article/pii/S0301479722027396?via%3Dihub" TargetMode="External"/><Relationship Id="rId321" Type="http://schemas.openxmlformats.org/officeDocument/2006/relationships/hyperlink" Target="https://www.mdpi.com/2071-1050/15/6/4896" TargetMode="External"/><Relationship Id="rId563" Type="http://schemas.openxmlformats.org/officeDocument/2006/relationships/hyperlink" Target="https://www.sciencedirect.com/science/article/pii/S0921800923000022?via%3Dihub" TargetMode="External"/><Relationship Id="rId320" Type="http://schemas.openxmlformats.org/officeDocument/2006/relationships/hyperlink" Target="https://www.scopus.com/results/citedbyresults.uri?sort=plf-f&amp;cite=2-s2.0-85103092559&amp;src=s&amp;imp=t&amp;sid=b3dd035000935253614f7e0247f03b60&amp;sot=cite&amp;sdt=a&amp;sl=0&amp;origin=inward&amp;editSaveSearch=&amp;txGid=33e9d92adcfbb03cd05454489f143112" TargetMode="External"/><Relationship Id="rId562" Type="http://schemas.openxmlformats.org/officeDocument/2006/relationships/hyperlink" Target="https://link.springer.com/article/10.1007/s13399-023-03795-9" TargetMode="External"/><Relationship Id="rId316" Type="http://schemas.openxmlformats.org/officeDocument/2006/relationships/hyperlink" Target="https://www.webofscience.com/wos/woscc/full-record/WOS:000910452700001" TargetMode="External"/><Relationship Id="rId558" Type="http://schemas.openxmlformats.org/officeDocument/2006/relationships/hyperlink" Target="https://www.veterinaryworld.org/Vol.16/March-2023/16.html" TargetMode="External"/><Relationship Id="rId315" Type="http://schemas.openxmlformats.org/officeDocument/2006/relationships/hyperlink" Target="https://www.scopus.com/record/display.uri?eid=2-s2.0-85166424685&amp;origin=resultslist&amp;sort=plf-f&amp;cite=2-s2.0-85126547190&amp;src=s&amp;imp=t&amp;sid=81518090a52b5bc4f141163bad71a39a&amp;sot=cite&amp;sdt=a&amp;sl=0&amp;relpos=1&amp;citeCnt=0&amp;searchTerm=" TargetMode="External"/><Relationship Id="rId557" Type="http://schemas.openxmlformats.org/officeDocument/2006/relationships/hyperlink" Target="https://link.springer.com/article/10.1007/s00267-023-01809-w" TargetMode="External"/><Relationship Id="rId799" Type="http://schemas.openxmlformats.org/officeDocument/2006/relationships/hyperlink" Target="https://journal.fi/tribologia/article/view/127844" TargetMode="External"/><Relationship Id="rId314" Type="http://schemas.openxmlformats.org/officeDocument/2006/relationships/hyperlink" Target="https://www.webofscience.com/wos/woscc/full-record/WOS:001078946100001" TargetMode="External"/><Relationship Id="rId556" Type="http://schemas.openxmlformats.org/officeDocument/2006/relationships/hyperlink" Target="https://www.mdpi.com/2071-1050/15/7/5843" TargetMode="External"/><Relationship Id="rId798" Type="http://schemas.openxmlformats.org/officeDocument/2006/relationships/hyperlink" Target="https://josr-online.biomedcentral.com/articles/10.1186/s13018-023-04140-6" TargetMode="External"/><Relationship Id="rId313" Type="http://schemas.openxmlformats.org/officeDocument/2006/relationships/hyperlink" Target="https://www.webofscience.com/wos/woscc/full-record/WOS:000980515600001" TargetMode="External"/><Relationship Id="rId555" Type="http://schemas.openxmlformats.org/officeDocument/2006/relationships/hyperlink" Target="https://www.emerald.com/insight/content/doi/10.1108/IMDS-05-2022-0273/full/html" TargetMode="External"/><Relationship Id="rId797" Type="http://schemas.openxmlformats.org/officeDocument/2006/relationships/hyperlink" Target="https://www.ajme.ro/PDF_AJME_2023_3/L7.pdf" TargetMode="External"/><Relationship Id="rId319" Type="http://schemas.openxmlformats.org/officeDocument/2006/relationships/hyperlink" Target="https://www.webofscience.com/wos/woscc/full-record/WOS:000963868100001" TargetMode="External"/><Relationship Id="rId318" Type="http://schemas.openxmlformats.org/officeDocument/2006/relationships/hyperlink" Target="https://www.webofscience.com/wos/woscc/full-record/WOS:000964369400003" TargetMode="External"/><Relationship Id="rId317" Type="http://schemas.openxmlformats.org/officeDocument/2006/relationships/hyperlink" Target="https://www.scopus.com/record/display.uri?eid=2-s2.0-85163689796&amp;origin=resultslist&amp;sort=plf-f&amp;cite=2-s2.0-85047917917&amp;src=s&amp;imp=t&amp;sid=925487a045a2b0267de3930230220bec&amp;sot=cite&amp;sdt=a&amp;sl=0&amp;relpos=0&amp;citeCnt=0&amp;searchTerm=" TargetMode="External"/><Relationship Id="rId559" Type="http://schemas.openxmlformats.org/officeDocument/2006/relationships/hyperlink" Target="https://www.mdpi.com/2073-4441/15/5/898" TargetMode="External"/><Relationship Id="rId550" Type="http://schemas.openxmlformats.org/officeDocument/2006/relationships/hyperlink" Target="https://iopscience.iop.org/article/10.1088/2053-1591/ace41d" TargetMode="External"/><Relationship Id="rId792" Type="http://schemas.openxmlformats.org/officeDocument/2006/relationships/hyperlink" Target="https://onlinelibrary.wiley.com/doi/10.1002/9781119986454.ch3" TargetMode="External"/><Relationship Id="rId791" Type="http://schemas.openxmlformats.org/officeDocument/2006/relationships/hyperlink" Target="https://link.springer.com/article/10.1007/s12008-023-01535-x" TargetMode="External"/><Relationship Id="rId790" Type="http://schemas.openxmlformats.org/officeDocument/2006/relationships/hyperlink" Target="https://www.igi-global.com/gateway/book/318402" TargetMode="External"/><Relationship Id="rId312" Type="http://schemas.openxmlformats.org/officeDocument/2006/relationships/hyperlink" Target="https://www.scopus.com/record/display.uri?eid=2-s2.0-85160782679&amp;origin=resultslist&amp;sort=plf-f&amp;cite=2-s2.0-84891707567&amp;src=s&amp;imp=t&amp;sid=3f0e8620980b09615c6fb5f68aefc85a&amp;sot=cite&amp;sdt=a&amp;sl=0&amp;relpos=10&amp;citeCnt=1&amp;searchTerm=" TargetMode="External"/><Relationship Id="rId554" Type="http://schemas.openxmlformats.org/officeDocument/2006/relationships/hyperlink" Target="https://www.sciencedirect.com/science/article/pii/S0959652623014981?via%3Dihub" TargetMode="External"/><Relationship Id="rId796" Type="http://schemas.openxmlformats.org/officeDocument/2006/relationships/hyperlink" Target="https://asmedigitalcollection.asme.org/IMECE/proceedings-abstract/IMECE2023/87615/1195728" TargetMode="External"/><Relationship Id="rId311" Type="http://schemas.openxmlformats.org/officeDocument/2006/relationships/hyperlink" Target="https://www.webofscience.com/wos/woscc/full-record/WOS:000674285200001" TargetMode="External"/><Relationship Id="rId553" Type="http://schemas.openxmlformats.org/officeDocument/2006/relationships/hyperlink" Target="https://www.sciencedirect.com/science/article/pii/S0301479723011052?via%3Dihub" TargetMode="External"/><Relationship Id="rId795" Type="http://schemas.openxmlformats.org/officeDocument/2006/relationships/hyperlink" Target="https://qikan.cmes.org/jxgcxb/EN/PDF/10.3901/JME.2023.19.429" TargetMode="External"/><Relationship Id="rId310" Type="http://schemas.openxmlformats.org/officeDocument/2006/relationships/hyperlink" Target="https://www.webofscience.com/wos/woscc/full-record/WOS:000973360500001" TargetMode="External"/><Relationship Id="rId552" Type="http://schemas.openxmlformats.org/officeDocument/2006/relationships/hyperlink" Target="https://www.sciencedirect.com/science/article/pii/S2352186423002481?via%3Dihub" TargetMode="External"/><Relationship Id="rId794" Type="http://schemas.openxmlformats.org/officeDocument/2006/relationships/hyperlink" Target="https://www.mdpi.com/2077-0383/12/24/7506" TargetMode="External"/><Relationship Id="rId551" Type="http://schemas.openxmlformats.org/officeDocument/2006/relationships/hyperlink" Target="https://onlinelibrary.wiley.com/doi/10.1002/csr.2558" TargetMode="External"/><Relationship Id="rId793" Type="http://schemas.openxmlformats.org/officeDocument/2006/relationships/hyperlink" Target="https://www.igi-global.com/gateway/chapter/328470" TargetMode="External"/><Relationship Id="rId297" Type="http://schemas.openxmlformats.org/officeDocument/2006/relationships/hyperlink" Target="https://doi.org/10.1016/j.ssaho.2023.100728" TargetMode="External"/><Relationship Id="rId296" Type="http://schemas.openxmlformats.org/officeDocument/2006/relationships/hyperlink" Target="https://journals.sagepub.com/doi/10.1177/22785337221148891" TargetMode="External"/><Relationship Id="rId295" Type="http://schemas.openxmlformats.org/officeDocument/2006/relationships/hyperlink" Target="https://link.springer.com/chapter/10.1007/978-3-031-25344-7_47" TargetMode="External"/><Relationship Id="rId294" Type="http://schemas.openxmlformats.org/officeDocument/2006/relationships/hyperlink" Target="http://../../Users/OanaD/ASUS%20VivoBook/Downloads/2392-Article%20Text-10341-1-10-20230210%20(1).pdf" TargetMode="External"/><Relationship Id="rId299" Type="http://schemas.openxmlformats.org/officeDocument/2006/relationships/hyperlink" Target="https://doi.org/10.29333/ejmste/12976" TargetMode="External"/><Relationship Id="rId298" Type="http://schemas.openxmlformats.org/officeDocument/2006/relationships/hyperlink" Target="https://scholar.google.com/citations?view_op=view_citation&amp;hl=en&amp;user=aYMjNncAAAAJ&amp;sortby=pubdate&amp;citation_for_view=aYMjNncAAAAJ:2osOgNQ5qMEC" TargetMode="External"/><Relationship Id="rId271" Type="http://schemas.openxmlformats.org/officeDocument/2006/relationships/hyperlink" Target="https://www.webofscience.com/wos/woscc/full-record/WOS:000947996800001" TargetMode="External"/><Relationship Id="rId270" Type="http://schemas.openxmlformats.org/officeDocument/2006/relationships/hyperlink" Target="https://www.scopus.com/record/display.uri?eid=2-s2.0-85159595568&amp;origin=resultslist&amp;sort=plf-f&amp;cite=2-s2.0-85174393239&amp;refeid=2-s2.0-85145357772&amp;src=s&amp;imp=t&amp;sid=daea1e91b4ae0af8cec846dbb1205fe9&amp;sot=cite&amp;sdt=a&amp;sl=0&amp;relpos=2&amp;citeCnt=0&amp;searchTerm=" TargetMode="External"/><Relationship Id="rId269" Type="http://schemas.openxmlformats.org/officeDocument/2006/relationships/hyperlink" Target="https://www.scopus.com/record/display.uri?eid=2-s2.0-85183926961&amp;origin=resultslist&amp;sort=plf-f&amp;cite=2-s2.0-85174393239&amp;refeid=2-s2.0-85145357772&amp;src=s&amp;imp=t&amp;sid=daea1e91b4ae0af8cec846dbb1205fe9&amp;sot=cite&amp;sdt=a&amp;sl=0&amp;relpos=0&amp;citeCnt=0&amp;searchTerm=" TargetMode="External"/><Relationship Id="rId264" Type="http://schemas.openxmlformats.org/officeDocument/2006/relationships/hyperlink" Target="https://www.scopus.com/record/display.uri?eid=2-s2.0-85147781149&amp;citeCnt=3_DELIM_3_DELIM_CTODS_1696722914_DELIM_1&amp;origin=resultslist&amp;sort=plf-f&amp;refeid=2-s2.0-85051457933&amp;src=s&amp;imp=t&amp;sid=0278a4676a8cbda1b3e71ddf16b8c6a6&amp;sot=ctocbw&amp;sdt=a&amp;sl=42&amp;s=PUBYEAR+IS+2023+AND+NOT+AU-ID%2835193491700%29&amp;relpos=1&amp;citeCnt=1&amp;searchTerm=" TargetMode="External"/><Relationship Id="rId263" Type="http://schemas.openxmlformats.org/officeDocument/2006/relationships/hyperlink" Target="https://www.scopus.com/record/display.uri?eid=2-s2.0-85139960821&amp;citeCnt=1_DELIM_1_DELIM_CTODS_1696722914_DELIM_1&amp;origin=resultslist&amp;sort=plf-f&amp;refeid=2-s2.0-84904283153&amp;src=s&amp;imp=t&amp;sid=9f3977890e949c0c6100a3f2e16e4c2c&amp;sot=ctocbw&amp;sdt=a&amp;sl=42&amp;s=PUBYEAR+IS+2023+AND+NOT+AU-ID%2835193491700%29&amp;relpos=0&amp;citeCnt=1&amp;searchTerm=" TargetMode="External"/><Relationship Id="rId262" Type="http://schemas.openxmlformats.org/officeDocument/2006/relationships/hyperlink" Target="https://www.scopus.com/record/display.uri?eid=2-s2.0-85182585449&amp;citeCnt=1_DELIM_4_DELIM_CTODS_1747088553_DELIM_1&amp;origin=resultslist&amp;sort=plf-f&amp;refeid=2-s2.0-85133593066&amp;src=s&amp;imp=t&amp;sid=634da4441cc4fe53a03274929b4d9144&amp;sot=ctocbw&amp;sdt=a&amp;sl=43&amp;s=PUBYEAR+BEF+2026+AND+NOT+AU-ID%2835193491700%29&amp;relpos=2&amp;citeCnt=0&amp;searchTerm=" TargetMode="External"/><Relationship Id="rId261" Type="http://schemas.openxmlformats.org/officeDocument/2006/relationships/hyperlink" Target="https://www.scopus.com/record/display.uri?eid=2-s2.0-85169918978&amp;citeCnt=2_DELIM_2_DELIM_CTODS_1696722914_DELIM_1&amp;origin=resultslist&amp;sort=plf-f&amp;refeid=2-s2.0-85133593066&amp;src=s&amp;imp=t&amp;sid=2b94b314f9f76f0f75e4f060235cc959&amp;sot=ctocbw&amp;sdt=a&amp;sl=42&amp;s=PUBYEAR+IS+2023+AND+NOT+AU-ID%2835193491700%29&amp;relpos=0&amp;citeCnt=0&amp;searchTerm=" TargetMode="External"/><Relationship Id="rId268" Type="http://schemas.openxmlformats.org/officeDocument/2006/relationships/hyperlink" Target="https://www.scopus.com/record/display.uri?eid=2-s2.0-85174393239&amp;origin=resultslist&amp;sort=plf-f&amp;src=s&amp;sid=9295953d58d9a2d1ff5dcf795f6fb32a&amp;sot=b&amp;sdt=b&amp;s=DOI%2810.1109%2FCASE56687.2023.10260438%29&amp;sl=106&amp;sessionSearchId=9295953d58d9a2d1ff5dcf795f6fb32a&amp;relpos=0" TargetMode="External"/><Relationship Id="rId267" Type="http://schemas.openxmlformats.org/officeDocument/2006/relationships/hyperlink" Target="https://www.webofscience.com/wos/woscc/full-record/WOS:001145641500001" TargetMode="External"/><Relationship Id="rId266" Type="http://schemas.openxmlformats.org/officeDocument/2006/relationships/hyperlink" Target="https://www.scopus.com/record/display.uri?eid=2-s2.0-85140456046&amp;citeCnt=1_DELIM_1_DELIM_CTODS_1696722914_DELIM_1&amp;origin=resultslist&amp;sort=plf-f&amp;refeid=2-s2.0-85096503460&amp;src=s&amp;imp=t&amp;sid=eb4d0394b95a98498c3ac3cdface54f3&amp;sot=ctocbw&amp;sdt=a&amp;sl=42&amp;s=PUBYEAR+IS+2023+AND+NOT+AU-ID%2835193491700%29&amp;relpos=0&amp;citeCnt=0&amp;searchTerm=" TargetMode="External"/><Relationship Id="rId265" Type="http://schemas.openxmlformats.org/officeDocument/2006/relationships/hyperlink" Target="https://www.webofscience.com/wos/woscc/full-record/WOS:001050245400001" TargetMode="External"/><Relationship Id="rId260" Type="http://schemas.openxmlformats.org/officeDocument/2006/relationships/hyperlink" Target="https://link.springer.com/chapter/10.1007/978-3-031-45770-8_45" TargetMode="External"/><Relationship Id="rId259" Type="http://schemas.openxmlformats.org/officeDocument/2006/relationships/hyperlink" Target="https://ieeexplore.ieee.org/document/10328432" TargetMode="External"/><Relationship Id="rId258" Type="http://schemas.openxmlformats.org/officeDocument/2006/relationships/hyperlink" Target="https://www.webofscience.com/wos/woscc/full-record/WOS:000940554800001" TargetMode="External"/><Relationship Id="rId253" Type="http://schemas.openxmlformats.org/officeDocument/2006/relationships/hyperlink" Target="https://www.webofscience.com/wos/woscc/full-record/WOS:001026131200001" TargetMode="External"/><Relationship Id="rId495" Type="http://schemas.openxmlformats.org/officeDocument/2006/relationships/hyperlink" Target="https://www.tandfonline.com/doi/full/10.1080/01446193.2023.2210693" TargetMode="External"/><Relationship Id="rId252" Type="http://schemas.openxmlformats.org/officeDocument/2006/relationships/hyperlink" Target="https://onlinelibrary.wiley.com/doi/10.1111/ahe.12960" TargetMode="External"/><Relationship Id="rId494" Type="http://schemas.openxmlformats.org/officeDocument/2006/relationships/hyperlink" Target="https://www.taylorfrancis.com/chapters/edit/10.1201/9781003180302-11/time-lean-management-sercan-demir-turan-paksoy" TargetMode="External"/><Relationship Id="rId251" Type="http://schemas.openxmlformats.org/officeDocument/2006/relationships/hyperlink" Target="https://link.springer.com/article/10.1007/s00381-023-06057-1" TargetMode="External"/><Relationship Id="rId493" Type="http://schemas.openxmlformats.org/officeDocument/2006/relationships/hyperlink" Target="https://www.sciencedirect.com/science/article/pii/S2452414X23000882" TargetMode="External"/><Relationship Id="rId250" Type="http://schemas.openxmlformats.org/officeDocument/2006/relationships/hyperlink" Target="https://www.mdpi.com/2073-4360/15/17/3634" TargetMode="External"/><Relationship Id="rId492" Type="http://schemas.openxmlformats.org/officeDocument/2006/relationships/hyperlink" Target="https://www.scopus.com/results/citedbyresults.uri?sort=plf-f&amp;cite=2-s2.0-85028381211&amp;src=s&amp;imp=t&amp;sid=96cd15d8a7812133d77881f70d1e685a&amp;sot=cite&amp;sdt=a&amp;sl=0&amp;origin=resultslist&amp;editSaveSearch=&amp;txGid=ceb6ce7d65365ac6c71e995be5bce869" TargetMode="External"/><Relationship Id="rId257" Type="http://schemas.openxmlformats.org/officeDocument/2006/relationships/hyperlink" Target="https://www.webofscience.com/wos/woscc/full-record/WOS:001089466600001" TargetMode="External"/><Relationship Id="rId499" Type="http://schemas.openxmlformats.org/officeDocument/2006/relationships/hyperlink" Target="https://www.mdpi.com/2304-8158/12/11/2183" TargetMode="External"/><Relationship Id="rId256" Type="http://schemas.openxmlformats.org/officeDocument/2006/relationships/hyperlink" Target="https://www.scopus.com/results/citedbyresults.uri?sort=plf-f&amp;refeid=2-s2.0-85081055133&amp;src=s&amp;imp=t&amp;sid=dd9a0fd111bc62fd7a4d57eea69a3ee8&amp;sot=ctocbw&amp;sdt=a&amp;sl=42&amp;s=PUBYEAR+IS+2023+AND+NOT+AU-ID%2835193491700%29&amp;origin=cto&amp;citeCnt=1_DELIM_1_DELIM_CTODS_1696722914_DELIM_1&amp;txGid=e8bef9bdc1829bc7def366ad2325b94c" TargetMode="External"/><Relationship Id="rId498" Type="http://schemas.openxmlformats.org/officeDocument/2006/relationships/hyperlink" Target="https://journals.sagepub.com/doi/full/10.1177/23998083231218779" TargetMode="External"/><Relationship Id="rId255" Type="http://schemas.openxmlformats.org/officeDocument/2006/relationships/hyperlink" Target="https://www.webofscience.com/wos/woscc/full-record/WOS:001077399400002" TargetMode="External"/><Relationship Id="rId497" Type="http://schemas.openxmlformats.org/officeDocument/2006/relationships/hyperlink" Target="https://www.frontiersin.org/articles/10.3389/fenrg.2023.1279225/full" TargetMode="External"/><Relationship Id="rId254" Type="http://schemas.openxmlformats.org/officeDocument/2006/relationships/hyperlink" Target="https://www.scopus.com/record/display.uri?eid=2-s2.0-85173276710&amp;origin=resultslist&amp;sort=plf-f&amp;src=s&amp;sot=mulcite&amp;sdt=mulcite&amp;cluster=scopubyr%2C%222023%22%2Ct&amp;s=REFEID%282-s2.0-85084693074%29&amp;citeCnt=1&amp;sessionSearchId=e19f17c5d348bdcc34e9ba8f463933bd&amp;relpos=0" TargetMode="External"/><Relationship Id="rId496" Type="http://schemas.openxmlformats.org/officeDocument/2006/relationships/hyperlink" Target="https://www.sciencedirect.com/science/article/pii/S2214157X23007906" TargetMode="External"/><Relationship Id="rId293" Type="http://schemas.openxmlformats.org/officeDocument/2006/relationships/hyperlink" Target="https://www.mdpi.com/2071-1050/15/6/5185" TargetMode="External"/><Relationship Id="rId292" Type="http://schemas.openxmlformats.org/officeDocument/2006/relationships/hyperlink" Target="https://www.emerald.com/insight/content/doi/10.1108/BIJ-01-2023-0055/full/html" TargetMode="External"/><Relationship Id="rId291" Type="http://schemas.openxmlformats.org/officeDocument/2006/relationships/hyperlink" Target="https://www.iieta.org/journals/ijsdp/paper/10.18280/ijsdp.180312" TargetMode="External"/><Relationship Id="rId290" Type="http://schemas.openxmlformats.org/officeDocument/2006/relationships/hyperlink" Target="https://www.mdpi.com/2076-3417/13/14/8402" TargetMode="External"/><Relationship Id="rId286" Type="http://schemas.openxmlformats.org/officeDocument/2006/relationships/hyperlink" Target="https://www.e3s-conferences.org/articles/e3sconf/abs/2023/25/e3sconf_icobar2023_03010/e3sconf_icobar2023_03010.html" TargetMode="External"/><Relationship Id="rId285" Type="http://schemas.openxmlformats.org/officeDocument/2006/relationships/hyperlink" Target="https://www.tandfonline.com/doi/full/10.1080/14484846.2023.2249144" TargetMode="External"/><Relationship Id="rId284" Type="http://schemas.openxmlformats.org/officeDocument/2006/relationships/hyperlink" Target="https://www.degruyter.com/document/doi/10.1515/9783111323749-019/html" TargetMode="External"/><Relationship Id="rId283" Type="http://schemas.openxmlformats.org/officeDocument/2006/relationships/hyperlink" Target="https://link.springer.com/article/10.1007/s10479-022-04775-4" TargetMode="External"/><Relationship Id="rId289" Type="http://schemas.openxmlformats.org/officeDocument/2006/relationships/hyperlink" Target="https://inzeko.ktu.lt/index.php/EE/article/view/35001" TargetMode="External"/><Relationship Id="rId288" Type="http://schemas.openxmlformats.org/officeDocument/2006/relationships/hyperlink" Target="https://link.springer.com/article/10.1007/s10479-023-05598-7" TargetMode="External"/><Relationship Id="rId287" Type="http://schemas.openxmlformats.org/officeDocument/2006/relationships/hyperlink" Target="https://www.tandfonline.com/doi/abs/10.1080/21681015.2023.2269926" TargetMode="External"/><Relationship Id="rId282" Type="http://schemas.openxmlformats.org/officeDocument/2006/relationships/hyperlink" Target="https://www.igi-global.com/gateway/chapter/332901" TargetMode="External"/><Relationship Id="rId281" Type="http://schemas.openxmlformats.org/officeDocument/2006/relationships/hyperlink" Target="https://www.inderscienceonline.com/doi/abs/10.1504/IJIMS.2023.132744" TargetMode="External"/><Relationship Id="rId280" Type="http://schemas.openxmlformats.org/officeDocument/2006/relationships/hyperlink" Target="https://www.mdpi.com/2227-9717/11/1/96" TargetMode="External"/><Relationship Id="rId275" Type="http://schemas.openxmlformats.org/officeDocument/2006/relationships/hyperlink" Target="https://scholar.google.com/citations?view_op=view_citation&amp;hl=en&amp;user=aYMjNncAAAAJ&amp;sortby=pubdate&amp;citation_for_view=aYMjNncAAAAJ:LkGwnXOMwfcC" TargetMode="External"/><Relationship Id="rId274" Type="http://schemas.openxmlformats.org/officeDocument/2006/relationships/hyperlink" Target="https://www.webofscience.com/wos/woscc/full-record/WOS:000948826200001" TargetMode="External"/><Relationship Id="rId273" Type="http://schemas.openxmlformats.org/officeDocument/2006/relationships/hyperlink" Target="https://www.webofscience.com/wos/woscc/full-record/WOS:001197246000001" TargetMode="External"/><Relationship Id="rId272" Type="http://schemas.openxmlformats.org/officeDocument/2006/relationships/hyperlink" Target="https://www.scopus.com/record/display.uri?eid=2-s2.0-85145391913&amp;origin=resultslist&amp;sort=plf-f&amp;src=s&amp;sid=ba71223f266b5ed64485defb4604fe8f&amp;sot=b&amp;sdt=b&amp;s=TITLE-ABS-KEY%28Rotating+brake+discs+with+carbon+laminated+composite+and+e-glass+epoxy+material%3A+a+mathematical+modeling%29&amp;sl=119&amp;sessionSearchId=ba71223f266b5ed64485defb4604fe8f&amp;relpos=0" TargetMode="External"/><Relationship Id="rId279" Type="http://schemas.openxmlformats.org/officeDocument/2006/relationships/hyperlink" Target="https://www.degruyter.com/document/doi/10.1515/9783111323749-006/html" TargetMode="External"/><Relationship Id="rId278" Type="http://schemas.openxmlformats.org/officeDocument/2006/relationships/hyperlink" Target="https://doi.org/10.3390/math11051191" TargetMode="External"/><Relationship Id="rId277" Type="http://schemas.openxmlformats.org/officeDocument/2006/relationships/hyperlink" Target="https://scholar.google.com/citations?view_op=view_citation&amp;hl=en&amp;user=aYMjNncAAAAJ&amp;sortby=pubdate&amp;citation_for_view=aYMjNncAAAAJ:W7OEmFMy1HYC" TargetMode="External"/><Relationship Id="rId276" Type="http://schemas.openxmlformats.org/officeDocument/2006/relationships/hyperlink" Target="https://doi.org/10.1108/JHTI-08-2021-0209" TargetMode="External"/><Relationship Id="rId907" Type="http://schemas.openxmlformats.org/officeDocument/2006/relationships/hyperlink" Target="https://www.degruyter.com/document/doi/10.1515/9783111323749-019/html" TargetMode="External"/><Relationship Id="rId906" Type="http://schemas.openxmlformats.org/officeDocument/2006/relationships/hyperlink" Target="https://www.tandfonline.com/doi/abs/10.1080/15567036.2023.2276383" TargetMode="External"/><Relationship Id="rId905" Type="http://schemas.openxmlformats.org/officeDocument/2006/relationships/hyperlink" Target="https://onlinelibrary.wiley.com/doi/abs/10.1002/htj.22971" TargetMode="External"/><Relationship Id="rId904" Type="http://schemas.openxmlformats.org/officeDocument/2006/relationships/hyperlink" Target="https://4spepublications.onlinelibrary.wiley.com/doi/10.1002/pen.26560" TargetMode="External"/><Relationship Id="rId909" Type="http://schemas.openxmlformats.org/officeDocument/2006/relationships/hyperlink" Target="https://www.degruyter.com/document/doi/10.1515/cppm-2023-0034/html" TargetMode="External"/><Relationship Id="rId908" Type="http://schemas.openxmlformats.org/officeDocument/2006/relationships/hyperlink" Target="https://www.degruyter.com/document/doi/10.1515/9783111323749-006/html" TargetMode="External"/><Relationship Id="rId903" Type="http://schemas.openxmlformats.org/officeDocument/2006/relationships/hyperlink" Target="https://www.mdpi.com/2227-9091/11/11/199" TargetMode="External"/><Relationship Id="rId902" Type="http://schemas.openxmlformats.org/officeDocument/2006/relationships/hyperlink" Target="https://link.springer.com/article/10.1007/s00170-023-12630-4" TargetMode="External"/><Relationship Id="rId901" Type="http://schemas.openxmlformats.org/officeDocument/2006/relationships/hyperlink" Target="https://www.tandfonline.com/doi/abs/10.1080/15567036.2023.2276383" TargetMode="External"/><Relationship Id="rId900" Type="http://schemas.openxmlformats.org/officeDocument/2006/relationships/hyperlink" Target="https://link.springer.com/article/10.1007/s11356-023-30786-0" TargetMode="External"/><Relationship Id="rId929" Type="http://schemas.openxmlformats.org/officeDocument/2006/relationships/drawing" Target="../drawings/drawing5.xml"/><Relationship Id="rId928" Type="http://schemas.openxmlformats.org/officeDocument/2006/relationships/hyperlink" Target="https://www.scopus.com/record/display.uri?eid=2-s2.0-85185200365&amp;origin=resultslist&amp;sort=plf-f&amp;src=s&amp;sid=ee1ce95c9cfbb64a91b54a2230613a89&amp;sot=b&amp;sdt=b&amp;sl=128" TargetMode="External"/><Relationship Id="rId927" Type="http://schemas.openxmlformats.org/officeDocument/2006/relationships/hyperlink" Target="https://www.webofscience.com/wos/woscc/full-record/WOS:001032629800091" TargetMode="External"/><Relationship Id="rId926" Type="http://schemas.openxmlformats.org/officeDocument/2006/relationships/hyperlink" Target="https://ieeexplore.ieee.org/abstract/document/10406882/keywords" TargetMode="External"/><Relationship Id="rId921" Type="http://schemas.openxmlformats.org/officeDocument/2006/relationships/hyperlink" Target="https://www.inzeko.ktu.lt/index.php/EE/article/view/32834" TargetMode="External"/><Relationship Id="rId920" Type="http://schemas.openxmlformats.org/officeDocument/2006/relationships/hyperlink" Target="https://www.degruyter.com/document/doi/10.1515/ijcre-2023-0092/html" TargetMode="External"/><Relationship Id="rId925" Type="http://schemas.openxmlformats.org/officeDocument/2006/relationships/hyperlink" Target="https://www.scopus.com/record/display.uri?eid=2-s2.0-85187803554&amp;origin=SingleRecordEmailAlert&amp;dgcid=raven_sc_authcite_en_us_email&amp;txGid=8d71bc8223875dd7b2155968f5a5c7d2" TargetMode="External"/><Relationship Id="rId924" Type="http://schemas.openxmlformats.org/officeDocument/2006/relationships/hyperlink" Target="https://shop.elsevier.com/books/handbook-of-recycling/meskers/978-0-323-85514-3" TargetMode="External"/><Relationship Id="rId923" Type="http://schemas.openxmlformats.org/officeDocument/2006/relationships/hyperlink" Target="https://www.fceqyn.unam.edu.ar/recyt/index.php/recyt/article/view/765" TargetMode="External"/><Relationship Id="rId922" Type="http://schemas.openxmlformats.org/officeDocument/2006/relationships/hyperlink" Target="https://www.tandfonline.com/doi/full/10.1080/01694243.2023.2290340?scroll=top&amp;needAccess=true" TargetMode="External"/><Relationship Id="rId918" Type="http://schemas.openxmlformats.org/officeDocument/2006/relationships/hyperlink" Target="https://www.frontiersin.org/articles/10.3389/fenrg.2023.1279225/full" TargetMode="External"/><Relationship Id="rId917" Type="http://schemas.openxmlformats.org/officeDocument/2006/relationships/hyperlink" Target="https://journals.sagepub.com/doi/full/10.1177/0958305X221078262" TargetMode="External"/><Relationship Id="rId916" Type="http://schemas.openxmlformats.org/officeDocument/2006/relationships/hyperlink" Target="https://www.mdpi.com/2071-1050/15/14/11312" TargetMode="External"/><Relationship Id="rId915" Type="http://schemas.openxmlformats.org/officeDocument/2006/relationships/hyperlink" Target="https://www.degruyter.com/document/doi/10.1515/9783111323749/html" TargetMode="External"/><Relationship Id="rId919" Type="http://schemas.openxmlformats.org/officeDocument/2006/relationships/hyperlink" Target="https://4spepublications.onlinelibrary.wiley.com/doi/abs/10.1002/pen.26560" TargetMode="External"/><Relationship Id="rId910" Type="http://schemas.openxmlformats.org/officeDocument/2006/relationships/hyperlink" Target="https://link.springer.com/article/10.1007/s10973-023-12775-0" TargetMode="External"/><Relationship Id="rId914" Type="http://schemas.openxmlformats.org/officeDocument/2006/relationships/hyperlink" Target="https://www.degruyter.com/document/doi/10.1515/9783111323749/html" TargetMode="External"/><Relationship Id="rId913" Type="http://schemas.openxmlformats.org/officeDocument/2006/relationships/hyperlink" Target="https://link.springer.com/article/10.1007/s44150-023-00102-y" TargetMode="External"/><Relationship Id="rId912" Type="http://schemas.openxmlformats.org/officeDocument/2006/relationships/hyperlink" Target="https://inzeko.ktu.lt/index.php/EE/article/view/35001" TargetMode="External"/><Relationship Id="rId911" Type="http://schemas.openxmlformats.org/officeDocument/2006/relationships/hyperlink" Target="https://www.mdpi.com/2073-4360/16/1/48" TargetMode="External"/><Relationship Id="rId629" Type="http://schemas.openxmlformats.org/officeDocument/2006/relationships/hyperlink" Target="https://www.emerald.com/insight/content/doi/10.1108/MD-03-2022-0396/full/html" TargetMode="External"/><Relationship Id="rId624" Type="http://schemas.openxmlformats.org/officeDocument/2006/relationships/hyperlink" Target="https://www.sciencedirect.com/science/article/pii/S0959652623002500?via%3Dihub" TargetMode="External"/><Relationship Id="rId866" Type="http://schemas.openxmlformats.org/officeDocument/2006/relationships/hyperlink" Target="https://www.sciencedirect.com/science/article/pii/S0950061823016963?via%3Dihub" TargetMode="External"/><Relationship Id="rId623" Type="http://schemas.openxmlformats.org/officeDocument/2006/relationships/hyperlink" Target="https://www.emerald.com/insight/content/doi/10.1108/IMDS-05-2022-0273/full/html" TargetMode="External"/><Relationship Id="rId865" Type="http://schemas.openxmlformats.org/officeDocument/2006/relationships/hyperlink" Target="https://www.sciencedirect.com/science/article/pii/S2214157X23005476" TargetMode="External"/><Relationship Id="rId622" Type="http://schemas.openxmlformats.org/officeDocument/2006/relationships/hyperlink" Target="https://www.mdpi.com/2071-1050/15/19/14433" TargetMode="External"/><Relationship Id="rId864" Type="http://schemas.openxmlformats.org/officeDocument/2006/relationships/hyperlink" Target="https://www.sciencedirect.com/science/article/pii/S2214157X23005476" TargetMode="External"/><Relationship Id="rId621" Type="http://schemas.openxmlformats.org/officeDocument/2006/relationships/hyperlink" Target="https://onlinelibrary.wiley.com/doi/10.1002/bse.3597" TargetMode="External"/><Relationship Id="rId863" Type="http://schemas.openxmlformats.org/officeDocument/2006/relationships/hyperlink" Target="http://../../../../../Downloads/Scientiae+Oeconomia+2_2023_2%20(1).pdf" TargetMode="External"/><Relationship Id="rId628" Type="http://schemas.openxmlformats.org/officeDocument/2006/relationships/hyperlink" Target="https://sciendo.com/article/10.2478/picbe-2023-0057" TargetMode="External"/><Relationship Id="rId627" Type="http://schemas.openxmlformats.org/officeDocument/2006/relationships/hyperlink" Target="https://www.mdpi.com/2071-1050/15/20/15159" TargetMode="External"/><Relationship Id="rId869" Type="http://schemas.openxmlformats.org/officeDocument/2006/relationships/hyperlink" Target="https://www.sciencedirect.com/science/article/pii/S2214157X23006378?via%3Dihub" TargetMode="External"/><Relationship Id="rId626" Type="http://schemas.openxmlformats.org/officeDocument/2006/relationships/hyperlink" Target="https://link.springer.com/article/10.1007/s10668-023-04128-6" TargetMode="External"/><Relationship Id="rId868" Type="http://schemas.openxmlformats.org/officeDocument/2006/relationships/hyperlink" Target="https://www.sciencedirect.com/science/article/pii/S0921344923001775?via%3Dihub" TargetMode="External"/><Relationship Id="rId625" Type="http://schemas.openxmlformats.org/officeDocument/2006/relationships/hyperlink" Target="https://www.sciencedirect.com/science/article/pii/S0925753523001959?via%3Dihub" TargetMode="External"/><Relationship Id="rId867" Type="http://schemas.openxmlformats.org/officeDocument/2006/relationships/hyperlink" Target="https://www.mdpi.com/2076-3417/13/14/8402" TargetMode="External"/><Relationship Id="rId620" Type="http://schemas.openxmlformats.org/officeDocument/2006/relationships/hyperlink" Target="https://www.igi-global.com/chapter/is-internal-communication-a-bet-on-the-right-horse-on-the-path-for-promoting-employees-eco-friendly-behavior/323294" TargetMode="External"/><Relationship Id="rId862" Type="http://schemas.openxmlformats.org/officeDocument/2006/relationships/hyperlink" Target="https://pubs.aip.org/aip/acp/article-abstract/2530/1/110012/2891672/Physical-properties-of-flexible-polyurethane-waste?redirectedFrom=PDF" TargetMode="External"/><Relationship Id="rId861" Type="http://schemas.openxmlformats.org/officeDocument/2006/relationships/hyperlink" Target="https://www.sciencedirect.com/science/article/pii/S2214157X23005476?via%3Dihub" TargetMode="External"/><Relationship Id="rId860" Type="http://schemas.openxmlformats.org/officeDocument/2006/relationships/hyperlink" Target="https://pubs.acs.org/action/showCitFormats?doi=10.1021%2Facs.iecr.3c00706&amp;href=/doi/10.1021%2Facs.iecr.3c00706" TargetMode="External"/><Relationship Id="rId619" Type="http://schemas.openxmlformats.org/officeDocument/2006/relationships/hyperlink" Target="https://www.irma-international.org/chapter/analyzing-the-relationship-between-corporate-social-responsibility-and-sustainable-performance/327378/" TargetMode="External"/><Relationship Id="rId618" Type="http://schemas.openxmlformats.org/officeDocument/2006/relationships/hyperlink" Target="https://www.degruyter.com/document/doi/10.1515/9783111170022-009/html" TargetMode="External"/><Relationship Id="rId613" Type="http://schemas.openxmlformats.org/officeDocument/2006/relationships/hyperlink" Target="https://www.mdpi.com/1996-1073/16/3/1117" TargetMode="External"/><Relationship Id="rId855" Type="http://schemas.openxmlformats.org/officeDocument/2006/relationships/hyperlink" Target="https://pubs.acs.org/doi/pdf/10.1021/acssuschemeng.3c01314" TargetMode="External"/><Relationship Id="rId612" Type="http://schemas.openxmlformats.org/officeDocument/2006/relationships/hyperlink" Target="https://www.mdpi.com/2071-1050/15/4/2978" TargetMode="External"/><Relationship Id="rId854" Type="http://schemas.openxmlformats.org/officeDocument/2006/relationships/hyperlink" Target="https://dergipark.org.tr/en/pub/thermal/article/1299177" TargetMode="External"/><Relationship Id="rId611" Type="http://schemas.openxmlformats.org/officeDocument/2006/relationships/hyperlink" Target="https://onlinelibrary.wiley.com/doi/10.1002/gj.4688" TargetMode="External"/><Relationship Id="rId853" Type="http://schemas.openxmlformats.org/officeDocument/2006/relationships/hyperlink" Target="https://seyboldreport.org/article_overview?id=MDUyMDIzMTAxODMyNTkzMTIw" TargetMode="External"/><Relationship Id="rId610" Type="http://schemas.openxmlformats.org/officeDocument/2006/relationships/hyperlink" Target="https://onlinelibrary.wiley.com/doi/10.1002/gj.4712" TargetMode="External"/><Relationship Id="rId852" Type="http://schemas.openxmlformats.org/officeDocument/2006/relationships/hyperlink" Target="https://www.sciencedirect.com/science/article/pii/S2213138823002862" TargetMode="External"/><Relationship Id="rId617" Type="http://schemas.openxmlformats.org/officeDocument/2006/relationships/hyperlink" Target="https://www.mdpi.com/2076-328X/13/1/25" TargetMode="External"/><Relationship Id="rId859" Type="http://schemas.openxmlformats.org/officeDocument/2006/relationships/hyperlink" Target="http://www.pjoes.com/pdf-163567-91682?filename=Establishing%20Impact%20of.pdf" TargetMode="External"/><Relationship Id="rId616" Type="http://schemas.openxmlformats.org/officeDocument/2006/relationships/hyperlink" Target="https://systems.enpress-publisher.com/index.php/jipd/article/view/2067" TargetMode="External"/><Relationship Id="rId858" Type="http://schemas.openxmlformats.org/officeDocument/2006/relationships/hyperlink" Target="https://www.sciencedirect.com/science/article/pii/S2214714423004476" TargetMode="External"/><Relationship Id="rId615" Type="http://schemas.openxmlformats.org/officeDocument/2006/relationships/hyperlink" Target="https://journals.vilniustech.lt/index.php/BMEE/article/view/19423" TargetMode="External"/><Relationship Id="rId857" Type="http://schemas.openxmlformats.org/officeDocument/2006/relationships/hyperlink" Target="https://www.sciencedirect.com/science/article/abs/pii/S2214785323032819?via%3Dihub" TargetMode="External"/><Relationship Id="rId614" Type="http://schemas.openxmlformats.org/officeDocument/2006/relationships/hyperlink" Target="https://link.springer.com/article/10.1007/s11356-023-25436-4" TargetMode="External"/><Relationship Id="rId856" Type="http://schemas.openxmlformats.org/officeDocument/2006/relationships/hyperlink" Target="https://www.sciencedirect.com/science/article/abs/pii/S0950061823016963" TargetMode="External"/><Relationship Id="rId851" Type="http://schemas.openxmlformats.org/officeDocument/2006/relationships/hyperlink" Target="https://www.sciencedirect.com/science/article/pii/S0735193323002361" TargetMode="External"/><Relationship Id="rId850" Type="http://schemas.openxmlformats.org/officeDocument/2006/relationships/hyperlink" Target="https://www.sciencedirect.com/science/article/pii/S0921344923001775" TargetMode="External"/><Relationship Id="rId409" Type="http://schemas.openxmlformats.org/officeDocument/2006/relationships/hyperlink" Target="https://books.google.ro/books?hl=ro&amp;lr=&amp;id=GRTdEAAAQBAJ&amp;oi=fnd&amp;pg=PP1&amp;ots=sTbkGrWGiI&amp;sig=JV3lEIvJ9tINb6g4Jhuiu7xQBG8&amp;redir_esc=y" TargetMode="External"/><Relationship Id="rId404" Type="http://schemas.openxmlformats.org/officeDocument/2006/relationships/hyperlink" Target="https://www.sciencedirect.com/science/article/abs/pii/S0254058423002237" TargetMode="External"/><Relationship Id="rId646" Type="http://schemas.openxmlformats.org/officeDocument/2006/relationships/hyperlink" Target="https://www.mdpi.com/2071-1050/15/22/15892" TargetMode="External"/><Relationship Id="rId888" Type="http://schemas.openxmlformats.org/officeDocument/2006/relationships/hyperlink" Target="https://www.sciencedirect.com/science/article/abs/pii/S1359431123017581" TargetMode="External"/><Relationship Id="rId403" Type="http://schemas.openxmlformats.org/officeDocument/2006/relationships/hyperlink" Target="https://www.emerald.com/insight/content/doi/10.1108/IJLSS-08-2021-0133/full/html" TargetMode="External"/><Relationship Id="rId645" Type="http://schemas.openxmlformats.org/officeDocument/2006/relationships/hyperlink" Target="https://onlinelibrary.wiley.com/doi/10.1002/csr.2665" TargetMode="External"/><Relationship Id="rId887" Type="http://schemas.openxmlformats.org/officeDocument/2006/relationships/hyperlink" Target="https://www.mdpi.com/1996-1944/16/19/6474" TargetMode="External"/><Relationship Id="rId402" Type="http://schemas.openxmlformats.org/officeDocument/2006/relationships/hyperlink" Target="https://15109aixn-y-https-www-scopus-com.z.e-nformation.ro/record/display.uri?eid=2-s2.0-85149638913&amp;origin=resultslist&amp;sort=plf-f&amp;cite=2-s2.0-85124038969&amp;src=s&amp;imp=t&amp;sid=117fec2590018c0024bdfb82220fb8ad&amp;sot=cite&amp;sdt=a&amp;sl=0&amp;relpos=0&amp;citeCnt=0&amp;searchTerm=" TargetMode="External"/><Relationship Id="rId644" Type="http://schemas.openxmlformats.org/officeDocument/2006/relationships/hyperlink" Target="https://www.mdpi.com/2071-1050/15/14/11443" TargetMode="External"/><Relationship Id="rId886" Type="http://schemas.openxmlformats.org/officeDocument/2006/relationships/hyperlink" Target="https://www.sciencedirect.com/science/article/pii/S2451904923005073?via%3Dihub" TargetMode="External"/><Relationship Id="rId401" Type="http://schemas.openxmlformats.org/officeDocument/2006/relationships/hyperlink" Target="https://1510qaiwy-y-https-www-webofscience-com.z.e-nformation.ro/wos/woscc/full-record/WOS:001050304000001" TargetMode="External"/><Relationship Id="rId643" Type="http://schemas.openxmlformats.org/officeDocument/2006/relationships/hyperlink" Target="https://www.mdpi.com/2227-7390/11/14/3058" TargetMode="External"/><Relationship Id="rId885" Type="http://schemas.openxmlformats.org/officeDocument/2006/relationships/hyperlink" Target="https://link.springer.com/article/10.1007/s40430-023-04353-0" TargetMode="External"/><Relationship Id="rId408" Type="http://schemas.openxmlformats.org/officeDocument/2006/relationships/hyperlink" Target="https://www.frontiersin.org/articles/10.3389/fmats.2023.1183816/full" TargetMode="External"/><Relationship Id="rId407" Type="http://schemas.openxmlformats.org/officeDocument/2006/relationships/hyperlink" Target="https://www.tandfonline.com/doi/full/10.2147/TCRM.S400354" TargetMode="External"/><Relationship Id="rId649" Type="http://schemas.openxmlformats.org/officeDocument/2006/relationships/hyperlink" Target="https://www.sciencedirect.com/science/article/pii/S0048969723036756?via%3Dihub" TargetMode="External"/><Relationship Id="rId406" Type="http://schemas.openxmlformats.org/officeDocument/2006/relationships/hyperlink" Target="https://scholar.valpo.edu/jmms/vol9/iss1/15/" TargetMode="External"/><Relationship Id="rId648" Type="http://schemas.openxmlformats.org/officeDocument/2006/relationships/hyperlink" Target="https://www.mdpi.com/2071-1050/15/17/12680" TargetMode="External"/><Relationship Id="rId405" Type="http://schemas.openxmlformats.org/officeDocument/2006/relationships/hyperlink" Target="https://link.springer.com/article/10.1186/s12891-023-06478-8" TargetMode="External"/><Relationship Id="rId647" Type="http://schemas.openxmlformats.org/officeDocument/2006/relationships/hyperlink" Target="https://onlinelibrary.wiley.com/doi/10.1002/sd.2766" TargetMode="External"/><Relationship Id="rId889" Type="http://schemas.openxmlformats.org/officeDocument/2006/relationships/hyperlink" Target="https://link.springer.com/article/10.1007/s13762-023-05227-7" TargetMode="External"/><Relationship Id="rId880" Type="http://schemas.openxmlformats.org/officeDocument/2006/relationships/hyperlink" Target="https://link.springer.com/article/10.1007/s10479-023-05598-7" TargetMode="External"/><Relationship Id="rId400" Type="http://schemas.openxmlformats.org/officeDocument/2006/relationships/hyperlink" Target="https://15109ibgj-y-https-www-scopus-com.z.e-nformation.ro/record/display.uri?eid=2-s2.0-85182393145&amp;citeCnt=5_DELIM_5_DELIM_CTODS_1766295878_DELIM_1&amp;origin=resultslist&amp;sort=plf-f&amp;refeid=2-s2.0-85137581183&amp;src=s&amp;imp=t&amp;sid=59657bb409386603ac3fa96d83f560d6&amp;sot=ctocbw&amp;sdt=a&amp;sl=15&amp;s=PUBYEAR+IS+2023&amp;relpos=0&amp;citeCnt=0&amp;searchTerm=" TargetMode="External"/><Relationship Id="rId642" Type="http://schemas.openxmlformats.org/officeDocument/2006/relationships/hyperlink" Target="https://www.mdpi.com/2076-328X/13/10/789" TargetMode="External"/><Relationship Id="rId884" Type="http://schemas.openxmlformats.org/officeDocument/2006/relationships/hyperlink" Target="https://www.tandfonline.com/doi/full/10.1080/19475411.2023.2258830" TargetMode="External"/><Relationship Id="rId641" Type="http://schemas.openxmlformats.org/officeDocument/2006/relationships/hyperlink" Target="https://www.mdpi.com/2071-1050/15/5/4538" TargetMode="External"/><Relationship Id="rId883" Type="http://schemas.openxmlformats.org/officeDocument/2006/relationships/hyperlink" Target="https://www.sciencedirect.com/science/article/pii/S2214157X23007906" TargetMode="External"/><Relationship Id="rId640" Type="http://schemas.openxmlformats.org/officeDocument/2006/relationships/hyperlink" Target="https://www.webofscience.com/wos/woscc/full-record/WOS:000983211300016" TargetMode="External"/><Relationship Id="rId882" Type="http://schemas.openxmlformats.org/officeDocument/2006/relationships/hyperlink" Target="https://www.mdpi.com/2073-4360/15/18/3764" TargetMode="External"/><Relationship Id="rId881" Type="http://schemas.openxmlformats.org/officeDocument/2006/relationships/hyperlink" Target="https://pubs.rsc.org/en/Content/ArticleLanding/2023/LP/D3LP00112A" TargetMode="External"/><Relationship Id="rId635" Type="http://schemas.openxmlformats.org/officeDocument/2006/relationships/hyperlink" Target="https://3ciencias.com/articulos/articulo/research-on-the-impact-of-waste-utilization-in-high-polluting-enterprises-on-economic-added-value-eva-from-the-perspective-of-low-carbon-ecology/" TargetMode="External"/><Relationship Id="rId877" Type="http://schemas.openxmlformats.org/officeDocument/2006/relationships/hyperlink" Target="https://www.scopus.com/record/display.uri?eid=2-s2.0-85169062615&amp;origin=SingleRecordEmailAlert&amp;dgcid=raven_sc_authcite_en_us_email&amp;txGid=6ebc088737f8005c318a9506c6e9031f" TargetMode="External"/><Relationship Id="rId634" Type="http://schemas.openxmlformats.org/officeDocument/2006/relationships/hyperlink" Target="https://www.mdpi.com/2071-1050/15/24/16827" TargetMode="External"/><Relationship Id="rId876" Type="http://schemas.openxmlformats.org/officeDocument/2006/relationships/hyperlink" Target="https://www.tandfonline.com/doi/citedby/10.1080/10407782.2023.2251090?scroll=top&amp;needAccess=true&amp;role=tab" TargetMode="External"/><Relationship Id="rId633" Type="http://schemas.openxmlformats.org/officeDocument/2006/relationships/hyperlink" Target="https://jsm.gig.eu/journal-of-sustainable-mining/vol22/iss3/6/" TargetMode="External"/><Relationship Id="rId875" Type="http://schemas.openxmlformats.org/officeDocument/2006/relationships/hyperlink" Target="https://financetp.fa.ru/jour/article/view/2306/1233" TargetMode="External"/><Relationship Id="rId632" Type="http://schemas.openxmlformats.org/officeDocument/2006/relationships/hyperlink" Target="https://www.mdpi.com/2227-9717/11/2/554" TargetMode="External"/><Relationship Id="rId874" Type="http://schemas.openxmlformats.org/officeDocument/2006/relationships/hyperlink" Target="https://www.tandfonline.com/doi/full/10.1080/14484846.2023.2249144" TargetMode="External"/><Relationship Id="rId639" Type="http://schemas.openxmlformats.org/officeDocument/2006/relationships/hyperlink" Target="https://www.sciencedirect.com/science/article/pii/S2405844023026889?via%3Dihub" TargetMode="External"/><Relationship Id="rId638" Type="http://schemas.openxmlformats.org/officeDocument/2006/relationships/hyperlink" Target="https://www.sciencedirect.com/science/article/pii/S0956053X23002362?via%3Dihub" TargetMode="External"/><Relationship Id="rId637" Type="http://schemas.openxmlformats.org/officeDocument/2006/relationships/hyperlink" Target="https://www.mdpi.com/2071-1050/15/2/1083" TargetMode="External"/><Relationship Id="rId879" Type="http://schemas.openxmlformats.org/officeDocument/2006/relationships/hyperlink" Target="https://www.sciencedirect.com/science/article/pii/S0950061823029999" TargetMode="External"/><Relationship Id="rId636" Type="http://schemas.openxmlformats.org/officeDocument/2006/relationships/hyperlink" Target="https://www.scielo.br/j/urbe/a/5YQCmrGs9Mh3s3LDpsQY8jD/?lang=pt" TargetMode="External"/><Relationship Id="rId878" Type="http://schemas.openxmlformats.org/officeDocument/2006/relationships/hyperlink" Target="https://www.mdpi.com/2227-9717/11/9/2735" TargetMode="External"/><Relationship Id="rId631" Type="http://schemas.openxmlformats.org/officeDocument/2006/relationships/hyperlink" Target="https://sciendo.com/article/10.2478/sgem-2023-0004" TargetMode="External"/><Relationship Id="rId873" Type="http://schemas.openxmlformats.org/officeDocument/2006/relationships/hyperlink" Target="https://www.inderscienceonline.com/doi/abs/10.1504/IJIMS.2023.132744" TargetMode="External"/><Relationship Id="rId630" Type="http://schemas.openxmlformats.org/officeDocument/2006/relationships/hyperlink" Target="https://www.amfiteatrueconomic.ro/temp/Article_3183.pdf" TargetMode="External"/><Relationship Id="rId872" Type="http://schemas.openxmlformats.org/officeDocument/2006/relationships/hyperlink" Target="https://www.sciencedirect.com/science/article/pii/S2542504823000519?via%3Dihub" TargetMode="External"/><Relationship Id="rId871" Type="http://schemas.openxmlformats.org/officeDocument/2006/relationships/hyperlink" Target="https://www.sciencedirect.com/science/article/abs/pii/S2214714423004476?via%3Dihub" TargetMode="External"/><Relationship Id="rId870" Type="http://schemas.openxmlformats.org/officeDocument/2006/relationships/hyperlink" Target="https://pubs.aip.org/aip/acp/article/2721/1/070065/2904674" TargetMode="External"/><Relationship Id="rId829" Type="http://schemas.openxmlformats.org/officeDocument/2006/relationships/hyperlink" Target="https://www.mdpi.com/2079-4991/13/4/772" TargetMode="External"/><Relationship Id="rId828" Type="http://schemas.openxmlformats.org/officeDocument/2006/relationships/hyperlink" Target="https://onlinelibrary.wiley.com/doi/10.1002/app.53768" TargetMode="External"/><Relationship Id="rId827" Type="http://schemas.openxmlformats.org/officeDocument/2006/relationships/hyperlink" Target="https://www.mdpi.com/2227-9717/11/2/578" TargetMode="External"/><Relationship Id="rId822" Type="http://schemas.openxmlformats.org/officeDocument/2006/relationships/hyperlink" Target="https://link.springer.com/chapter/10.1007/978-3-031-25344-7_47" TargetMode="External"/><Relationship Id="rId821" Type="http://schemas.openxmlformats.org/officeDocument/2006/relationships/hyperlink" Target="https://www.sciencedirect.com/science/article/pii/S2214785323002821" TargetMode="External"/><Relationship Id="rId820" Type="http://schemas.openxmlformats.org/officeDocument/2006/relationships/hyperlink" Target="https://www.sciencedirect.com/science/article/pii/S223878542202035X" TargetMode="External"/><Relationship Id="rId826" Type="http://schemas.openxmlformats.org/officeDocument/2006/relationships/hyperlink" Target="https://www.mdpi.com/2075-1680/12/2/183" TargetMode="External"/><Relationship Id="rId825" Type="http://schemas.openxmlformats.org/officeDocument/2006/relationships/hyperlink" Target="https://www.sciencedirect.com/science/article/pii/S2214785323003681" TargetMode="External"/><Relationship Id="rId824" Type="http://schemas.openxmlformats.org/officeDocument/2006/relationships/hyperlink" Target="https://www.mdpi.com/2071-1050/15/3/2799" TargetMode="External"/><Relationship Id="rId823" Type="http://schemas.openxmlformats.org/officeDocument/2006/relationships/hyperlink" Target="http://../../../../../Downloads/2392-Article%20Text-10341-1-10-20230210%20(1).pdf" TargetMode="External"/><Relationship Id="rId819" Type="http://schemas.openxmlformats.org/officeDocument/2006/relationships/hyperlink" Target="http://yyhx.ciac.jl.cn/EN/10.19894/j.issn.1000-0518.210536" TargetMode="External"/><Relationship Id="rId818" Type="http://schemas.openxmlformats.org/officeDocument/2006/relationships/hyperlink" Target="https://www.sciencedirect.com/science/article/pii/S221478532300281X" TargetMode="External"/><Relationship Id="rId817" Type="http://schemas.openxmlformats.org/officeDocument/2006/relationships/hyperlink" Target="https://link.springer.com/article/10.1007/s12666-022-02832-x" TargetMode="External"/><Relationship Id="rId816" Type="http://schemas.openxmlformats.org/officeDocument/2006/relationships/hyperlink" Target="https://www.mdpi.com/1996-1944/16/3/968" TargetMode="External"/><Relationship Id="rId811" Type="http://schemas.openxmlformats.org/officeDocument/2006/relationships/hyperlink" Target="https://link.springer.com/article/10.1007/s10479-022-04775-4" TargetMode="External"/><Relationship Id="rId810" Type="http://schemas.openxmlformats.org/officeDocument/2006/relationships/hyperlink" Target="https://www.sciencedirect.com/science/article/pii/S089684462200273X" TargetMode="External"/><Relationship Id="rId815" Type="http://schemas.openxmlformats.org/officeDocument/2006/relationships/hyperlink" Target="https://www.sciencedirect.com/science/article/pii/S0141813023002416?via%3Dihub" TargetMode="External"/><Relationship Id="rId814" Type="http://schemas.openxmlformats.org/officeDocument/2006/relationships/hyperlink" Target="https://www.mdpi.com/1996-1944/16/2/872" TargetMode="External"/><Relationship Id="rId813" Type="http://schemas.openxmlformats.org/officeDocument/2006/relationships/hyperlink" Target="https://www.mdpi.com/2313-4321/8/1/8" TargetMode="External"/><Relationship Id="rId812" Type="http://schemas.openxmlformats.org/officeDocument/2006/relationships/hyperlink" Target="https://www.mdpi.com/2227-9717/11/1/96" TargetMode="External"/><Relationship Id="rId609" Type="http://schemas.openxmlformats.org/officeDocument/2006/relationships/hyperlink" Target="https://scholar.google.com/scholar_lookup?author=R%20Baneliene&amp;atitle=Green%20Innovation%20for%20Competitiveness:%20Impact%20on%20GDP%20Growth%20in%20the%20European%20Union&amp;publication_year=2023&amp;hl=en&amp;journal=CONTEMPORARY%20ECONOMICS&amp;volume=17&amp;issue=1&amp;pages=92-108&amp;issn=2084-0845&amp;doi=10.5709/ce.1897-9254.501" TargetMode="External"/><Relationship Id="rId608" Type="http://schemas.openxmlformats.org/officeDocument/2006/relationships/hyperlink" Target="https://www.mdpi.com/2071-1050/15/7/5636" TargetMode="External"/><Relationship Id="rId607" Type="http://schemas.openxmlformats.org/officeDocument/2006/relationships/hyperlink" Target="https://www.emerald.com/insight/content/doi/10.1108/MD-02-2023-0217/full/html" TargetMode="External"/><Relationship Id="rId849" Type="http://schemas.openxmlformats.org/officeDocument/2006/relationships/hyperlink" Target="https://www.e3s-conferences.org/articles/e3sconf/abs/2023/25/e3sconf_icobar2023_03010/e3sconf_icobar2023_03010.html" TargetMode="External"/><Relationship Id="rId602" Type="http://schemas.openxmlformats.org/officeDocument/2006/relationships/hyperlink" Target="https://onlinelibrary.wiley.com/doi/10.1002/gj.4810" TargetMode="External"/><Relationship Id="rId844" Type="http://schemas.openxmlformats.org/officeDocument/2006/relationships/hyperlink" Target="https://www.sciencedirect.com/science/article/pii/S0735193323001987" TargetMode="External"/><Relationship Id="rId601" Type="http://schemas.openxmlformats.org/officeDocument/2006/relationships/hyperlink" Target="https://www.emerald.com/insight/content/doi/10.1108/IJIS-12-2022-0237/full/html" TargetMode="External"/><Relationship Id="rId843" Type="http://schemas.openxmlformats.org/officeDocument/2006/relationships/hyperlink" Target="https://link.springer.com/article/10.1007/s11356-023-27271-z" TargetMode="External"/><Relationship Id="rId600" Type="http://schemas.openxmlformats.org/officeDocument/2006/relationships/hyperlink" Target="https://www.emerald.com/insight/content/doi/10.1108/EJIM-01-2023-0037/full/html" TargetMode="External"/><Relationship Id="rId842" Type="http://schemas.openxmlformats.org/officeDocument/2006/relationships/hyperlink" Target="https://www.emerald.com/insight/content/doi/10.1108/BIJ-01-2023-0055/full/html" TargetMode="External"/><Relationship Id="rId841" Type="http://schemas.openxmlformats.org/officeDocument/2006/relationships/hyperlink" Target="https://www.iieta.org/journals/ijsdp/paper/10.18280/ijsdp.180312" TargetMode="External"/><Relationship Id="rId606" Type="http://schemas.openxmlformats.org/officeDocument/2006/relationships/hyperlink" Target="https://onlinelibrary.wiley.com/doi/10.1002/gj.4738" TargetMode="External"/><Relationship Id="rId848" Type="http://schemas.openxmlformats.org/officeDocument/2006/relationships/hyperlink" Target="https://www.sciencedirect.com/science/article/pii/S0263876223003118?via%3Dihub" TargetMode="External"/><Relationship Id="rId605" Type="http://schemas.openxmlformats.org/officeDocument/2006/relationships/hyperlink" Target="https://www.sciencedirect.com/science/article/pii/S0301420723003811?via%3Dihub" TargetMode="External"/><Relationship Id="rId847" Type="http://schemas.openxmlformats.org/officeDocument/2006/relationships/hyperlink" Target="https://www.mdpi.com/2072-666X/14/5/1024" TargetMode="External"/><Relationship Id="rId604" Type="http://schemas.openxmlformats.org/officeDocument/2006/relationships/hyperlink" Target="https://www.mdpi.com/2071-1050/15/11/8588" TargetMode="External"/><Relationship Id="rId846" Type="http://schemas.openxmlformats.org/officeDocument/2006/relationships/hyperlink" Target="https://www.sciencedirect.com/science/article/pii/S2213138823002503" TargetMode="External"/><Relationship Id="rId603" Type="http://schemas.openxmlformats.org/officeDocument/2006/relationships/hyperlink" Target="https://www.mdpi.com/2071-1050/15/11/8684" TargetMode="External"/><Relationship Id="rId845" Type="http://schemas.openxmlformats.org/officeDocument/2006/relationships/hyperlink" Target="https://journals.sagepub.com/doi/10.1177/22785337221148891" TargetMode="External"/><Relationship Id="rId840" Type="http://schemas.openxmlformats.org/officeDocument/2006/relationships/hyperlink" Target="https://atna-mam.utcluj.ro/index.php/Acta/article/viewFile/2066/1646" TargetMode="External"/><Relationship Id="rId839" Type="http://schemas.openxmlformats.org/officeDocument/2006/relationships/hyperlink" Target="http://economic-research.pl/Journals/index.php/oc/article/view/2264" TargetMode="External"/><Relationship Id="rId838" Type="http://schemas.openxmlformats.org/officeDocument/2006/relationships/hyperlink" Target="https://link.springer.com/article/10.1007/s00604-023-05741-y" TargetMode="External"/><Relationship Id="rId833" Type="http://schemas.openxmlformats.org/officeDocument/2006/relationships/hyperlink" Target="https://www.sciencedirect.com/science/article/pii/S2214785323009380" TargetMode="External"/><Relationship Id="rId832" Type="http://schemas.openxmlformats.org/officeDocument/2006/relationships/hyperlink" Target="https://www.sciencedirect.com/science/article/abs/pii/S2213138823000978?via%3Dihub" TargetMode="External"/><Relationship Id="rId831" Type="http://schemas.openxmlformats.org/officeDocument/2006/relationships/hyperlink" Target="https://www.sciencedirect.com/science/article/pii/S2214157X22009017" TargetMode="External"/><Relationship Id="rId830" Type="http://schemas.openxmlformats.org/officeDocument/2006/relationships/hyperlink" Target="https://www.mdpi.com/1996-1944/16/5/1788" TargetMode="External"/><Relationship Id="rId837" Type="http://schemas.openxmlformats.org/officeDocument/2006/relationships/hyperlink" Target="https://www.tandfonline.com/doi/ref/10.1080/15435075.2023.2194387?scroll=top&amp;role=tab" TargetMode="External"/><Relationship Id="rId836" Type="http://schemas.openxmlformats.org/officeDocument/2006/relationships/hyperlink" Target="https://www.mdpi.com/2310-2861/9/4/294" TargetMode="External"/><Relationship Id="rId835" Type="http://schemas.openxmlformats.org/officeDocument/2006/relationships/hyperlink" Target="https://www.mdpi.com/1996-1073/16/7/3078" TargetMode="External"/><Relationship Id="rId834" Type="http://schemas.openxmlformats.org/officeDocument/2006/relationships/hyperlink" Target="https://www.mdpi.com/2071-1050/15/6/5185" TargetMode="External"/><Relationship Id="rId228" Type="http://schemas.openxmlformats.org/officeDocument/2006/relationships/hyperlink" Target="https://www.webofscience.com/wos/woscc/full-record/WOS:001071742900001?AlertId=53b20fa4-6482-42ad-aff0-aaa011c9f55f&amp;SID=EUW1ED0A2F5CY4pYaWTAuZoMx4bWH" TargetMode="External"/><Relationship Id="rId227" Type="http://schemas.openxmlformats.org/officeDocument/2006/relationships/hyperlink" Target="https://www.scopus.com/record/display.uri?eid=2-s2.0-85166183657&amp;citeCnt=1_DELIM_1_DELIM_CTODS_1696722914_DELIM_1&amp;origin=resultslist&amp;sort=plf-f&amp;refeid=2-s2.0-85151479075&amp;src=s&amp;imp=t&amp;sid=7b1a41ab1c5f7b5dd68a3e08e2ac66ec&amp;sot=ctocbw&amp;sdt=a&amp;sl=42&amp;s=PUBYEAR+IS+2023+AND+NOT+AU-ID%2835193491700%29&amp;relpos=0&amp;citeCnt=0&amp;searchTerm=" TargetMode="External"/><Relationship Id="rId469" Type="http://schemas.openxmlformats.org/officeDocument/2006/relationships/hyperlink" Target="https://www.scopus.com/inward/record.uri?eid=2-s2.0-85152904734&amp;doi=10.1016%2fj.jclepro.2023.137208&amp;partnerID=40&amp;md5=5b1a560c321286aba64efde494299ca3" TargetMode="External"/><Relationship Id="rId226" Type="http://schemas.openxmlformats.org/officeDocument/2006/relationships/hyperlink" Target="https://www.scopus.com/record/display.uri?eid=2-s2.0-85140456046&amp;citeCnt=1_DELIM_1_DELIM_CTODS_1696722914_DELIM_1&amp;origin=resultslist&amp;sort=plf-f&amp;refeid=2-s2.0-85096503460&amp;src=s&amp;imp=t&amp;sid=eb4d0394b95a98498c3ac3cdface54f3&amp;sot=ctocbw&amp;sdt=a&amp;sl=42&amp;s=PUBYEAR+IS+2023+AND+NOT+AU-ID%2835193491700%29&amp;relpos=0&amp;citeCnt=0&amp;searchTerm=" TargetMode="External"/><Relationship Id="rId468" Type="http://schemas.openxmlformats.org/officeDocument/2006/relationships/hyperlink" Target="https://www.webofscience.com/wos/woscc/full-record/WOS:001034442100008" TargetMode="External"/><Relationship Id="rId225" Type="http://schemas.openxmlformats.org/officeDocument/2006/relationships/hyperlink" Target="https://www.scopus.com/record/display.uri?eid=2-s2.0-85139960821&amp;citeCnt=1_DELIM_1_DELIM_CTODS_1696722914_DELIM_1&amp;origin=resultslist&amp;sort=plf-f&amp;refeid=2-s2.0-84904283153&amp;src=s&amp;imp=t&amp;sid=9f3977890e949c0c6100a3f2e16e4c2c&amp;sot=ctocbw&amp;sdt=a&amp;sl=42&amp;s=PUBYEAR+IS+2023+AND+NOT+AU-ID%2835193491700%29&amp;relpos=0&amp;citeCnt=1&amp;searchTerm=" TargetMode="External"/><Relationship Id="rId467" Type="http://schemas.openxmlformats.org/officeDocument/2006/relationships/hyperlink" Target="https://www.scopus.com/inward/record.uri?eid=2-s2.0-85145354205&amp;doi=10.1016%2fj.eswa.2022.119456&amp;partnerID=40&amp;md5=017bdd7185e502ae05f49a9ec0fff369" TargetMode="External"/><Relationship Id="rId229" Type="http://schemas.openxmlformats.org/officeDocument/2006/relationships/hyperlink" Target="https://www.scopus.com/results/citedbyresults.uri?sort=plf-f&amp;refeid=2-s2.0-85081055133&amp;src=s&amp;imp=t&amp;sid=dd9a0fd111bc62fd7a4d57eea69a3ee8&amp;sot=ctocbw&amp;sdt=a&amp;sl=42&amp;s=PUBYEAR+IS+2023+AND+NOT+AU-ID%2835193491700%29&amp;origin=cto&amp;citeCnt=1_DELIM_1_DELIM_CTODS_1696722914_DELIM_1&amp;txGid=e8bef9bdc1829bc7def366ad2325b94c" TargetMode="External"/><Relationship Id="rId220" Type="http://schemas.openxmlformats.org/officeDocument/2006/relationships/hyperlink" Target="https://ieeexplore.ieee.org/abstract/document/10260568" TargetMode="External"/><Relationship Id="rId462" Type="http://schemas.openxmlformats.org/officeDocument/2006/relationships/hyperlink" Target="https://www.degruyter.com/document/doi/10.1515/ijcre-2023-0092/html" TargetMode="External"/><Relationship Id="rId461" Type="http://schemas.openxmlformats.org/officeDocument/2006/relationships/hyperlink" Target="https://link.springer.com/article/10.1007/s00170-023-12630-4" TargetMode="External"/><Relationship Id="rId460" Type="http://schemas.openxmlformats.org/officeDocument/2006/relationships/hyperlink" Target="https://link.springer.com/article/10.1007/s40430-023-04353-0" TargetMode="External"/><Relationship Id="rId224" Type="http://schemas.openxmlformats.org/officeDocument/2006/relationships/hyperlink" Target="https://www.webofscience.com/wos/woscc/full-record/WOS:001089466600001" TargetMode="External"/><Relationship Id="rId466" Type="http://schemas.openxmlformats.org/officeDocument/2006/relationships/hyperlink" Target="https://www.scopus.com/inward/record.uri?eid=2-s2.0-85151996236&amp;doi=10.3390%2fapp13063692&amp;partnerID=40&amp;md5=0eb14a5cc4cf3448adf9e37851bb7961" TargetMode="External"/><Relationship Id="rId223" Type="http://schemas.openxmlformats.org/officeDocument/2006/relationships/hyperlink" Target="https://www.webofscience.com/wos/woscc/full-record/WOS:000983142400001" TargetMode="External"/><Relationship Id="rId465" Type="http://schemas.openxmlformats.org/officeDocument/2006/relationships/hyperlink" Target="https://www.scopus.com/inward/record.uri?eid=2-s2.0-85176234759&amp;doi=10.1080%2f15325008.2023.2274936&amp;partnerID=40&amp;md5=332244219abef71544818ecb47bc45e0" TargetMode="External"/><Relationship Id="rId222" Type="http://schemas.openxmlformats.org/officeDocument/2006/relationships/hyperlink" Target="https://www.scopus.com/record/display.uri?eid=2-s2.0-85177608285&amp;origin=resultslist&amp;sort=plf-f&amp;cite=2-s2.0-85149058514&amp;src=s&amp;nlo=&amp;nlr=&amp;nls=&amp;imp=t&amp;sid=c6c81d84a47df787e4dfdb00cb86b223&amp;sot=cite&amp;sdt=cl&amp;cluster=scopubyr%2c%222023%22%2ct&amp;sl=0&amp;relpos=6&amp;citeCnt=0&amp;searchTerm=" TargetMode="External"/><Relationship Id="rId464" Type="http://schemas.openxmlformats.org/officeDocument/2006/relationships/hyperlink" Target="https://www.scopus.com/record/display.uri?eid=2-s2.0-85186102409&amp;origin=resultslist&amp;sort=plf-f&amp;src=s&amp;sid=ecc591107c3c9718001b7b9eac08da1a&amp;sot=b&amp;sdt=b&amp;s=TITLE-ABS-KEY%28Challenges+and+Requirements+for+Improving+Overall+Equipment+Effectiveness+with+Intelligent+Manufacturing+Technology+in+Special+Machinery+Engineering%29&amp;sl=163&amp;sessionSearchId=ecc591107c3c9718001b7b9eac08da1a&amp;relpos=0" TargetMode="External"/><Relationship Id="rId221" Type="http://schemas.openxmlformats.org/officeDocument/2006/relationships/hyperlink" Target="https://ieeexplore.ieee.org/abstract/document/10272754" TargetMode="External"/><Relationship Id="rId463" Type="http://schemas.openxmlformats.org/officeDocument/2006/relationships/hyperlink" Target="https://www.scopus.com/record/display.uri?eid=2-s2.0-85187803554&amp;origin=SingleRecordEmailAlert&amp;dgcid=raven_sc_authcite_en_us_email&amp;txGid=8d71bc8223875dd7b2155968f5a5c7d2" TargetMode="External"/><Relationship Id="rId217" Type="http://schemas.openxmlformats.org/officeDocument/2006/relationships/hyperlink" Target="https://www.sciencedirect.com/science/article/pii/S2214785323012178" TargetMode="External"/><Relationship Id="rId459" Type="http://schemas.openxmlformats.org/officeDocument/2006/relationships/hyperlink" Target="https://www.scopus.com/record/display.uri?eid=2-s2.0-85169062615&amp;origin=SingleRecordEmailAlert&amp;dgcid=raven_sc_authcite_en_us_email&amp;txGid=6ebc088737f8005c318a9506c6e9031f" TargetMode="External"/><Relationship Id="rId216" Type="http://schemas.openxmlformats.org/officeDocument/2006/relationships/hyperlink" Target="https://www.sciencedirect.com/science/article/pii/S2214785323012178" TargetMode="External"/><Relationship Id="rId458" Type="http://schemas.openxmlformats.org/officeDocument/2006/relationships/hyperlink" Target="https://dergipark.org.tr/en/pub/thermal/article/1299177" TargetMode="External"/><Relationship Id="rId215" Type="http://schemas.openxmlformats.org/officeDocument/2006/relationships/hyperlink" Target="https://www.scopus.com/record/display.uri?eid=2-s2.0-85168096654&amp;origin=resultslist&amp;sort=plf-f&amp;src=s&amp;nlo=&amp;nlr=&amp;nls=&amp;citedAuthorId=57197396119&amp;imp=t&amp;sid=26591c611099eb29040fab4394dbdc74&amp;sot=cite&amp;sdt=cite&amp;cluster=scopubyr%2c%222023%22%2ct&amp;sl=0&amp;relpos=30&amp;citeCnt=3&amp;searchTerm=" TargetMode="External"/><Relationship Id="rId457" Type="http://schemas.openxmlformats.org/officeDocument/2006/relationships/hyperlink" Target="https://seyboldreport.org/article_overview?id=MDUyMDIzMTAxODMyNTkzMTIw" TargetMode="External"/><Relationship Id="rId699" Type="http://schemas.openxmlformats.org/officeDocument/2006/relationships/hyperlink" Target="https://journals.sagepub.com/doi/10.1177/09544089231169655" TargetMode="External"/><Relationship Id="rId214" Type="http://schemas.openxmlformats.org/officeDocument/2006/relationships/hyperlink" Target="https://www.degruyter.com/document/doi/10.1515/epoly-2023-0129/html" TargetMode="External"/><Relationship Id="rId456" Type="http://schemas.openxmlformats.org/officeDocument/2006/relationships/hyperlink" Target="https://www.sciencedirect.com/science/article/pii/S0735193323002361" TargetMode="External"/><Relationship Id="rId698" Type="http://schemas.openxmlformats.org/officeDocument/2006/relationships/hyperlink" Target="https://www.sciencedirect.com/science/article/pii/S2214993723001033?via%3Dihub" TargetMode="External"/><Relationship Id="rId219" Type="http://schemas.openxmlformats.org/officeDocument/2006/relationships/hyperlink" Target="https://www.mdpi.com/1996-1944/16/23/7266" TargetMode="External"/><Relationship Id="rId218" Type="http://schemas.openxmlformats.org/officeDocument/2006/relationships/hyperlink" Target="https://www.sciencedirect.com/science/article/abs/pii/S0029801823011368?casa_token=G8dmDloHhdEAAAAA:j2kaG8KSuJiC4xH0xmGWRTCUA0bv9YGuKsGnrBG50hotum6usu_IZNpO89PRt0n5Af-FP9g" TargetMode="External"/><Relationship Id="rId451" Type="http://schemas.openxmlformats.org/officeDocument/2006/relationships/hyperlink" Target="https://www.scopus.com/record/display.uri?eid=2-s2.0-85163638138&amp;origin=resultslist&amp;sort=plf-f&amp;src=s&amp;sid=4ed66a539823ad5b650558a65818eb47&amp;sot=b&amp;sdt=b&amp;s=TITLE-ABS-KEY%28Simulation+and+Experimental+Investigation+of+Balloon+Folding+and+Inserting+Performance+for+Angioplasty%3A+A+Comparison+of+Two+Materials%2C+Polyamide-12+and+Pebax%29&amp;sl=172&amp;sessionSearchId=4ed66a539823ad5b650558a65818eb47&amp;relpos=0" TargetMode="External"/><Relationship Id="rId693" Type="http://schemas.openxmlformats.org/officeDocument/2006/relationships/hyperlink" Target="https://www.mdpi.com/2071-1050/15/2/1158" TargetMode="External"/><Relationship Id="rId450" Type="http://schemas.openxmlformats.org/officeDocument/2006/relationships/hyperlink" Target="https://www.scopus.com/record/display.uri?eid=2-s2.0-85144208483&amp;origin=resultslist&amp;sort=plf-f&amp;cite=2-s2.0-85109054918&amp;src=s&amp;imp=t&amp;sid=1e6c8704345f2550137ec3d7c1804c6f&amp;sot=cite&amp;sdt=a&amp;sl=0&amp;relpos=3&amp;citeCnt=1&amp;searchTerm=" TargetMode="External"/><Relationship Id="rId692" Type="http://schemas.openxmlformats.org/officeDocument/2006/relationships/hyperlink" Target="https://link.springer.com/article/10.1007/s11356-023-26536-x" TargetMode="External"/><Relationship Id="rId691" Type="http://schemas.openxmlformats.org/officeDocument/2006/relationships/hyperlink" Target="https://www.emerald.com/insight/content/doi/10.1108/MF-10-2022-0474/full/html" TargetMode="External"/><Relationship Id="rId690" Type="http://schemas.openxmlformats.org/officeDocument/2006/relationships/hyperlink" Target="https://onlinelibrary.wiley.com/doi/10.1002/bse.3497" TargetMode="External"/><Relationship Id="rId213" Type="http://schemas.openxmlformats.org/officeDocument/2006/relationships/hyperlink" Target="https://www.sciencedirect.com/science/article/pii/S2214914723002891?via%3Dihub" TargetMode="External"/><Relationship Id="rId455" Type="http://schemas.openxmlformats.org/officeDocument/2006/relationships/hyperlink" Target="https://atna-mam.utcluj.ro/index.php/Acta/article/viewFile/2066/1646" TargetMode="External"/><Relationship Id="rId697" Type="http://schemas.openxmlformats.org/officeDocument/2006/relationships/hyperlink" Target="https://link.springer.com/article/10.1007/s12008-023-01459-6" TargetMode="External"/><Relationship Id="rId212" Type="http://schemas.openxmlformats.org/officeDocument/2006/relationships/hyperlink" Target="https://sciendo.com/article/10.2478/ama-2023-0056?tab=references" TargetMode="External"/><Relationship Id="rId454" Type="http://schemas.openxmlformats.org/officeDocument/2006/relationships/hyperlink" Target="https://www.sciencedirect.com/science/article/pii/S2214785323003681" TargetMode="External"/><Relationship Id="rId696" Type="http://schemas.openxmlformats.org/officeDocument/2006/relationships/hyperlink" Target="https://www.sciencedirect.com/science/article/pii/S095965262303771X?via%3Dihub" TargetMode="External"/><Relationship Id="rId211" Type="http://schemas.openxmlformats.org/officeDocument/2006/relationships/hyperlink" Target="https://www.sciencedirect.com/science/article/abs/pii/S1350630723001723" TargetMode="External"/><Relationship Id="rId453" Type="http://schemas.openxmlformats.org/officeDocument/2006/relationships/hyperlink" Target="https://www.sciencedirect.com/science/article/pii/S2214785323002821" TargetMode="External"/><Relationship Id="rId695" Type="http://schemas.openxmlformats.org/officeDocument/2006/relationships/hyperlink" Target="https://ieeexplore.ieee.org/document/10018837" TargetMode="External"/><Relationship Id="rId210" Type="http://schemas.openxmlformats.org/officeDocument/2006/relationships/hyperlink" Target="https://www.scopus.com/record/display.uri?eid=2-s2.0-85176243938&amp;origin=resultslist&amp;sort=plf-f&amp;src=s&amp;nlo=&amp;nlr=&amp;nls=&amp;citedAuthorId=57197396119&amp;imp=t&amp;sid=26591c611099eb29040fab4394dbdc74&amp;sot=cite&amp;sdt=cite&amp;cluster=scopubyr%2c%222023%22%2ct&amp;sl=0&amp;relpos=22&amp;citeCnt=1&amp;searchTerm=" TargetMode="External"/><Relationship Id="rId452" Type="http://schemas.openxmlformats.org/officeDocument/2006/relationships/hyperlink" Target="https://www.sciencedirect.com/science/article/pii/S221478532300281X" TargetMode="External"/><Relationship Id="rId694" Type="http://schemas.openxmlformats.org/officeDocument/2006/relationships/hyperlink" Target="https://link.springer.com/article/10.1007/s10479-023-05235-3" TargetMode="External"/><Relationship Id="rId491" Type="http://schemas.openxmlformats.org/officeDocument/2006/relationships/hyperlink" Target="https://www.tandfonline.com/doi/full/10.1080/00207543.2023.2298486?casa_token=4cqPG_8uOywAAAAA%3APjkxUQN4Lf2E2nzUJnYv8IgXt1ULioxydU7ppibrHXrJestolvfH0ZU85IBgADHfQQmRTJhfgMYYYw" TargetMode="External"/><Relationship Id="rId490" Type="http://schemas.openxmlformats.org/officeDocument/2006/relationships/hyperlink" Target="https://www.scopus.com/results/citedbyresults.uri?sort=plf-f&amp;cite=2-s2.0-85028381211&amp;src=s&amp;imp=t&amp;sid=96cd15d8a7812133d77881f70d1e685a&amp;sot=cite&amp;sdt=a&amp;sl=0&amp;origin=resultslist&amp;editSaveSearch=&amp;txGid=ceb6ce7d65365ac6c71e995be5bce869" TargetMode="External"/><Relationship Id="rId249" Type="http://schemas.openxmlformats.org/officeDocument/2006/relationships/hyperlink" Target="https://doi.org/10.21614/chirurgia.2023.v.118.i.6.p.673" TargetMode="External"/><Relationship Id="rId248" Type="http://schemas.openxmlformats.org/officeDocument/2006/relationships/hyperlink" Target="https://scholar.valpo.edu/cgi/viewcontent.cgi?article=1413&amp;context=jmms" TargetMode="External"/><Relationship Id="rId247" Type="http://schemas.openxmlformats.org/officeDocument/2006/relationships/hyperlink" Target="https://www.mdpi.com/2076-3417/13/14/8382" TargetMode="External"/><Relationship Id="rId489" Type="http://schemas.openxmlformats.org/officeDocument/2006/relationships/hyperlink" Target="https://www.sciencedirect.com/science/article/pii/S266695442300011X" TargetMode="External"/><Relationship Id="rId242" Type="http://schemas.openxmlformats.org/officeDocument/2006/relationships/hyperlink" Target="https://www.mdpi.com/1648-9144/59/8/1491" TargetMode="External"/><Relationship Id="rId484" Type="http://schemas.openxmlformats.org/officeDocument/2006/relationships/hyperlink" Target="https://doi.org/10.3390/met13081373" TargetMode="External"/><Relationship Id="rId241" Type="http://schemas.openxmlformats.org/officeDocument/2006/relationships/hyperlink" Target="https://www.scopus.com/record/display.uri?eid=2-s2.0-85159595568&amp;origin=resultslist&amp;sort=plf-f&amp;cite=2-s2.0-85174393239&amp;refeid=2-s2.0-85145357772&amp;src=s&amp;imp=t&amp;sid=daea1e91b4ae0af8cec846dbb1205fe9&amp;sot=cite&amp;sdt=a&amp;sl=0&amp;relpos=2&amp;citeCnt=0&amp;searchTerm=" TargetMode="External"/><Relationship Id="rId483" Type="http://schemas.openxmlformats.org/officeDocument/2006/relationships/hyperlink" Target="https://doi.org/10.3390/nano13050876" TargetMode="External"/><Relationship Id="rId240" Type="http://schemas.openxmlformats.org/officeDocument/2006/relationships/hyperlink" Target="https://www.scopus.com/record/display.uri?eid=2-s2.0-85183926961&amp;origin=resultslist&amp;sort=plf-f&amp;cite=2-s2.0-85174393239&amp;refeid=2-s2.0-85145357772&amp;src=s&amp;imp=t&amp;sid=daea1e91b4ae0af8cec846dbb1205fe9&amp;sot=cite&amp;sdt=a&amp;sl=0&amp;relpos=0&amp;citeCnt=0&amp;searchTerm=" TargetMode="External"/><Relationship Id="rId482" Type="http://schemas.openxmlformats.org/officeDocument/2006/relationships/hyperlink" Target="https://www.elgaronline.com/edcollchap/book/9781789902532/book-part-9781789902532-10.xml" TargetMode="External"/><Relationship Id="rId481" Type="http://schemas.openxmlformats.org/officeDocument/2006/relationships/hyperlink" Target="https://journals.lww.com/joos/fulltext/2023/11020/stress_effect_on_the_mandibular_dental_arch_by.61.aspx" TargetMode="External"/><Relationship Id="rId246" Type="http://schemas.openxmlformats.org/officeDocument/2006/relationships/hyperlink" Target="https://www.mdpi.com/2227-7390/11/18/3804" TargetMode="External"/><Relationship Id="rId488" Type="http://schemas.openxmlformats.org/officeDocument/2006/relationships/hyperlink" Target="https://www.scopus.com/results/citedbyresults.uri?sort=plf-f&amp;cite=2-s2.0-85028381211&amp;src=s&amp;imp=t&amp;sid=96cd15d8a7812133d77881f70d1e685a&amp;sot=cite&amp;sdt=a&amp;sl=0&amp;origin=resultslist&amp;editSaveSearch=&amp;txGid=ceb6ce7d65365ac6c71e995be5bce869" TargetMode="External"/><Relationship Id="rId245" Type="http://schemas.openxmlformats.org/officeDocument/2006/relationships/hyperlink" Target="https://www.mdpi.com/2227-7390/11/16/3594" TargetMode="External"/><Relationship Id="rId487" Type="http://schemas.openxmlformats.org/officeDocument/2006/relationships/hyperlink" Target="https://www.emerald.com/insight/content/doi/10.1108/JMTM-12-2022-0449/full/html" TargetMode="External"/><Relationship Id="rId244" Type="http://schemas.openxmlformats.org/officeDocument/2006/relationships/hyperlink" Target="https://www.mdpi.com/2077-0383/12/21/6946" TargetMode="External"/><Relationship Id="rId486" Type="http://schemas.openxmlformats.org/officeDocument/2006/relationships/hyperlink" Target="https://doi.org/10.1016/j.scitotenv.2023.164362." TargetMode="External"/><Relationship Id="rId243" Type="http://schemas.openxmlformats.org/officeDocument/2006/relationships/hyperlink" Target="https://openurl.ebsco.com/EPDB%3Agcd%3A4%3A22774868/detailv2?sid=ebsco%3Aplink%3Ascholar&amp;id=ebsco%3Agcd%3A174700442&amp;crl=c" TargetMode="External"/><Relationship Id="rId485" Type="http://schemas.openxmlformats.org/officeDocument/2006/relationships/hyperlink" Target="https://doi.org/10.3390/fermentation9090831" TargetMode="External"/><Relationship Id="rId480" Type="http://schemas.openxmlformats.org/officeDocument/2006/relationships/hyperlink" Target="https://www.thieme-connect.de/products/ejournals/abstract/10.1055/s-0042-1749363" TargetMode="External"/><Relationship Id="rId239" Type="http://schemas.openxmlformats.org/officeDocument/2006/relationships/hyperlink" Target="https://www.scopus.com/record/display.uri?eid=2-s2.0-85174393239&amp;origin=resultslist&amp;sort=plf-f&amp;src=s&amp;sid=9295953d58d9a2d1ff5dcf795f6fb32a&amp;sot=b&amp;sdt=b&amp;s=DOI%2810.1109%2FCASE56687.2023.10260438%29&amp;sl=106&amp;sessionSearchId=9295953d58d9a2d1ff5dcf795f6fb32a&amp;relpos=0" TargetMode="External"/><Relationship Id="rId238" Type="http://schemas.openxmlformats.org/officeDocument/2006/relationships/hyperlink" Target="https://link.springer.com/chapter/10.1007/978-3-031-41163-2_11" TargetMode="External"/><Relationship Id="rId237" Type="http://schemas.openxmlformats.org/officeDocument/2006/relationships/hyperlink" Target="https://www.scopus.com/record/display.uri?eid=2-s2.0-85169918978&amp;citeCnt=2_DELIM_2_DELIM_CTODS_1696722914_DELIM_1&amp;origin=resultslist&amp;sort=plf-f&amp;refeid=2-s2.0-85133593066&amp;src=s&amp;imp=t&amp;sid=2b94b314f9f76f0f75e4f060235cc959&amp;sot=ctocbw&amp;sdt=a&amp;sl=42&amp;s=PUBYEAR+IS+2023+AND+NOT+AU-ID%2835193491700%29&amp;relpos=0&amp;citeCnt=0&amp;searchTerm=" TargetMode="External"/><Relationship Id="rId479" Type="http://schemas.openxmlformats.org/officeDocument/2006/relationships/hyperlink" Target="https://1510qdj3d-y-https-www-webofscience-com.z.e-nformation.ro/wos/woscc/full-record/WOS:001117502700001" TargetMode="External"/><Relationship Id="rId236" Type="http://schemas.openxmlformats.org/officeDocument/2006/relationships/hyperlink" Target="https://www.scopus.com/record/display.uri?eid=2-s2.0-85182585449&amp;citeCnt=1_DELIM_4_DELIM_CTODS_1747088553_DELIM_1&amp;origin=resultslist&amp;sort=plf-f&amp;refeid=2-s2.0-85133593066&amp;src=s&amp;imp=t&amp;sid=634da4441cc4fe53a03274929b4d9144&amp;sot=ctocbw&amp;sdt=a&amp;sl=43&amp;s=PUBYEAR+BEF+2026+AND+NOT+AU-ID%2835193491700%29&amp;relpos=2&amp;citeCnt=0&amp;searchTerm=" TargetMode="External"/><Relationship Id="rId478" Type="http://schemas.openxmlformats.org/officeDocument/2006/relationships/hyperlink" Target="https://1510q7a3n-y-https-www-webofscience-com.z.e-nformation.ro/wos/woscc/full-record/WOS:000914811700005" TargetMode="External"/><Relationship Id="rId231" Type="http://schemas.openxmlformats.org/officeDocument/2006/relationships/hyperlink" Target="https://www.scopus.com/record/display.uri?eid=2-s2.0-85184755429&amp;origin=resultslist&amp;sort=plf-f&amp;src=s&amp;sot=mulcite&amp;sdt=mulcite&amp;cluster=scopubyr%2C%222023%22%2Ct&amp;s=REFEID%282-s2.0-85081055133%29&amp;citeCnt=1&amp;sessionSearchId=99b8082f741fc2eadf57160515506d0c&amp;relpos=0" TargetMode="External"/><Relationship Id="rId473" Type="http://schemas.openxmlformats.org/officeDocument/2006/relationships/hyperlink" Target="https://www.scopus.com/record/display.uri?eid=2-s2.0-85171522397&amp;origin=resultslist&amp;sort=plf-f&amp;src=s&amp;sid=2a9f21d8da703132ad3c1490005a4e8a&amp;sot=b&amp;sdt=b&amp;s=TITLE-ABS-KEY%28Iterative+Planning+as+a+Holistic+Framework+for+Production+System-Wide+Optimization+Control+Loops%29&amp;sl=111&amp;sessionSearchId=2a9f21d8da703132ad3c1490005a4e8a&amp;relpos=0" TargetMode="External"/><Relationship Id="rId230" Type="http://schemas.openxmlformats.org/officeDocument/2006/relationships/hyperlink" Target="https://www.webofscience.com/wos/woscc/full-record/WOS:001077399400002" TargetMode="External"/><Relationship Id="rId472" Type="http://schemas.openxmlformats.org/officeDocument/2006/relationships/hyperlink" Target="https://www.scopus.com/record/display.uri?eid=2-s2.0-85161813629&amp;origin=resultslist&amp;sort=plf-f&amp;src=s&amp;sid=894cd254ef55725374aacc1602a841ec&amp;sot=b&amp;sdt=b&amp;s=TITLE-ABS-KEY%28Engineering+digital+twins+and+digital+shadows+as+key+enablers+for+industry+4.0%29&amp;sl=137&amp;sessionSearchId=894cd254ef55725374aacc1602a841ec&amp;relpos=0" TargetMode="External"/><Relationship Id="rId471" Type="http://schemas.openxmlformats.org/officeDocument/2006/relationships/hyperlink" Target="https://www.scopus.com/inward/record.uri?eid=2-s2.0-85180617168&amp;doi=10.3390%2fs23249786&amp;partnerID=40&amp;md5=6f6e1a3832040888b6714cf02797bd93" TargetMode="External"/><Relationship Id="rId470" Type="http://schemas.openxmlformats.org/officeDocument/2006/relationships/hyperlink" Target="https://www.scopus.com/inward/record.uri?eid=2-s2.0-85173114120&amp;doi=10.18267%2fj.cebr.333&amp;partnerID=40&amp;md5=675b4c2539148d2fd04ae49777febf87" TargetMode="External"/><Relationship Id="rId235" Type="http://schemas.openxmlformats.org/officeDocument/2006/relationships/hyperlink" Target="https://www.webofscience.com/wos/woscc/full-record/WOS:001145641500001" TargetMode="External"/><Relationship Id="rId477" Type="http://schemas.openxmlformats.org/officeDocument/2006/relationships/hyperlink" Target="https://1510q7a3n-y-https-www-webofscience-com.z.e-nformation.ro/wos/woscc/full-record/WOS:000997362100001" TargetMode="External"/><Relationship Id="rId234" Type="http://schemas.openxmlformats.org/officeDocument/2006/relationships/hyperlink" Target="https://www.webofscience.com/wos/woscc/full-record/WOS:001050245400001" TargetMode="External"/><Relationship Id="rId476" Type="http://schemas.openxmlformats.org/officeDocument/2006/relationships/hyperlink" Target="https://agrolifejournal.usamv.ro/index.php/agrolife/article/view/649/641" TargetMode="External"/><Relationship Id="rId233" Type="http://schemas.openxmlformats.org/officeDocument/2006/relationships/hyperlink" Target="https://www.scopus.com/record/display.uri?eid=2-s2.0-85147781149&amp;citeCnt=3_DELIM_3_DELIM_CTODS_1696722914_DELIM_1&amp;origin=resultslist&amp;sort=plf-f&amp;refeid=2-s2.0-85051457933&amp;src=s&amp;imp=t&amp;sid=0278a4676a8cbda1b3e71ddf16b8c6a6&amp;sot=ctocbw&amp;sdt=a&amp;sl=42&amp;s=PUBYEAR+IS+2023+AND+NOT+AU-ID%2835193491700%29&amp;relpos=1&amp;citeCnt=1&amp;searchTerm=" TargetMode="External"/><Relationship Id="rId475" Type="http://schemas.openxmlformats.org/officeDocument/2006/relationships/hyperlink" Target="https://www.scopus.com/record/display.uri?eid=2-s2.0-85179669966&amp;origin=resultslist&amp;sort=plf-f&amp;src=s&amp;sid=9328b03fcaa4ec0ed6a3d99531058a90&amp;sot=b&amp;sdt=b&amp;s=TITLE-ABS-KEY%28A+comprehensive+review+on+heat-assisted+incremental+sheet+forming%29&amp;sl=80&amp;sessionSearchId=9328b03fcaa4ec0ed6a3d99531058a90&amp;relpos=1" TargetMode="External"/><Relationship Id="rId232" Type="http://schemas.openxmlformats.org/officeDocument/2006/relationships/hyperlink" Target="https://www.scopus.com/record/display.uri?eid=2-s2.0-85147760605&amp;origin=resultslist&amp;sort=plf-f&amp;src=s&amp;sot=mulcite&amp;sdt=mulcite&amp;cluster=scopubyr%2C%222023%22%2Ct&amp;s=REFEID%282-s2.0-85096462148%29&amp;citeCnt=1&amp;sessionSearchId=87f2f3bce63333962a96d0ae77061e3b&amp;relpos=0" TargetMode="External"/><Relationship Id="rId474" Type="http://schemas.openxmlformats.org/officeDocument/2006/relationships/hyperlink" Target="https://www.scopus.com/record/display.uri?eid=2-s2.0-85147583501&amp;origin=resultslist&amp;sort=plf-f&amp;src=s&amp;sid=2e005be9f3fd97ccd6b630ae763388a5&amp;sot=b&amp;sdt=b&amp;s=TITLE-ABS-KEY%28Assisted+discovery+of+optimal+solution+for+logistics+problems+using+ontology+modelling%29&amp;sl=95&amp;sessionSearchId=2e005be9f3fd97ccd6b630ae763388a5&amp;relpos=0" TargetMode="External"/><Relationship Id="rId426" Type="http://schemas.openxmlformats.org/officeDocument/2006/relationships/hyperlink" Target="https://www.scopus.com/record/display.uri?eid=2-s2.0-85174743431&amp;citeCnt=0&amp;origin=resultslist&amp;sort=plf-f&amp;cite=2-s2.0-84940930011&amp;src=s&amp;imp=t&amp;sid=8cab825b559f743c144f7a3d957e89b5&amp;sot=cite&amp;sdt=a&amp;sl=0&amp;relpos=2&amp;citeCnt=0&amp;searchTerm=" TargetMode="External"/><Relationship Id="rId668" Type="http://schemas.openxmlformats.org/officeDocument/2006/relationships/hyperlink" Target="https://www.mdpi.com/2073-4395/13/4/1066" TargetMode="External"/><Relationship Id="rId425" Type="http://schemas.openxmlformats.org/officeDocument/2006/relationships/hyperlink" Target="https://www.scopus.com/record/display.uri?eid=2-s2.0-85165224785&amp;origin=resultslist&amp;sort=plf-f&amp;cite=2-s2.0-84940930011&amp;src=s&amp;imp=t&amp;sid=8cab825b559f743c144f7a3d957e89b5&amp;sot=cite&amp;sdt=a&amp;sl=0&amp;relpos=1&amp;citeCnt=0&amp;searchTerm=" TargetMode="External"/><Relationship Id="rId667" Type="http://schemas.openxmlformats.org/officeDocument/2006/relationships/hyperlink" Target="https://www.mdpi.com/2311-7524/9/4/447" TargetMode="External"/><Relationship Id="rId424" Type="http://schemas.openxmlformats.org/officeDocument/2006/relationships/hyperlink" Target="https://www.scopus.com/record/display.uri?eid=2-s2.0-84940930011&amp;origin=inward&amp;txGid=32a81de4ed9db0e569591cd7669b6d40" TargetMode="External"/><Relationship Id="rId666" Type="http://schemas.openxmlformats.org/officeDocument/2006/relationships/hyperlink" Target="https://www.sciencedirect.com/science/article/pii/S1385894723018120?via%3Dihub" TargetMode="External"/><Relationship Id="rId423" Type="http://schemas.openxmlformats.org/officeDocument/2006/relationships/hyperlink" Target="https://www.scopus.com/record/display.uri?eid=2-s2.0-85176961710&amp;citeCnt=0&amp;origin=resultslist&amp;sort=plf-f&amp;cite=2-s2.0-84940930011&amp;src=s&amp;imp=t&amp;sid=8cab825b559f743c144f7a3d957e89b5&amp;sot=cite&amp;sdt=a&amp;sl=0&amp;relpos=0&amp;citeCnt=0&amp;searchTerm=" TargetMode="External"/><Relationship Id="rId665" Type="http://schemas.openxmlformats.org/officeDocument/2006/relationships/hyperlink" Target="https://www.mdpi.com/1996-1073/16/9/3911" TargetMode="External"/><Relationship Id="rId429" Type="http://schemas.openxmlformats.org/officeDocument/2006/relationships/hyperlink" Target="https://www.scopus.com/record/display.uri?eid=2-s2.0-85154027593&amp;citeCnt=1_DELIM_1_DELIM_CTODS_1779052913_DELIM_1&amp;origin=resultslist&amp;sort=plf-f&amp;refeid=2-s2.0-84944032454&amp;src=s&amp;imp=t&amp;sid=6ce40b76c985f3be3846d4c8c6802942&amp;sot=ctocbw&amp;sdt=a&amp;sl=15&amp;s=PUBYEAR+IS+2023&amp;relpos=0&amp;citeCnt=1&amp;searchTerm=" TargetMode="External"/><Relationship Id="rId428" Type="http://schemas.openxmlformats.org/officeDocument/2006/relationships/hyperlink" Target="https://www.scopus.com/results/citedbyresults.uri?sort=plf-f&amp;refeid=2-s2.0-85109052589&amp;src=s&amp;imp=t&amp;sid=347ffb6d7bf643c4c395a1f2b5b7f030&amp;sot=ctocbw&amp;sdt=a&amp;sl=15&amp;s=PUBYEAR+IS+2023&amp;origin=cto&amp;citeCnt=1_DELIM_1_DELIM_CTODS_1779052913_DELIM_1&amp;txGid=cd1fc101309966a4a5bc04bbc8b2a21b" TargetMode="External"/><Relationship Id="rId427" Type="http://schemas.openxmlformats.org/officeDocument/2006/relationships/hyperlink" Target="https://www.scopus.com/record/display.uri?eid=2-s2.0-85159275145&amp;citeCnt=1_DELIM_1_DELIM_CTODS_1779052913_DELIM_1&amp;origin=resultslist&amp;sort=plf-f&amp;refeid=2-s2.0-85109052589&amp;src=s&amp;imp=t&amp;sid=347ffb6d7bf643c4c395a1f2b5b7f030&amp;sot=ctocbw&amp;sdt=a&amp;sl=15&amp;s=PUBYEAR+IS+2023&amp;relpos=0&amp;citeCnt=4&amp;searchTerm=" TargetMode="External"/><Relationship Id="rId669" Type="http://schemas.openxmlformats.org/officeDocument/2006/relationships/hyperlink" Target="https://www.mdpi.com/2071-1050/15/7/6112" TargetMode="External"/><Relationship Id="rId660" Type="http://schemas.openxmlformats.org/officeDocument/2006/relationships/hyperlink" Target="https://www.webofscience.com/wos/woscc/full-record/WOS:001185681500002" TargetMode="External"/><Relationship Id="rId422" Type="http://schemas.openxmlformats.org/officeDocument/2006/relationships/hyperlink" Target="https://www.scopus.com/record/display.uri?eid=2-s2.0-84940930011&amp;origin=inward&amp;txGid=32a81de4ed9db0e569591cd7669b6d40" TargetMode="External"/><Relationship Id="rId664" Type="http://schemas.openxmlformats.org/officeDocument/2006/relationships/hyperlink" Target="https://www.sciencedirect.com/science/article/pii/S2468227623001916?via%3Dihub" TargetMode="External"/><Relationship Id="rId421" Type="http://schemas.openxmlformats.org/officeDocument/2006/relationships/hyperlink" Target="https://doi.org/10.1007/s11465-023-0757-z" TargetMode="External"/><Relationship Id="rId663" Type="http://schemas.openxmlformats.org/officeDocument/2006/relationships/hyperlink" Target="https://www.sciencedirect.com/science/article/pii/S0301479723013051?via%3Dihub" TargetMode="External"/><Relationship Id="rId420" Type="http://schemas.openxmlformats.org/officeDocument/2006/relationships/hyperlink" Target="https://www.scopus.com/record/display.uri?eid=2-s2.0-84940930011&amp;origin=inward&amp;txGid=32a81de4ed9db0e569591cd7669b6d40" TargetMode="External"/><Relationship Id="rId662" Type="http://schemas.openxmlformats.org/officeDocument/2006/relationships/hyperlink" Target="https://www.sciencedirect.com/science/article/pii/S2352186423002626?via%3Dihub" TargetMode="External"/><Relationship Id="rId661" Type="http://schemas.openxmlformats.org/officeDocument/2006/relationships/hyperlink" Target="https://link.springer.com/article/10.1007/s11356-023-29763-4" TargetMode="External"/><Relationship Id="rId415" Type="http://schemas.openxmlformats.org/officeDocument/2006/relationships/hyperlink" Target="https://www.scopus.com/record/display.uri?eid=2-s2.0-85169569173&amp;origin=resultslist&amp;sort=plf-f&amp;src=s&amp;citedAuthorId=55888486300&amp;imp=t&amp;sid=7165bdc3953e1d219b754ce3101b4ae8&amp;sot=cite&amp;sdt=cite&amp;cluster=scopubyr%2c%222023%22%2ct&amp;sl=0&amp;relpos=4&amp;citeCnt=0&amp;searchTerm=" TargetMode="External"/><Relationship Id="rId657" Type="http://schemas.openxmlformats.org/officeDocument/2006/relationships/hyperlink" Target="https://www.sciencedirect.com/science/article/pii/S0925753523001546?via%3Dihub" TargetMode="External"/><Relationship Id="rId899" Type="http://schemas.openxmlformats.org/officeDocument/2006/relationships/hyperlink" Target="https://link.springer.com/article/10.1007/s12206-023-1038-9" TargetMode="External"/><Relationship Id="rId414" Type="http://schemas.openxmlformats.org/officeDocument/2006/relationships/hyperlink" Target="https://www.scopus.com/record/display.uri?eid=2-s2.0-85175089080&amp;origin=resultslist&amp;sort=plf-f&amp;src=s&amp;citedAuthorId=55888486300&amp;imp=t&amp;sid=7165bdc3953e1d219b754ce3101b4ae8&amp;sot=cite&amp;sdt=cite&amp;cluster=scopubyr%2c%222023%22%2ct&amp;sl=0&amp;relpos=3&amp;citeCnt=0&amp;searchTerm=" TargetMode="External"/><Relationship Id="rId656" Type="http://schemas.openxmlformats.org/officeDocument/2006/relationships/hyperlink" Target="https://www.mdpi.com/2071-1050/15/16/12661" TargetMode="External"/><Relationship Id="rId898" Type="http://schemas.openxmlformats.org/officeDocument/2006/relationships/hyperlink" Target="https://www.tandfonline.com/doi/abs/10.1080/21681015.2023.2269926" TargetMode="External"/><Relationship Id="rId413" Type="http://schemas.openxmlformats.org/officeDocument/2006/relationships/hyperlink" Target="https://www.scopus.com/record/display.uri?eid=2-s2.0-85171809800&amp;origin=resultslist&amp;sort=plf-f&amp;src=s&amp;citedAuthorId=55888486300&amp;imp=t&amp;sid=7165bdc3953e1d219b754ce3101b4ae8&amp;sot=cite&amp;sdt=cite&amp;cluster=scopubyr%2c%222023%22%2ct&amp;sl=0&amp;relpos=2&amp;citeCnt=0&amp;searchTerm=" TargetMode="External"/><Relationship Id="rId655" Type="http://schemas.openxmlformats.org/officeDocument/2006/relationships/hyperlink" Target="https://content.iospress.com/articles/human-systems-management/hsm220068" TargetMode="External"/><Relationship Id="rId897" Type="http://schemas.openxmlformats.org/officeDocument/2006/relationships/hyperlink" Target="https://onlinelibrary.wiley.com/doi/10.1002/apj.3002" TargetMode="External"/><Relationship Id="rId412" Type="http://schemas.openxmlformats.org/officeDocument/2006/relationships/hyperlink" Target="https://www.scopus.com/record/display.uri?eid=2-s2.0-85178402240&amp;origin=resultslist&amp;sort=plf-f&amp;src=s&amp;citedAuthorId=55888486300&amp;imp=t&amp;sid=7165bdc3953e1d219b754ce3101b4ae8&amp;sot=cite&amp;sdt=cite&amp;cluster=scopubyr%2c%222023%22%2ct&amp;sl=0&amp;relpos=1&amp;citeCnt=0&amp;searchTerm=" TargetMode="External"/><Relationship Id="rId654" Type="http://schemas.openxmlformats.org/officeDocument/2006/relationships/hyperlink" Target="https://tet.rkk.hu/index.php/TeT/article/view/3445" TargetMode="External"/><Relationship Id="rId896" Type="http://schemas.openxmlformats.org/officeDocument/2006/relationships/hyperlink" Target="https://www.sciencedirect.com/science/article/pii/S2214157X2300919X?via%3Dihub" TargetMode="External"/><Relationship Id="rId419" Type="http://schemas.openxmlformats.org/officeDocument/2006/relationships/hyperlink" Target="https://doi.org/10.1007/s40430-023-04336-1" TargetMode="External"/><Relationship Id="rId418" Type="http://schemas.openxmlformats.org/officeDocument/2006/relationships/hyperlink" Target="https://www.scopus.com/record/display.uri?eid=2-s2.0-85150484975&amp;origin=resultslist&amp;sort=plf-f&amp;src=s&amp;citedAuthorId=55888486300&amp;imp=t&amp;sid=7165bdc3953e1d219b754ce3101b4ae8&amp;sot=cite&amp;sdt=cite&amp;cluster=scopubyr%2c%222023%22%2ct&amp;sl=0&amp;relpos=7&amp;citeCnt=4&amp;searchTerm=" TargetMode="External"/><Relationship Id="rId417" Type="http://schemas.openxmlformats.org/officeDocument/2006/relationships/hyperlink" Target="https://www.scopus.com/record/display.uri?eid=2-s2.0-85159036512&amp;origin=resultslist&amp;sort=plf-f&amp;src=s&amp;citedAuthorId=55888486300&amp;imp=t&amp;sid=7165bdc3953e1d219b754ce3101b4ae8&amp;sot=cite&amp;sdt=cite&amp;cluster=scopubyr%2c%222023%22%2ct&amp;sl=0&amp;relpos=6&amp;citeCnt=0&amp;searchTerm=" TargetMode="External"/><Relationship Id="rId659" Type="http://schemas.openxmlformats.org/officeDocument/2006/relationships/hyperlink" Target="https://www.webofscience.com/wos/woscc/full-record/WOS:001185676600005" TargetMode="External"/><Relationship Id="rId416" Type="http://schemas.openxmlformats.org/officeDocument/2006/relationships/hyperlink" Target="https://www.scopus.com/record/display.uri?eid=2-s2.0-85168714545&amp;origin=resultslist&amp;sort=plf-f&amp;src=s&amp;citedAuthorId=55888486300&amp;imp=t&amp;sid=7165bdc3953e1d219b754ce3101b4ae8&amp;sot=cite&amp;sdt=cite&amp;cluster=scopubyr%2c%222023%22%2ct&amp;sl=0&amp;relpos=5&amp;citeCnt=0&amp;searchTerm=" TargetMode="External"/><Relationship Id="rId658" Type="http://schemas.openxmlformats.org/officeDocument/2006/relationships/hyperlink" Target="https://www.tandfonline.com/doi/full/10.1080/00036846.2023.2203458" TargetMode="External"/><Relationship Id="rId891" Type="http://schemas.openxmlformats.org/officeDocument/2006/relationships/hyperlink" Target="https://pubs.aip.org/aip/pof/article/35/10/102015/2916680" TargetMode="External"/><Relationship Id="rId890" Type="http://schemas.openxmlformats.org/officeDocument/2006/relationships/hyperlink" Target="https://pubs.aip.org/aip/pof/article-abstract/35/10/102015/2916680/Study-on-heat-transfer-and-pressure-drop?redirectedFrom=fulltext" TargetMode="External"/><Relationship Id="rId411" Type="http://schemas.openxmlformats.org/officeDocument/2006/relationships/hyperlink" Target="https://www.scopus.com/record/display.uri?eid=2-s2.0-85180423098&amp;origin=resultslist&amp;sort=plf-f&amp;src=s&amp;citedAuthorId=55888486300&amp;imp=t&amp;sid=7165bdc3953e1d219b754ce3101b4ae8&amp;sot=cite&amp;sdt=cite&amp;cluster=scopubyr%2c%222023%22%2ct&amp;sl=0&amp;relpos=0&amp;citeCnt=1&amp;searchTerm=" TargetMode="External"/><Relationship Id="rId653" Type="http://schemas.openxmlformats.org/officeDocument/2006/relationships/hyperlink" Target="https://www.sciencedirect.com/science/article/pii/S0038012122002750?via%3Dihub" TargetMode="External"/><Relationship Id="rId895" Type="http://schemas.openxmlformats.org/officeDocument/2006/relationships/hyperlink" Target="https://ieeexplore.ieee.org/document/10291289" TargetMode="External"/><Relationship Id="rId410" Type="http://schemas.openxmlformats.org/officeDocument/2006/relationships/hyperlink" Target="https://www.mdpi.com/1660-4601/20/4/3757" TargetMode="External"/><Relationship Id="rId652" Type="http://schemas.openxmlformats.org/officeDocument/2006/relationships/hyperlink" Target="https://www.tandfonline.com/doi/full/10.1080/13549839.2023.2206643" TargetMode="External"/><Relationship Id="rId894" Type="http://schemas.openxmlformats.org/officeDocument/2006/relationships/hyperlink" Target="https://www.igi-global.com/gateway/chapter/332901" TargetMode="External"/><Relationship Id="rId651" Type="http://schemas.openxmlformats.org/officeDocument/2006/relationships/hyperlink" Target="https://link.springer.com/article/10.1007/s10668-023-03362-2" TargetMode="External"/><Relationship Id="rId893" Type="http://schemas.openxmlformats.org/officeDocument/2006/relationships/hyperlink" Target="https://www.sciencedirect.com/science/article/abs/pii/S0141813023043763?via%3Dihub" TargetMode="External"/><Relationship Id="rId650" Type="http://schemas.openxmlformats.org/officeDocument/2006/relationships/hyperlink" Target="https://www.tandfonline.com/doi/full/10.1080/02723638.2023.2221097" TargetMode="External"/><Relationship Id="rId892" Type="http://schemas.openxmlformats.org/officeDocument/2006/relationships/hyperlink" Target="https://scindeks.ceon.rs/Article.aspx?artid=1451-41172303837N&amp;lang=en" TargetMode="External"/><Relationship Id="rId206" Type="http://schemas.openxmlformats.org/officeDocument/2006/relationships/hyperlink" Target="https://www.mdpi.com/1996-1944/16/14/5060" TargetMode="External"/><Relationship Id="rId448" Type="http://schemas.openxmlformats.org/officeDocument/2006/relationships/hyperlink" Target="https://www.scopus.com/record/display.uri?eid=2-s2.0-85160275342&amp;origin=resultslist&amp;sort=plf-f&amp;cite=2-s2.0-85138737485&amp;src=s&amp;imp=t&amp;sid=e8bb08a2aa452c96bb3a5902462d79b0&amp;sot=cite&amp;sdt=a&amp;sl=0&amp;relpos=2&amp;citeCnt=0&amp;searchTerm=" TargetMode="External"/><Relationship Id="rId205" Type="http://schemas.openxmlformats.org/officeDocument/2006/relationships/hyperlink" Target="https://onlinelibrary.wiley.com/doi/10.1002/9781119986454.ch3" TargetMode="External"/><Relationship Id="rId447" Type="http://schemas.openxmlformats.org/officeDocument/2006/relationships/hyperlink" Target="https://www.scopus.com/record/display.uri?eid=2-s2.0-85168096654&amp;origin=resultslist&amp;sort=plf-f&amp;cite=2-s2.0-85083310245&amp;src=s&amp;imp=t&amp;sid=ad4bac66a76e09c0899f47de95f39b56&amp;sot=cite&amp;sdt=a&amp;sl=0&amp;relpos=0&amp;citeCnt=0&amp;searchTerm=" TargetMode="External"/><Relationship Id="rId689" Type="http://schemas.openxmlformats.org/officeDocument/2006/relationships/hyperlink" Target="https://www.mdpi.com/2071-1050/15/16/12180" TargetMode="External"/><Relationship Id="rId204" Type="http://schemas.openxmlformats.org/officeDocument/2006/relationships/hyperlink" Target="https://journals.sagepub.com/doi/10.1177/09544062221133674?icid=int.sj-full-text.similar-articles.9" TargetMode="External"/><Relationship Id="rId446" Type="http://schemas.openxmlformats.org/officeDocument/2006/relationships/hyperlink" Target="https://www.scopus.com/record/display.uri?eid=2-s2.0-85168096654&amp;origin=resultslist&amp;sort=plf-f&amp;cite=2-s2.0-85083310245&amp;src=s&amp;imp=t&amp;sid=ad4bac66a76e09c0899f47de95f39b56&amp;sot=cite&amp;sdt=a&amp;sl=0&amp;relpos=0&amp;citeCnt=0&amp;searchTerm=" TargetMode="External"/><Relationship Id="rId688" Type="http://schemas.openxmlformats.org/officeDocument/2006/relationships/hyperlink" Target="https://onlinelibrary.wiley.com/doi/10.1002/bse.3560" TargetMode="External"/><Relationship Id="rId203" Type="http://schemas.openxmlformats.org/officeDocument/2006/relationships/hyperlink" Target="https://iopscience.iop.org/article/10.1088/2053-1591/acca67/meta" TargetMode="External"/><Relationship Id="rId445" Type="http://schemas.openxmlformats.org/officeDocument/2006/relationships/hyperlink" Target="https://www.scopus.com/record/display.uri?eid=2-s2.0-85144208483&amp;origin=resultslist&amp;sort=plf-f&amp;cite=2-s2.0-85109054918&amp;src=s&amp;imp=t&amp;sid=1e6c8704345f2550137ec3d7c1804c6f&amp;sot=cite&amp;sdt=a&amp;sl=0&amp;relpos=3&amp;citeCnt=1&amp;searchTerm=" TargetMode="External"/><Relationship Id="rId687" Type="http://schemas.openxmlformats.org/officeDocument/2006/relationships/hyperlink" Target="https://www.nature.com/articles/s41599-023-02193-w" TargetMode="External"/><Relationship Id="rId209" Type="http://schemas.openxmlformats.org/officeDocument/2006/relationships/hyperlink" Target="https://www.scopus.com/record/display.uri?eid=2-s2.0-85185411134&amp;origin=resultslist&amp;sort=plf-f&amp;src=s&amp;nlo=&amp;nlr=&amp;nls=&amp;citedAuthorId=57197396119&amp;imp=t&amp;sid=26591c611099eb29040fab4394dbdc74&amp;sot=cite&amp;sdt=cite&amp;cluster=scopubyr%2c%222023%22%2ct&amp;sl=0&amp;relpos=19&amp;citeCnt=0&amp;searchTerm=" TargetMode="External"/><Relationship Id="rId208" Type="http://schemas.openxmlformats.org/officeDocument/2006/relationships/hyperlink" Target="https://www.mdpi.com/2073-4360/15/5/1252" TargetMode="External"/><Relationship Id="rId207" Type="http://schemas.openxmlformats.org/officeDocument/2006/relationships/hyperlink" Target="https://www.frontiersin.org/articles/10.3389/fmats.2023.1183816/full" TargetMode="External"/><Relationship Id="rId449" Type="http://schemas.openxmlformats.org/officeDocument/2006/relationships/hyperlink" Target="https://www.scopus.com/record/display.uri?eid=2-s2.0-85145664265&amp;origin=resultslist&amp;sort=plf-f&amp;cite=2-s2.0-85138737485&amp;src=s&amp;imp=t&amp;sid=e8bb08a2aa452c96bb3a5902462d79b0&amp;sot=cite&amp;sdt=a&amp;sl=0&amp;relpos=3&amp;citeCnt=3&amp;searchTerm=" TargetMode="External"/><Relationship Id="rId440" Type="http://schemas.openxmlformats.org/officeDocument/2006/relationships/hyperlink" Target="https://www.sciencedirect.com/science/article/pii/S1877050922022840" TargetMode="External"/><Relationship Id="rId682" Type="http://schemas.openxmlformats.org/officeDocument/2006/relationships/hyperlink" Target="https://www.tandfonline.com/doi/full/10.1080/23311975.2023.2234138" TargetMode="External"/><Relationship Id="rId681" Type="http://schemas.openxmlformats.org/officeDocument/2006/relationships/hyperlink" Target="https://link.springer.com/article/10.1007/s10668-023-03395-7" TargetMode="External"/><Relationship Id="rId680" Type="http://schemas.openxmlformats.org/officeDocument/2006/relationships/hyperlink" Target="https://www.mdpi.co/" TargetMode="External"/><Relationship Id="rId202" Type="http://schemas.openxmlformats.org/officeDocument/2006/relationships/hyperlink" Target="https://www.sciencedirect.com/science/article/pii/S1110016823006282" TargetMode="External"/><Relationship Id="rId444" Type="http://schemas.openxmlformats.org/officeDocument/2006/relationships/hyperlink" Target="https://www.scopus.com/record/display.uri?eid=2-s2.0-85163638138&amp;origin=resultslist&amp;sort=plf-f&amp;cite=2-s2.0-85109054918&amp;src=s&amp;imp=t&amp;sid=1e6c8704345f2550137ec3d7c1804c6f&amp;sot=cite&amp;sdt=a&amp;sl=0&amp;relpos=2&amp;citeCnt=2&amp;searchTerm=" TargetMode="External"/><Relationship Id="rId686" Type="http://schemas.openxmlformats.org/officeDocument/2006/relationships/hyperlink" Target="https://www.sciencedirect.com/science/article/pii/S0140988323005856?via%3Dihub" TargetMode="External"/><Relationship Id="rId201" Type="http://schemas.openxmlformats.org/officeDocument/2006/relationships/hyperlink" Target="https://www.scopus.com/record/display.uri?eid=2-s2.0-85118530381&amp;origin=resultslist&amp;sort=plf-f&amp;src=s&amp;nlo=&amp;nlr=&amp;nls=&amp;citedAuthorId=57197396119&amp;imp=t&amp;sid=26591c611099eb29040fab4394dbdc74&amp;sot=cite&amp;sdt=cite&amp;cluster=scopubyr%2c%222023%22%2ct&amp;sl=0&amp;relpos=17&amp;citeCnt=6&amp;searchTerm=" TargetMode="External"/><Relationship Id="rId443" Type="http://schemas.openxmlformats.org/officeDocument/2006/relationships/hyperlink" Target="https://www.scopus.com/record/display.uri?eid=2-s2.0-85175257011&amp;origin=resultslist&amp;sort=plf-f&amp;cite=2-s2.0-85109054918&amp;src=s&amp;imp=t&amp;sid=1e6c8704345f2550137ec3d7c1804c6f&amp;sot=cite&amp;sdt=a&amp;sl=0&amp;relpos=0&amp;citeCnt=0&amp;searchTerm=" TargetMode="External"/><Relationship Id="rId685" Type="http://schemas.openxmlformats.org/officeDocument/2006/relationships/hyperlink" Target="https://journals.sagepub.com/doi/10.1177/0958305X231207057" TargetMode="External"/><Relationship Id="rId200" Type="http://schemas.openxmlformats.org/officeDocument/2006/relationships/hyperlink" Target="https://www.scopus.com/record/display.uri?eid=2-s2.0-85171522168&amp;origin=resultslist&amp;sort=plf-f&amp;src=s&amp;sot=mulcite&amp;sdt=mulcite&amp;cluster=scopubyr%2C%222023%22%2Ct&amp;s=REFEID%282-s2.0-79960239182%29&amp;citeCnt=1&amp;sessionSearchId=77d39b5348fde548718770fd336b8db6&amp;relpos=0" TargetMode="External"/><Relationship Id="rId442" Type="http://schemas.openxmlformats.org/officeDocument/2006/relationships/hyperlink" Target="https://www.webofscience.com/wos/woscc/full-record/WOS:001143675300016" TargetMode="External"/><Relationship Id="rId684" Type="http://schemas.openxmlformats.org/officeDocument/2006/relationships/hyperlink" Target="https://link.springer.com/article/10.1007/s13520-023-00185-2" TargetMode="External"/><Relationship Id="rId441" Type="http://schemas.openxmlformats.org/officeDocument/2006/relationships/hyperlink" Target="https://www.tandfonline.com/doi/epdf/10.1080/10382046.2023.2183548?needAccess=true" TargetMode="External"/><Relationship Id="rId683" Type="http://schemas.openxmlformats.org/officeDocument/2006/relationships/hyperlink" Target="https://www.mdpi.com/2227-7072/11/4/147" TargetMode="External"/><Relationship Id="rId437" Type="http://schemas.openxmlformats.org/officeDocument/2006/relationships/hyperlink" Target="https://www.scopus.com/record/display.uri?eid=2-s2.0-85141382458&amp;origin=resultslist&amp;sort=plf-f&amp;src=s&amp;sot=mulcite&amp;sdt=mulcite&amp;cluster=scopubyr%2C%222023%22%2Ct&amp;s=REFEID%282-s2.0-77956125381%29&amp;citeCnt=1&amp;sessionSearchId=df7cc81696f90b469b7ef3ca17e15e68&amp;relpos=2" TargetMode="External"/><Relationship Id="rId679" Type="http://schemas.openxmlformats.org/officeDocument/2006/relationships/hyperlink" Target="https://www.emerald.com/insight/content/doi/10.1108/BFJ-11-2022-0939/full/html" TargetMode="External"/><Relationship Id="rId436" Type="http://schemas.openxmlformats.org/officeDocument/2006/relationships/hyperlink" Target="https://www.scopus.com/record/display.uri?eid=2-s2.0-85174116060&amp;origin=resultslist&amp;sort=plf-f&amp;src=s&amp;sot=mulcite&amp;sdt=mulcite&amp;cluster=scopubyr%2C%222023%22%2Ct&amp;s=REFEID%282-s2.0-77956125381%29&amp;citeCnt=1&amp;sessionSearchId=df7cc81696f90b469b7ef3ca17e15e68&amp;relpos=3" TargetMode="External"/><Relationship Id="rId678" Type="http://schemas.openxmlformats.org/officeDocument/2006/relationships/hyperlink" Target="https://www.sciencedirect.com/science/article/pii/S0048969723048969?via%3Dihub" TargetMode="External"/><Relationship Id="rId435" Type="http://schemas.openxmlformats.org/officeDocument/2006/relationships/hyperlink" Target="https://www.sciencedirect.com/journal/mechanism-and-machine-theory" TargetMode="External"/><Relationship Id="rId677" Type="http://schemas.openxmlformats.org/officeDocument/2006/relationships/hyperlink" Target="https://www.sciencedirect.com/science/article/pii/S0743016723002188?via%3Dihub" TargetMode="External"/><Relationship Id="rId434" Type="http://schemas.openxmlformats.org/officeDocument/2006/relationships/hyperlink" Target="https://www.sciencedirect.com/science/article/pii/S0094114X2300143X" TargetMode="External"/><Relationship Id="rId676" Type="http://schemas.openxmlformats.org/officeDocument/2006/relationships/hyperlink" Target="https://www.sciencedirect.com/science/article/pii/S2352485523004632?via%3Dihub" TargetMode="External"/><Relationship Id="rId439" Type="http://schemas.openxmlformats.org/officeDocument/2006/relationships/hyperlink" Target="https://www.scopus.com/record/display.uri?eid=2-s2.0-85118530381&amp;origin=resultslist&amp;sort=plf-f&amp;src=s&amp;sot=mulcite&amp;sdt=mulcite&amp;cluster=scopubyr%2C%222023%22%2Ct&amp;s=REFEID%282-s2.0-78651540038%29&amp;citeCnt=1&amp;sessionSearchId=77b2b61d8571ef3e1f4dc69d39bd503d&amp;relpos=0" TargetMode="External"/><Relationship Id="rId438" Type="http://schemas.openxmlformats.org/officeDocument/2006/relationships/hyperlink" Target="https://www.webofscience.com/wos/woscc/full-record/WOS:001102588800001" TargetMode="External"/><Relationship Id="rId671" Type="http://schemas.openxmlformats.org/officeDocument/2006/relationships/hyperlink" Target="https://www.soilsa.com/Evaluating-potential-of-municipal-sewage-sludge-for-agricultural-use,169923,0,2.html" TargetMode="External"/><Relationship Id="rId670" Type="http://schemas.openxmlformats.org/officeDocument/2006/relationships/hyperlink" Target="https://www.mdpi.com/2073-4441/15/5/948" TargetMode="External"/><Relationship Id="rId433" Type="http://schemas.openxmlformats.org/officeDocument/2006/relationships/hyperlink" Target="https://scholar.google.com/scholar?oi=bibs&amp;cluster=14659866079890289142&amp;btnI=1&amp;hl=en" TargetMode="External"/><Relationship Id="rId675" Type="http://schemas.openxmlformats.org/officeDocument/2006/relationships/hyperlink" Target="https://pjms.zim.pcz.pl/resources/html/article/details?id=617130&amp;language=en" TargetMode="External"/><Relationship Id="rId432" Type="http://schemas.openxmlformats.org/officeDocument/2006/relationships/hyperlink" Target="https://www.etasr.com/index.php/ETASR/links" TargetMode="External"/><Relationship Id="rId674" Type="http://schemas.openxmlformats.org/officeDocument/2006/relationships/hyperlink" Target="https://www.sciencedirect.com/science/article/pii/S0959652623028664?via%3Dihub" TargetMode="External"/><Relationship Id="rId431" Type="http://schemas.openxmlformats.org/officeDocument/2006/relationships/hyperlink" Target="https://www.etasr.com/index.php/ETASR/article/view/6603" TargetMode="External"/><Relationship Id="rId673" Type="http://schemas.openxmlformats.org/officeDocument/2006/relationships/hyperlink" Target="https://www.webofscience.com/wos/woscc/full-record/WOS:001112288100018" TargetMode="External"/><Relationship Id="rId430" Type="http://schemas.openxmlformats.org/officeDocument/2006/relationships/hyperlink" Target="https://www.scopus.com/results/citedbyresults.uri?sort=plf-f&amp;refeid=2-s2.0-84944032454&amp;src=s&amp;imp=t&amp;sid=6ce40b76c985f3be3846d4c8c6802942&amp;sot=ctocbw&amp;sdt=a&amp;sl=15&amp;s=PUBYEAR+IS+2023&amp;origin=cto&amp;citeCnt=1_DELIM_1_DELIM_CTODS_1779052913_DELIM_1&amp;txGid=7f9c62d3f57e453d9552c38ff3806f3b" TargetMode="External"/><Relationship Id="rId672" Type="http://schemas.openxmlformats.org/officeDocument/2006/relationships/hyperlink" Target="https://landreclamationjournal.usamv.ro/pdf/2023/Art23.pdf"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6" width="13.29"/>
    <col customWidth="1" min="7" max="7" width="9.71"/>
    <col customWidth="1" min="8" max="8" width="15.29"/>
    <col customWidth="1" min="9" max="9" width="21.29"/>
    <col customWidth="1" min="10" max="10" width="6.57"/>
    <col customWidth="1" min="11" max="11" width="8.71"/>
    <col customWidth="1" min="12" max="14" width="7.86"/>
    <col customWidth="1" min="15" max="15" width="17.0"/>
    <col customWidth="1" min="16" max="16" width="7.86"/>
    <col customWidth="1" min="17" max="17" width="12.0"/>
    <col customWidth="1" min="18" max="18" width="12.57"/>
    <col customWidth="1" min="19" max="19" width="14.86"/>
    <col customWidth="1" min="20" max="23" width="7.86"/>
    <col customWidth="1" min="24" max="24" width="19.71"/>
    <col customWidth="1" min="25" max="25" width="16.0"/>
    <col customWidth="1" min="26" max="26" width="12.0"/>
    <col customWidth="1" min="27" max="27" width="7.86"/>
    <col customWidth="1" min="28" max="28" width="23.71"/>
    <col customWidth="1" min="29" max="29" width="7.86"/>
    <col customWidth="1" min="30" max="30" width="15.71"/>
    <col customWidth="1" min="31" max="31" width="15.86"/>
    <col customWidth="1" min="32" max="32" width="16.0"/>
    <col customWidth="1" min="33" max="33" width="9.71"/>
    <col customWidth="1" min="34" max="34" width="13.14"/>
    <col customWidth="1" min="35" max="35" width="15.14"/>
    <col customWidth="1" min="36" max="36" width="13.29"/>
    <col customWidth="1" min="37" max="37" width="12.86"/>
    <col customWidth="1" min="38" max="38" width="17.29"/>
    <col customWidth="1" min="39" max="39" width="7.86"/>
    <col customWidth="1" min="40" max="40" width="16.71"/>
    <col customWidth="1" min="41" max="41" width="12.14"/>
    <col customWidth="1" min="42" max="43" width="13.0"/>
    <col customWidth="1" min="44" max="45" width="14.14"/>
  </cols>
  <sheetData>
    <row r="1">
      <c r="A1" s="1"/>
      <c r="B1" s="1"/>
      <c r="C1" s="1"/>
      <c r="D1" s="1"/>
      <c r="E1" s="1"/>
      <c r="F1" s="2"/>
      <c r="G1" s="1"/>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row>
    <row r="2" ht="24.75" customHeight="1">
      <c r="A2" s="4" t="s">
        <v>0</v>
      </c>
      <c r="B2" s="5" t="s">
        <v>1</v>
      </c>
      <c r="C2" s="6"/>
      <c r="D2" s="1"/>
      <c r="E2" s="1"/>
      <c r="F2" s="2"/>
      <c r="G2" s="1"/>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row>
    <row r="3" ht="123.0" customHeight="1">
      <c r="A3" s="1"/>
      <c r="B3" s="1"/>
      <c r="C3" s="1"/>
      <c r="D3" s="7" t="s">
        <v>2</v>
      </c>
      <c r="E3" s="7" t="s">
        <v>3</v>
      </c>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3"/>
      <c r="AP3" s="3"/>
      <c r="AQ3" s="3"/>
      <c r="AR3" s="9" t="s">
        <v>4</v>
      </c>
      <c r="AS3" s="9" t="s">
        <v>5</v>
      </c>
    </row>
    <row r="4" ht="86.25" customHeight="1">
      <c r="A4" s="10" t="s">
        <v>6</v>
      </c>
      <c r="B4" s="11" t="s">
        <v>7</v>
      </c>
      <c r="C4" s="11" t="s">
        <v>8</v>
      </c>
      <c r="D4" s="12" t="s">
        <v>9</v>
      </c>
      <c r="E4" s="11" t="s">
        <v>10</v>
      </c>
      <c r="F4" s="11" t="s">
        <v>11</v>
      </c>
      <c r="G4" s="11" t="s">
        <v>12</v>
      </c>
      <c r="H4" s="11" t="s">
        <v>13</v>
      </c>
      <c r="I4" s="11" t="s">
        <v>14</v>
      </c>
      <c r="J4" s="11" t="s">
        <v>15</v>
      </c>
      <c r="K4" s="11" t="s">
        <v>16</v>
      </c>
      <c r="L4" s="11" t="s">
        <v>17</v>
      </c>
      <c r="M4" s="11" t="s">
        <v>18</v>
      </c>
      <c r="N4" s="11" t="s">
        <v>19</v>
      </c>
      <c r="O4" s="11" t="s">
        <v>20</v>
      </c>
      <c r="P4" s="11" t="s">
        <v>21</v>
      </c>
      <c r="Q4" s="11" t="s">
        <v>22</v>
      </c>
      <c r="R4" s="11" t="s">
        <v>23</v>
      </c>
      <c r="S4" s="11" t="s">
        <v>24</v>
      </c>
      <c r="T4" s="11" t="s">
        <v>25</v>
      </c>
      <c r="U4" s="11" t="s">
        <v>26</v>
      </c>
      <c r="V4" s="11" t="s">
        <v>27</v>
      </c>
      <c r="W4" s="13" t="s">
        <v>28</v>
      </c>
      <c r="X4" s="13" t="s">
        <v>29</v>
      </c>
      <c r="Y4" s="13" t="s">
        <v>30</v>
      </c>
      <c r="Z4" s="13" t="s">
        <v>31</v>
      </c>
      <c r="AA4" s="13" t="s">
        <v>32</v>
      </c>
      <c r="AB4" s="13" t="s">
        <v>33</v>
      </c>
      <c r="AC4" s="13" t="s">
        <v>34</v>
      </c>
      <c r="AD4" s="13" t="s">
        <v>35</v>
      </c>
      <c r="AE4" s="13" t="s">
        <v>36</v>
      </c>
      <c r="AF4" s="13" t="s">
        <v>37</v>
      </c>
      <c r="AG4" s="13" t="s">
        <v>38</v>
      </c>
      <c r="AH4" s="13" t="s">
        <v>39</v>
      </c>
      <c r="AI4" s="13" t="s">
        <v>40</v>
      </c>
      <c r="AJ4" s="13" t="s">
        <v>41</v>
      </c>
      <c r="AK4" s="13" t="s">
        <v>42</v>
      </c>
      <c r="AL4" s="13" t="s">
        <v>43</v>
      </c>
      <c r="AM4" s="13" t="s">
        <v>44</v>
      </c>
      <c r="AN4" s="13" t="s">
        <v>45</v>
      </c>
      <c r="AO4" s="14" t="s">
        <v>46</v>
      </c>
      <c r="AP4" s="10" t="s">
        <v>47</v>
      </c>
      <c r="AQ4" s="10" t="s">
        <v>48</v>
      </c>
      <c r="AR4" s="15" t="s">
        <v>49</v>
      </c>
      <c r="AS4" s="15" t="s">
        <v>50</v>
      </c>
    </row>
    <row r="5">
      <c r="A5" s="16">
        <v>1.0</v>
      </c>
      <c r="B5" s="17" t="s">
        <v>51</v>
      </c>
      <c r="C5" s="17" t="s">
        <v>52</v>
      </c>
      <c r="D5" s="17" t="s">
        <v>53</v>
      </c>
      <c r="E5" s="18">
        <v>1600.0</v>
      </c>
      <c r="F5" s="19">
        <v>725.0</v>
      </c>
      <c r="G5" s="19">
        <v>0.0</v>
      </c>
      <c r="H5" s="19">
        <v>0.0</v>
      </c>
      <c r="I5" s="20">
        <v>559.8700000000001</v>
      </c>
      <c r="J5" s="19">
        <v>0.0</v>
      </c>
      <c r="K5" s="19">
        <v>0.0</v>
      </c>
      <c r="L5" s="19">
        <v>0.0</v>
      </c>
      <c r="M5" s="19">
        <v>0.0</v>
      </c>
      <c r="N5" s="19">
        <v>0.0</v>
      </c>
      <c r="O5" s="19">
        <v>0.0</v>
      </c>
      <c r="P5" s="19">
        <v>0.0</v>
      </c>
      <c r="Q5" s="19">
        <v>67.46</v>
      </c>
      <c r="R5" s="19">
        <v>1500.0</v>
      </c>
      <c r="S5" s="19">
        <v>215.0</v>
      </c>
      <c r="T5" s="19">
        <v>0.0</v>
      </c>
      <c r="U5" s="19">
        <v>0.0</v>
      </c>
      <c r="V5" s="19">
        <v>0.0</v>
      </c>
      <c r="W5" s="19">
        <v>0.0</v>
      </c>
      <c r="X5" s="19">
        <v>0.0</v>
      </c>
      <c r="Y5" s="19">
        <v>0.0</v>
      </c>
      <c r="Z5" s="19">
        <v>33.33</v>
      </c>
      <c r="AA5" s="19">
        <v>0.0</v>
      </c>
      <c r="AB5" s="19">
        <v>0.0</v>
      </c>
      <c r="AC5" s="19">
        <v>0.0</v>
      </c>
      <c r="AD5" s="19">
        <v>196.0</v>
      </c>
      <c r="AE5" s="19">
        <v>392.0</v>
      </c>
      <c r="AF5" s="19">
        <v>100.68</v>
      </c>
      <c r="AG5" s="19">
        <v>280.0</v>
      </c>
      <c r="AH5" s="19">
        <v>430.0</v>
      </c>
      <c r="AI5" s="19">
        <v>56.0</v>
      </c>
      <c r="AJ5" s="19">
        <v>80.0</v>
      </c>
      <c r="AK5" s="19">
        <v>0.0</v>
      </c>
      <c r="AL5" s="19">
        <v>0.0</v>
      </c>
      <c r="AM5" s="19">
        <v>0.0</v>
      </c>
      <c r="AN5" s="19">
        <v>500.0</v>
      </c>
      <c r="AO5" s="21">
        <f t="shared" ref="AO5:AO121" si="1">SUM(F5:AN5)</f>
        <v>5135.34</v>
      </c>
      <c r="AP5" s="22">
        <v>5135.34</v>
      </c>
      <c r="AQ5" s="22">
        <v>5135.34</v>
      </c>
      <c r="AR5" s="23">
        <f t="shared" ref="AR5:AR118" si="2">AO5-AP5</f>
        <v>0</v>
      </c>
      <c r="AS5" s="23">
        <f t="shared" ref="AS5:AS118" si="3">AO5-AQ5</f>
        <v>0</v>
      </c>
    </row>
    <row r="6">
      <c r="A6" s="16">
        <v>2.0</v>
      </c>
      <c r="B6" s="17" t="s">
        <v>54</v>
      </c>
      <c r="C6" s="17" t="s">
        <v>52</v>
      </c>
      <c r="D6" s="17" t="s">
        <v>55</v>
      </c>
      <c r="E6" s="18">
        <v>1600.0</v>
      </c>
      <c r="F6" s="19">
        <v>0.0</v>
      </c>
      <c r="G6" s="19">
        <v>0.0</v>
      </c>
      <c r="H6" s="19">
        <v>0.0</v>
      </c>
      <c r="I6" s="20">
        <v>0.0</v>
      </c>
      <c r="J6" s="19">
        <v>0.0</v>
      </c>
      <c r="K6" s="19">
        <v>0.0</v>
      </c>
      <c r="L6" s="19">
        <v>0.0</v>
      </c>
      <c r="M6" s="19">
        <v>0.0</v>
      </c>
      <c r="N6" s="19">
        <v>0.0</v>
      </c>
      <c r="O6" s="19">
        <v>0.0</v>
      </c>
      <c r="P6" s="19">
        <v>0.0</v>
      </c>
      <c r="Q6" s="19">
        <v>0.0</v>
      </c>
      <c r="R6" s="19">
        <v>0.0</v>
      </c>
      <c r="S6" s="19">
        <v>0.0</v>
      </c>
      <c r="T6" s="19">
        <v>0.0</v>
      </c>
      <c r="U6" s="19">
        <v>0.0</v>
      </c>
      <c r="V6" s="19">
        <v>0.0</v>
      </c>
      <c r="W6" s="19">
        <v>0.0</v>
      </c>
      <c r="X6" s="19">
        <v>0.0</v>
      </c>
      <c r="Y6" s="19">
        <v>0.0</v>
      </c>
      <c r="Z6" s="19">
        <v>0.0</v>
      </c>
      <c r="AA6" s="19">
        <v>0.0</v>
      </c>
      <c r="AB6" s="19">
        <v>0.0</v>
      </c>
      <c r="AC6" s="19">
        <v>0.0</v>
      </c>
      <c r="AD6" s="19">
        <v>448.0</v>
      </c>
      <c r="AE6" s="19">
        <v>896.0</v>
      </c>
      <c r="AF6" s="19">
        <v>190.0</v>
      </c>
      <c r="AG6" s="19">
        <v>0.0</v>
      </c>
      <c r="AH6" s="19">
        <v>30.0</v>
      </c>
      <c r="AI6" s="19">
        <v>56.0</v>
      </c>
      <c r="AJ6" s="19">
        <v>0.0</v>
      </c>
      <c r="AK6" s="19">
        <v>0.0</v>
      </c>
      <c r="AL6" s="19">
        <v>0.0</v>
      </c>
      <c r="AM6" s="19">
        <v>0.0</v>
      </c>
      <c r="AN6" s="19">
        <v>0.0</v>
      </c>
      <c r="AO6" s="21">
        <f t="shared" si="1"/>
        <v>1620</v>
      </c>
      <c r="AP6" s="22">
        <v>1620.0</v>
      </c>
      <c r="AQ6" s="22">
        <v>1620.0</v>
      </c>
      <c r="AR6" s="23">
        <f t="shared" si="2"/>
        <v>0</v>
      </c>
      <c r="AS6" s="23">
        <f t="shared" si="3"/>
        <v>0</v>
      </c>
    </row>
    <row r="7" ht="19.5" customHeight="1">
      <c r="A7" s="16">
        <v>3.0</v>
      </c>
      <c r="B7" s="17" t="s">
        <v>56</v>
      </c>
      <c r="C7" s="17" t="s">
        <v>52</v>
      </c>
      <c r="D7" s="17" t="s">
        <v>55</v>
      </c>
      <c r="E7" s="18">
        <v>1600.0</v>
      </c>
      <c r="F7" s="19">
        <v>0.0</v>
      </c>
      <c r="G7" s="19">
        <v>0.0</v>
      </c>
      <c r="H7" s="19">
        <v>0.0</v>
      </c>
      <c r="I7" s="20">
        <v>0.0</v>
      </c>
      <c r="J7" s="19">
        <v>0.0</v>
      </c>
      <c r="K7" s="19">
        <v>0.0</v>
      </c>
      <c r="L7" s="19">
        <v>0.0</v>
      </c>
      <c r="M7" s="19">
        <v>0.0</v>
      </c>
      <c r="N7" s="19">
        <v>0.0</v>
      </c>
      <c r="O7" s="19">
        <v>0.0</v>
      </c>
      <c r="P7" s="19">
        <v>0.0</v>
      </c>
      <c r="Q7" s="19">
        <v>0.0</v>
      </c>
      <c r="R7" s="19">
        <v>0.0</v>
      </c>
      <c r="S7" s="19">
        <v>0.0</v>
      </c>
      <c r="T7" s="19">
        <v>0.0</v>
      </c>
      <c r="U7" s="19">
        <v>0.0</v>
      </c>
      <c r="V7" s="19">
        <v>0.0</v>
      </c>
      <c r="W7" s="19">
        <v>0.0</v>
      </c>
      <c r="X7" s="19">
        <v>0.0</v>
      </c>
      <c r="Y7" s="19">
        <v>0.0</v>
      </c>
      <c r="Z7" s="19">
        <v>0.0</v>
      </c>
      <c r="AA7" s="19">
        <v>0.0</v>
      </c>
      <c r="AB7" s="19">
        <v>0.0</v>
      </c>
      <c r="AC7" s="19">
        <v>0.0</v>
      </c>
      <c r="AD7" s="19">
        <v>448.0</v>
      </c>
      <c r="AE7" s="19">
        <v>896.0</v>
      </c>
      <c r="AF7" s="19">
        <v>167.0</v>
      </c>
      <c r="AG7" s="19">
        <v>0.0</v>
      </c>
      <c r="AH7" s="19">
        <v>30.0</v>
      </c>
      <c r="AI7" s="19">
        <v>56.0</v>
      </c>
      <c r="AJ7" s="19">
        <v>0.0</v>
      </c>
      <c r="AK7" s="19">
        <v>0.0</v>
      </c>
      <c r="AL7" s="19">
        <v>0.0</v>
      </c>
      <c r="AM7" s="19">
        <v>0.0</v>
      </c>
      <c r="AN7" s="19">
        <v>3.0</v>
      </c>
      <c r="AO7" s="21">
        <f t="shared" si="1"/>
        <v>1600</v>
      </c>
      <c r="AP7" s="22">
        <v>1600.0</v>
      </c>
      <c r="AQ7" s="22">
        <v>1600.0</v>
      </c>
      <c r="AR7" s="23">
        <f t="shared" si="2"/>
        <v>0</v>
      </c>
      <c r="AS7" s="23">
        <f t="shared" si="3"/>
        <v>0</v>
      </c>
    </row>
    <row r="8">
      <c r="A8" s="16">
        <v>4.0</v>
      </c>
      <c r="B8" s="17" t="s">
        <v>57</v>
      </c>
      <c r="C8" s="17" t="s">
        <v>52</v>
      </c>
      <c r="D8" s="17" t="s">
        <v>55</v>
      </c>
      <c r="E8" s="18">
        <v>1600.0</v>
      </c>
      <c r="F8" s="19">
        <v>0.0</v>
      </c>
      <c r="G8" s="19">
        <v>0.0</v>
      </c>
      <c r="H8" s="19">
        <v>0.0</v>
      </c>
      <c r="I8" s="20">
        <v>0.0</v>
      </c>
      <c r="J8" s="19">
        <v>0.0</v>
      </c>
      <c r="K8" s="19">
        <v>0.0</v>
      </c>
      <c r="L8" s="19">
        <v>0.0</v>
      </c>
      <c r="M8" s="19">
        <v>0.0</v>
      </c>
      <c r="N8" s="19">
        <v>0.0</v>
      </c>
      <c r="O8" s="19">
        <v>0.0</v>
      </c>
      <c r="P8" s="19">
        <v>0.0</v>
      </c>
      <c r="Q8" s="19">
        <v>0.0</v>
      </c>
      <c r="R8" s="19">
        <v>0.0</v>
      </c>
      <c r="S8" s="19">
        <v>0.0</v>
      </c>
      <c r="T8" s="19">
        <v>0.0</v>
      </c>
      <c r="U8" s="19">
        <v>0.0</v>
      </c>
      <c r="V8" s="19">
        <v>0.0</v>
      </c>
      <c r="W8" s="19">
        <v>0.0</v>
      </c>
      <c r="X8" s="19">
        <v>0.0</v>
      </c>
      <c r="Y8" s="19">
        <v>0.0</v>
      </c>
      <c r="Z8" s="19">
        <v>0.0</v>
      </c>
      <c r="AA8" s="19">
        <v>0.0</v>
      </c>
      <c r="AB8" s="19">
        <v>0.0</v>
      </c>
      <c r="AC8" s="19">
        <v>0.0</v>
      </c>
      <c r="AD8" s="19">
        <v>448.0</v>
      </c>
      <c r="AE8" s="19">
        <v>896.0</v>
      </c>
      <c r="AF8" s="19">
        <v>117.76666666666664</v>
      </c>
      <c r="AG8" s="19">
        <v>15.0</v>
      </c>
      <c r="AH8" s="19">
        <v>30.0</v>
      </c>
      <c r="AI8" s="19">
        <v>56.0</v>
      </c>
      <c r="AJ8" s="19">
        <v>0.0</v>
      </c>
      <c r="AK8" s="19">
        <v>0.0</v>
      </c>
      <c r="AL8" s="19">
        <v>0.0</v>
      </c>
      <c r="AM8" s="19">
        <v>0.0</v>
      </c>
      <c r="AN8" s="19">
        <v>50.0</v>
      </c>
      <c r="AO8" s="21">
        <f t="shared" si="1"/>
        <v>1612.766667</v>
      </c>
      <c r="AP8" s="24">
        <v>1612.7666666666667</v>
      </c>
      <c r="AQ8" s="24">
        <v>1612.7666666666667</v>
      </c>
      <c r="AR8" s="23">
        <f t="shared" si="2"/>
        <v>0</v>
      </c>
      <c r="AS8" s="23">
        <f t="shared" si="3"/>
        <v>0</v>
      </c>
    </row>
    <row r="9">
      <c r="A9" s="16">
        <v>5.0</v>
      </c>
      <c r="B9" s="17" t="s">
        <v>58</v>
      </c>
      <c r="C9" s="17" t="s">
        <v>52</v>
      </c>
      <c r="D9" s="17" t="s">
        <v>53</v>
      </c>
      <c r="E9" s="18">
        <v>1600.0</v>
      </c>
      <c r="F9" s="19">
        <v>900.0</v>
      </c>
      <c r="G9" s="19">
        <v>0.0</v>
      </c>
      <c r="H9" s="19">
        <v>0.0</v>
      </c>
      <c r="I9" s="20">
        <v>3965.5952380952367</v>
      </c>
      <c r="J9" s="19">
        <v>0.0</v>
      </c>
      <c r="K9" s="19">
        <v>0.0</v>
      </c>
      <c r="L9" s="19">
        <v>0.0</v>
      </c>
      <c r="M9" s="19">
        <v>0.0</v>
      </c>
      <c r="N9" s="19">
        <v>0.0</v>
      </c>
      <c r="O9" s="19">
        <v>0.0</v>
      </c>
      <c r="P9" s="19">
        <v>0.0</v>
      </c>
      <c r="Q9" s="19">
        <v>204.16666666666663</v>
      </c>
      <c r="R9" s="19">
        <v>450.0</v>
      </c>
      <c r="S9" s="19">
        <v>20.0</v>
      </c>
      <c r="T9" s="19">
        <v>0.0</v>
      </c>
      <c r="U9" s="19">
        <v>0.0</v>
      </c>
      <c r="V9" s="19">
        <v>0.0</v>
      </c>
      <c r="W9" s="19">
        <v>0.0</v>
      </c>
      <c r="X9" s="19">
        <v>0.0</v>
      </c>
      <c r="Y9" s="19">
        <v>0.0</v>
      </c>
      <c r="Z9" s="19">
        <v>0.0</v>
      </c>
      <c r="AA9" s="19">
        <v>0.0</v>
      </c>
      <c r="AB9" s="19">
        <v>0.0</v>
      </c>
      <c r="AC9" s="19">
        <v>0.0</v>
      </c>
      <c r="AD9" s="19">
        <v>196.0</v>
      </c>
      <c r="AE9" s="19">
        <v>392.0</v>
      </c>
      <c r="AF9" s="19">
        <v>161.25000000000003</v>
      </c>
      <c r="AG9" s="19">
        <v>480.0</v>
      </c>
      <c r="AH9" s="19">
        <v>310.0</v>
      </c>
      <c r="AI9" s="19">
        <v>256.0</v>
      </c>
      <c r="AJ9" s="19">
        <v>60.0</v>
      </c>
      <c r="AK9" s="19">
        <v>0.0</v>
      </c>
      <c r="AL9" s="19">
        <v>0.0</v>
      </c>
      <c r="AM9" s="19">
        <v>0.0</v>
      </c>
      <c r="AN9" s="19">
        <v>100.0</v>
      </c>
      <c r="AO9" s="21">
        <f t="shared" si="1"/>
        <v>7495.011905</v>
      </c>
      <c r="AP9" s="22">
        <v>7495.011904761904</v>
      </c>
      <c r="AQ9" s="22">
        <v>7495.011904761904</v>
      </c>
      <c r="AR9" s="23">
        <f t="shared" si="2"/>
        <v>0</v>
      </c>
      <c r="AS9" s="23">
        <f t="shared" si="3"/>
        <v>0</v>
      </c>
    </row>
    <row r="10">
      <c r="A10" s="16">
        <v>6.0</v>
      </c>
      <c r="B10" s="17" t="s">
        <v>59</v>
      </c>
      <c r="C10" s="17" t="s">
        <v>52</v>
      </c>
      <c r="D10" s="17" t="s">
        <v>53</v>
      </c>
      <c r="E10" s="18">
        <v>1600.0</v>
      </c>
      <c r="F10" s="19">
        <v>575.0</v>
      </c>
      <c r="G10" s="19">
        <v>0.0</v>
      </c>
      <c r="H10" s="19">
        <v>0.0</v>
      </c>
      <c r="I10" s="20">
        <v>280.83333333333337</v>
      </c>
      <c r="J10" s="19">
        <v>0.0</v>
      </c>
      <c r="K10" s="19">
        <v>0.0</v>
      </c>
      <c r="L10" s="19">
        <v>0.0</v>
      </c>
      <c r="M10" s="19">
        <v>0.0</v>
      </c>
      <c r="N10" s="19">
        <v>0.0</v>
      </c>
      <c r="O10" s="19">
        <v>0.0</v>
      </c>
      <c r="P10" s="19">
        <v>0.0</v>
      </c>
      <c r="Q10" s="19">
        <v>64.33333333333333</v>
      </c>
      <c r="R10" s="19">
        <v>200.0</v>
      </c>
      <c r="S10" s="19">
        <v>220.0</v>
      </c>
      <c r="T10" s="19">
        <v>0.0</v>
      </c>
      <c r="U10" s="19">
        <v>0.0</v>
      </c>
      <c r="V10" s="19">
        <v>0.0</v>
      </c>
      <c r="W10" s="19">
        <v>0.0</v>
      </c>
      <c r="X10" s="19">
        <v>200.0</v>
      </c>
      <c r="Y10" s="19">
        <v>150.0</v>
      </c>
      <c r="Z10" s="19">
        <v>0.0</v>
      </c>
      <c r="AA10" s="19">
        <v>0.0</v>
      </c>
      <c r="AB10" s="19">
        <v>0.0</v>
      </c>
      <c r="AC10" s="19">
        <v>0.0</v>
      </c>
      <c r="AD10" s="19">
        <v>203.0</v>
      </c>
      <c r="AE10" s="19">
        <v>406.0</v>
      </c>
      <c r="AF10" s="19">
        <v>87.65</v>
      </c>
      <c r="AG10" s="19">
        <v>40.0</v>
      </c>
      <c r="AH10" s="19">
        <v>345.0</v>
      </c>
      <c r="AI10" s="19">
        <v>56.0</v>
      </c>
      <c r="AJ10" s="19">
        <v>80.0</v>
      </c>
      <c r="AK10" s="19">
        <v>0.0</v>
      </c>
      <c r="AL10" s="19">
        <v>0.0</v>
      </c>
      <c r="AM10" s="19">
        <v>0.0</v>
      </c>
      <c r="AN10" s="19">
        <v>100.0</v>
      </c>
      <c r="AO10" s="21">
        <f t="shared" si="1"/>
        <v>3007.816667</v>
      </c>
      <c r="AP10" s="22">
        <v>3007.816666666667</v>
      </c>
      <c r="AQ10" s="22">
        <v>3007.816666666667</v>
      </c>
      <c r="AR10" s="23">
        <f t="shared" si="2"/>
        <v>0</v>
      </c>
      <c r="AS10" s="23">
        <f t="shared" si="3"/>
        <v>0</v>
      </c>
    </row>
    <row r="11">
      <c r="A11" s="16">
        <v>7.0</v>
      </c>
      <c r="B11" s="17" t="s">
        <v>60</v>
      </c>
      <c r="C11" s="17" t="s">
        <v>52</v>
      </c>
      <c r="D11" s="17" t="s">
        <v>53</v>
      </c>
      <c r="E11" s="18">
        <v>1600.0</v>
      </c>
      <c r="F11" s="19">
        <v>1374.99</v>
      </c>
      <c r="G11" s="19">
        <v>0.0</v>
      </c>
      <c r="H11" s="19">
        <v>0.0</v>
      </c>
      <c r="I11" s="20">
        <v>774.4399999999997</v>
      </c>
      <c r="J11" s="19">
        <v>0.0</v>
      </c>
      <c r="K11" s="19">
        <v>0.0</v>
      </c>
      <c r="L11" s="19">
        <v>0.0</v>
      </c>
      <c r="M11" s="19">
        <v>0.0</v>
      </c>
      <c r="N11" s="19">
        <v>0.0</v>
      </c>
      <c r="O11" s="19">
        <v>0.0</v>
      </c>
      <c r="P11" s="19">
        <v>0.0</v>
      </c>
      <c r="Q11" s="19">
        <v>91.62</v>
      </c>
      <c r="R11" s="19">
        <v>1650.0</v>
      </c>
      <c r="S11" s="19">
        <v>245.0</v>
      </c>
      <c r="T11" s="19">
        <v>0.0</v>
      </c>
      <c r="U11" s="19">
        <v>0.0</v>
      </c>
      <c r="V11" s="19">
        <v>0.0</v>
      </c>
      <c r="W11" s="19">
        <v>0.0</v>
      </c>
      <c r="X11" s="19">
        <v>0.0</v>
      </c>
      <c r="Y11" s="19">
        <v>450.0</v>
      </c>
      <c r="Z11" s="19">
        <v>20.0</v>
      </c>
      <c r="AA11" s="19">
        <v>0.0</v>
      </c>
      <c r="AB11" s="19">
        <v>100.0</v>
      </c>
      <c r="AC11" s="19">
        <v>0.0</v>
      </c>
      <c r="AD11" s="19">
        <v>196.0</v>
      </c>
      <c r="AE11" s="19">
        <v>392.0</v>
      </c>
      <c r="AF11" s="19">
        <v>209.08333333333334</v>
      </c>
      <c r="AG11" s="19">
        <v>210.0</v>
      </c>
      <c r="AH11" s="19">
        <v>1270.0</v>
      </c>
      <c r="AI11" s="19">
        <v>56.0</v>
      </c>
      <c r="AJ11" s="19">
        <v>240.0</v>
      </c>
      <c r="AK11" s="19">
        <v>0.0</v>
      </c>
      <c r="AL11" s="19">
        <v>0.0</v>
      </c>
      <c r="AM11" s="19">
        <v>0.0</v>
      </c>
      <c r="AN11" s="19">
        <v>290.0</v>
      </c>
      <c r="AO11" s="21">
        <f t="shared" si="1"/>
        <v>7569.133333</v>
      </c>
      <c r="AP11" s="22">
        <v>7569.133333333332</v>
      </c>
      <c r="AQ11" s="22">
        <v>7569.133333333332</v>
      </c>
      <c r="AR11" s="23">
        <f t="shared" si="2"/>
        <v>0</v>
      </c>
      <c r="AS11" s="23">
        <f t="shared" si="3"/>
        <v>0</v>
      </c>
    </row>
    <row r="12">
      <c r="A12" s="16">
        <v>8.0</v>
      </c>
      <c r="B12" s="17" t="s">
        <v>61</v>
      </c>
      <c r="C12" s="17" t="s">
        <v>52</v>
      </c>
      <c r="D12" s="17" t="s">
        <v>62</v>
      </c>
      <c r="E12" s="18">
        <v>1600.0</v>
      </c>
      <c r="F12" s="19">
        <v>300.0</v>
      </c>
      <c r="G12" s="19">
        <v>0.0</v>
      </c>
      <c r="H12" s="19">
        <v>0.0</v>
      </c>
      <c r="I12" s="20">
        <v>10.0</v>
      </c>
      <c r="J12" s="19">
        <v>0.0</v>
      </c>
      <c r="K12" s="19">
        <v>0.0</v>
      </c>
      <c r="L12" s="19">
        <v>0.0</v>
      </c>
      <c r="M12" s="19">
        <v>0.0</v>
      </c>
      <c r="N12" s="19">
        <v>0.0</v>
      </c>
      <c r="O12" s="19">
        <v>0.0</v>
      </c>
      <c r="P12" s="19">
        <v>0.0</v>
      </c>
      <c r="Q12" s="19">
        <v>71.0</v>
      </c>
      <c r="R12" s="19">
        <v>0.0</v>
      </c>
      <c r="S12" s="19">
        <v>20.0</v>
      </c>
      <c r="T12" s="19">
        <v>0.0</v>
      </c>
      <c r="U12" s="19">
        <v>0.0</v>
      </c>
      <c r="V12" s="19">
        <v>0.0</v>
      </c>
      <c r="W12" s="19">
        <v>0.0</v>
      </c>
      <c r="X12" s="19">
        <v>0.0</v>
      </c>
      <c r="Y12" s="19">
        <v>0.0</v>
      </c>
      <c r="Z12" s="19">
        <v>0.0</v>
      </c>
      <c r="AA12" s="19">
        <v>0.0</v>
      </c>
      <c r="AB12" s="19">
        <v>0.0</v>
      </c>
      <c r="AC12" s="19">
        <v>0.0</v>
      </c>
      <c r="AD12" s="19">
        <v>224.0</v>
      </c>
      <c r="AE12" s="19">
        <v>448.0</v>
      </c>
      <c r="AF12" s="19">
        <v>85.8</v>
      </c>
      <c r="AG12" s="19">
        <v>20.0</v>
      </c>
      <c r="AH12" s="19">
        <v>140.0</v>
      </c>
      <c r="AI12" s="19">
        <v>456.0</v>
      </c>
      <c r="AJ12" s="19">
        <v>80.0</v>
      </c>
      <c r="AK12" s="19">
        <v>0.0</v>
      </c>
      <c r="AL12" s="19">
        <v>0.0</v>
      </c>
      <c r="AM12" s="19">
        <v>0.0</v>
      </c>
      <c r="AN12" s="19">
        <v>100.0</v>
      </c>
      <c r="AO12" s="21">
        <f t="shared" si="1"/>
        <v>1954.8</v>
      </c>
      <c r="AP12" s="22">
        <v>1954.8</v>
      </c>
      <c r="AQ12" s="22">
        <v>1954.8</v>
      </c>
      <c r="AR12" s="23">
        <f t="shared" si="2"/>
        <v>0</v>
      </c>
      <c r="AS12" s="23">
        <f t="shared" si="3"/>
        <v>0</v>
      </c>
    </row>
    <row r="13">
      <c r="A13" s="16">
        <v>9.0</v>
      </c>
      <c r="B13" s="17" t="s">
        <v>63</v>
      </c>
      <c r="C13" s="17" t="s">
        <v>52</v>
      </c>
      <c r="D13" s="17" t="s">
        <v>64</v>
      </c>
      <c r="E13" s="18">
        <v>1600.0</v>
      </c>
      <c r="F13" s="25">
        <v>625.0</v>
      </c>
      <c r="G13" s="25">
        <v>0.0</v>
      </c>
      <c r="H13" s="25">
        <v>0.0</v>
      </c>
      <c r="I13" s="26">
        <v>140.62</v>
      </c>
      <c r="J13" s="25">
        <v>0.0</v>
      </c>
      <c r="K13" s="25">
        <v>0.0</v>
      </c>
      <c r="L13" s="25">
        <v>0.0</v>
      </c>
      <c r="M13" s="25">
        <v>0.0</v>
      </c>
      <c r="N13" s="25">
        <v>40.0</v>
      </c>
      <c r="O13" s="25">
        <v>0.0</v>
      </c>
      <c r="P13" s="25">
        <v>0.0</v>
      </c>
      <c r="Q13" s="25">
        <v>23.69047619047619</v>
      </c>
      <c r="R13" s="25">
        <v>0.0</v>
      </c>
      <c r="S13" s="25">
        <v>20.0</v>
      </c>
      <c r="T13" s="25">
        <v>0.0</v>
      </c>
      <c r="U13" s="25">
        <v>0.0</v>
      </c>
      <c r="V13" s="25">
        <v>0.0</v>
      </c>
      <c r="W13" s="25">
        <v>0.0</v>
      </c>
      <c r="X13" s="25">
        <v>0.0</v>
      </c>
      <c r="Y13" s="25">
        <v>0.0</v>
      </c>
      <c r="Z13" s="25">
        <v>0.0</v>
      </c>
      <c r="AA13" s="25">
        <v>0.0</v>
      </c>
      <c r="AB13" s="25">
        <v>0.0</v>
      </c>
      <c r="AC13" s="25">
        <v>0.0</v>
      </c>
      <c r="AD13" s="25">
        <v>280.0</v>
      </c>
      <c r="AE13" s="25">
        <v>560.0</v>
      </c>
      <c r="AF13" s="25">
        <v>159.42000000000002</v>
      </c>
      <c r="AG13" s="25">
        <v>0.0</v>
      </c>
      <c r="AH13" s="25">
        <v>50.0</v>
      </c>
      <c r="AI13" s="25">
        <v>346.0</v>
      </c>
      <c r="AJ13" s="25">
        <v>60.0</v>
      </c>
      <c r="AK13" s="25">
        <v>0.0</v>
      </c>
      <c r="AL13" s="25">
        <v>0.0</v>
      </c>
      <c r="AM13" s="25">
        <v>0.0</v>
      </c>
      <c r="AN13" s="25">
        <v>100.0</v>
      </c>
      <c r="AO13" s="21">
        <f t="shared" si="1"/>
        <v>2404.730476</v>
      </c>
      <c r="AP13" s="22">
        <v>2404.730476190476</v>
      </c>
      <c r="AQ13" s="22">
        <v>2404.730476190476</v>
      </c>
      <c r="AR13" s="23">
        <f t="shared" si="2"/>
        <v>0</v>
      </c>
      <c r="AS13" s="23">
        <f t="shared" si="3"/>
        <v>0</v>
      </c>
    </row>
    <row r="14">
      <c r="A14" s="16">
        <v>10.0</v>
      </c>
      <c r="B14" s="17" t="s">
        <v>65</v>
      </c>
      <c r="C14" s="17" t="s">
        <v>52</v>
      </c>
      <c r="D14" s="17" t="s">
        <v>64</v>
      </c>
      <c r="E14" s="18">
        <v>1600.0</v>
      </c>
      <c r="F14" s="25">
        <v>0.0</v>
      </c>
      <c r="G14" s="25">
        <v>0.0</v>
      </c>
      <c r="H14" s="25">
        <v>0.0</v>
      </c>
      <c r="I14" s="26">
        <v>246.3499999999999</v>
      </c>
      <c r="J14" s="25">
        <v>0.0</v>
      </c>
      <c r="K14" s="25">
        <v>0.0</v>
      </c>
      <c r="L14" s="25">
        <v>0.0</v>
      </c>
      <c r="M14" s="25">
        <v>0.0</v>
      </c>
      <c r="N14" s="25">
        <v>100.0</v>
      </c>
      <c r="O14" s="25">
        <v>0.0</v>
      </c>
      <c r="P14" s="25">
        <v>0.0</v>
      </c>
      <c r="Q14" s="25">
        <v>54.53000000000001</v>
      </c>
      <c r="R14" s="25">
        <v>235.0</v>
      </c>
      <c r="S14" s="25">
        <v>50.0</v>
      </c>
      <c r="T14" s="25">
        <v>0.0</v>
      </c>
      <c r="U14" s="25">
        <v>0.0</v>
      </c>
      <c r="V14" s="25">
        <v>0.0</v>
      </c>
      <c r="W14" s="25">
        <v>0.0</v>
      </c>
      <c r="X14" s="25">
        <v>0.0</v>
      </c>
      <c r="Y14" s="25">
        <v>0.0</v>
      </c>
      <c r="Z14" s="25">
        <v>0.0</v>
      </c>
      <c r="AA14" s="25">
        <v>0.0</v>
      </c>
      <c r="AB14" s="25">
        <v>0.0</v>
      </c>
      <c r="AC14" s="25">
        <v>0.0</v>
      </c>
      <c r="AD14" s="25">
        <v>224.0</v>
      </c>
      <c r="AE14" s="25">
        <v>448.0</v>
      </c>
      <c r="AF14" s="25">
        <v>53.349999999999994</v>
      </c>
      <c r="AG14" s="25">
        <v>90.0</v>
      </c>
      <c r="AH14" s="25">
        <v>80.0</v>
      </c>
      <c r="AI14" s="25">
        <v>256.0</v>
      </c>
      <c r="AJ14" s="25">
        <v>36.0</v>
      </c>
      <c r="AK14" s="25">
        <v>0.0</v>
      </c>
      <c r="AL14" s="25">
        <v>0.0</v>
      </c>
      <c r="AM14" s="25">
        <v>0.0</v>
      </c>
      <c r="AN14" s="25">
        <v>46.0</v>
      </c>
      <c r="AO14" s="21">
        <f t="shared" si="1"/>
        <v>1919.23</v>
      </c>
      <c r="AP14" s="22">
        <v>1919.2299999999998</v>
      </c>
      <c r="AQ14" s="22">
        <v>1919.2299999999998</v>
      </c>
      <c r="AR14" s="23">
        <f t="shared" si="2"/>
        <v>0</v>
      </c>
      <c r="AS14" s="23">
        <f t="shared" si="3"/>
        <v>0</v>
      </c>
    </row>
    <row r="15">
      <c r="A15" s="16">
        <v>11.0</v>
      </c>
      <c r="B15" s="17" t="s">
        <v>66</v>
      </c>
      <c r="C15" s="17" t="s">
        <v>52</v>
      </c>
      <c r="D15" s="17" t="s">
        <v>64</v>
      </c>
      <c r="E15" s="18">
        <v>1600.0</v>
      </c>
      <c r="F15" s="25">
        <v>375.0</v>
      </c>
      <c r="G15" s="25">
        <v>0.0</v>
      </c>
      <c r="H15" s="25">
        <v>0.0</v>
      </c>
      <c r="I15" s="26">
        <v>301.6071428571429</v>
      </c>
      <c r="J15" s="25">
        <v>0.0</v>
      </c>
      <c r="K15" s="25">
        <v>0.0</v>
      </c>
      <c r="L15" s="25">
        <v>0.0</v>
      </c>
      <c r="M15" s="25">
        <v>0.0</v>
      </c>
      <c r="N15" s="25">
        <v>20.0</v>
      </c>
      <c r="O15" s="25">
        <v>0.0</v>
      </c>
      <c r="P15" s="25">
        <v>0.0</v>
      </c>
      <c r="Q15" s="25">
        <v>24.03571428571429</v>
      </c>
      <c r="R15" s="25">
        <v>1200.0</v>
      </c>
      <c r="S15" s="25">
        <v>20.0</v>
      </c>
      <c r="T15" s="25">
        <v>0.0</v>
      </c>
      <c r="U15" s="25">
        <v>0.0</v>
      </c>
      <c r="V15" s="25">
        <v>0.0</v>
      </c>
      <c r="W15" s="25">
        <v>0.0</v>
      </c>
      <c r="X15" s="25">
        <v>0.0</v>
      </c>
      <c r="Y15" s="25">
        <v>300.0</v>
      </c>
      <c r="Z15" s="25">
        <v>50.0</v>
      </c>
      <c r="AA15" s="25">
        <v>0.0</v>
      </c>
      <c r="AB15" s="25">
        <v>0.0</v>
      </c>
      <c r="AC15" s="25">
        <v>0.0</v>
      </c>
      <c r="AD15" s="25">
        <v>224.0</v>
      </c>
      <c r="AE15" s="25">
        <v>448.0</v>
      </c>
      <c r="AF15" s="25">
        <v>189.0</v>
      </c>
      <c r="AG15" s="25">
        <v>490.0</v>
      </c>
      <c r="AH15" s="25">
        <v>371.0</v>
      </c>
      <c r="AI15" s="25">
        <v>592.0</v>
      </c>
      <c r="AJ15" s="25">
        <v>210.0</v>
      </c>
      <c r="AK15" s="25">
        <v>0.0</v>
      </c>
      <c r="AL15" s="25">
        <v>0.0</v>
      </c>
      <c r="AM15" s="25">
        <v>0.0</v>
      </c>
      <c r="AN15" s="25">
        <v>290.0</v>
      </c>
      <c r="AO15" s="21">
        <f t="shared" si="1"/>
        <v>5104.642857</v>
      </c>
      <c r="AP15" s="22">
        <v>5104.642857142857</v>
      </c>
      <c r="AQ15" s="22">
        <v>5104.642857142857</v>
      </c>
      <c r="AR15" s="23">
        <f t="shared" si="2"/>
        <v>0</v>
      </c>
      <c r="AS15" s="23">
        <f t="shared" si="3"/>
        <v>0</v>
      </c>
    </row>
    <row r="16">
      <c r="A16" s="16">
        <v>12.0</v>
      </c>
      <c r="B16" s="17" t="s">
        <v>67</v>
      </c>
      <c r="C16" s="17" t="s">
        <v>52</v>
      </c>
      <c r="D16" s="17" t="s">
        <v>64</v>
      </c>
      <c r="E16" s="18">
        <v>1600.0</v>
      </c>
      <c r="F16" s="25">
        <v>0.0</v>
      </c>
      <c r="G16" s="25">
        <v>0.0</v>
      </c>
      <c r="H16" s="25">
        <v>0.0</v>
      </c>
      <c r="I16" s="26">
        <v>12.5</v>
      </c>
      <c r="J16" s="25">
        <v>0.0</v>
      </c>
      <c r="K16" s="25">
        <v>0.0</v>
      </c>
      <c r="L16" s="25">
        <v>0.0</v>
      </c>
      <c r="M16" s="25">
        <v>0.0</v>
      </c>
      <c r="N16" s="25">
        <v>20.0</v>
      </c>
      <c r="O16" s="25">
        <v>0.0</v>
      </c>
      <c r="P16" s="25">
        <v>0.0</v>
      </c>
      <c r="Q16" s="25">
        <v>15.0</v>
      </c>
      <c r="R16" s="25">
        <v>0.0</v>
      </c>
      <c r="S16" s="25">
        <v>20.0</v>
      </c>
      <c r="T16" s="25">
        <v>0.0</v>
      </c>
      <c r="U16" s="25">
        <v>0.0</v>
      </c>
      <c r="V16" s="25">
        <v>0.0</v>
      </c>
      <c r="W16" s="25">
        <v>0.0</v>
      </c>
      <c r="X16" s="25">
        <v>0.0</v>
      </c>
      <c r="Y16" s="25">
        <v>0.0</v>
      </c>
      <c r="Z16" s="25">
        <v>0.0</v>
      </c>
      <c r="AA16" s="25">
        <v>0.0</v>
      </c>
      <c r="AB16" s="25">
        <v>0.0</v>
      </c>
      <c r="AC16" s="25">
        <v>0.0</v>
      </c>
      <c r="AD16" s="25">
        <v>364.0</v>
      </c>
      <c r="AE16" s="25">
        <v>728.0</v>
      </c>
      <c r="AF16" s="25">
        <v>130.71</v>
      </c>
      <c r="AG16" s="25">
        <v>170.0</v>
      </c>
      <c r="AH16" s="25">
        <v>90.0</v>
      </c>
      <c r="AI16" s="25">
        <v>424.0</v>
      </c>
      <c r="AJ16" s="25">
        <v>60.0</v>
      </c>
      <c r="AK16" s="25">
        <v>0.0</v>
      </c>
      <c r="AL16" s="25">
        <v>0.0</v>
      </c>
      <c r="AM16" s="25">
        <v>0.0</v>
      </c>
      <c r="AN16" s="25">
        <v>0.0</v>
      </c>
      <c r="AO16" s="21">
        <f t="shared" si="1"/>
        <v>2034.21</v>
      </c>
      <c r="AP16" s="22">
        <v>2034.21</v>
      </c>
      <c r="AQ16" s="22">
        <v>2034.21</v>
      </c>
      <c r="AR16" s="23">
        <f t="shared" si="2"/>
        <v>0</v>
      </c>
      <c r="AS16" s="23">
        <f t="shared" si="3"/>
        <v>0</v>
      </c>
    </row>
    <row r="17">
      <c r="A17" s="16">
        <v>13.0</v>
      </c>
      <c r="B17" s="17" t="s">
        <v>68</v>
      </c>
      <c r="C17" s="17" t="s">
        <v>52</v>
      </c>
      <c r="D17" s="17" t="s">
        <v>69</v>
      </c>
      <c r="E17" s="18">
        <v>1600.0</v>
      </c>
      <c r="F17" s="25">
        <v>541.6666666666666</v>
      </c>
      <c r="G17" s="25">
        <v>0.0</v>
      </c>
      <c r="H17" s="25">
        <v>0.0</v>
      </c>
      <c r="I17" s="26">
        <v>325.7738095238096</v>
      </c>
      <c r="J17" s="25">
        <v>0.0</v>
      </c>
      <c r="K17" s="25">
        <v>0.0</v>
      </c>
      <c r="L17" s="25">
        <v>0.0</v>
      </c>
      <c r="M17" s="25">
        <v>0.0</v>
      </c>
      <c r="N17" s="25">
        <v>0.0</v>
      </c>
      <c r="O17" s="25">
        <v>0.0</v>
      </c>
      <c r="P17" s="25">
        <v>0.0</v>
      </c>
      <c r="Q17" s="25">
        <v>36.2579365079365</v>
      </c>
      <c r="R17" s="25">
        <v>1050.0</v>
      </c>
      <c r="S17" s="25">
        <v>20.0</v>
      </c>
      <c r="T17" s="25">
        <v>0.0</v>
      </c>
      <c r="U17" s="25">
        <v>0.0</v>
      </c>
      <c r="V17" s="25">
        <v>0.0</v>
      </c>
      <c r="W17" s="25">
        <v>0.0</v>
      </c>
      <c r="X17" s="25">
        <v>0.0</v>
      </c>
      <c r="Y17" s="25">
        <v>200.0</v>
      </c>
      <c r="Z17" s="25">
        <v>70.0</v>
      </c>
      <c r="AA17" s="25">
        <v>0.0</v>
      </c>
      <c r="AB17" s="25">
        <v>0.0</v>
      </c>
      <c r="AC17" s="25">
        <v>0.0</v>
      </c>
      <c r="AD17" s="25">
        <v>280.0</v>
      </c>
      <c r="AE17" s="25">
        <v>560.0</v>
      </c>
      <c r="AF17" s="25">
        <v>170.33333333333334</v>
      </c>
      <c r="AG17" s="25">
        <v>360.0</v>
      </c>
      <c r="AH17" s="25">
        <v>160.0</v>
      </c>
      <c r="AI17" s="25">
        <v>854.0</v>
      </c>
      <c r="AJ17" s="25">
        <v>270.0</v>
      </c>
      <c r="AK17" s="25">
        <v>0.0</v>
      </c>
      <c r="AL17" s="25">
        <v>0.0</v>
      </c>
      <c r="AM17" s="25">
        <v>0.0</v>
      </c>
      <c r="AN17" s="25">
        <v>180.0</v>
      </c>
      <c r="AO17" s="21">
        <f t="shared" si="1"/>
        <v>5078.031746</v>
      </c>
      <c r="AP17" s="22">
        <v>5078.031746031746</v>
      </c>
      <c r="AQ17" s="22">
        <v>5078.031746031746</v>
      </c>
      <c r="AR17" s="23">
        <f t="shared" si="2"/>
        <v>0</v>
      </c>
      <c r="AS17" s="23">
        <f t="shared" si="3"/>
        <v>0</v>
      </c>
    </row>
    <row r="18">
      <c r="A18" s="16">
        <v>14.0</v>
      </c>
      <c r="B18" s="17" t="s">
        <v>70</v>
      </c>
      <c r="C18" s="17" t="s">
        <v>52</v>
      </c>
      <c r="D18" s="17" t="s">
        <v>69</v>
      </c>
      <c r="E18" s="18">
        <v>1600.0</v>
      </c>
      <c r="F18" s="25">
        <v>0.0</v>
      </c>
      <c r="G18" s="25">
        <v>0.0</v>
      </c>
      <c r="H18" s="25">
        <v>0.0</v>
      </c>
      <c r="I18" s="26">
        <v>208.33333333333334</v>
      </c>
      <c r="J18" s="25">
        <v>0.0</v>
      </c>
      <c r="K18" s="25">
        <v>0.0</v>
      </c>
      <c r="L18" s="25">
        <v>0.0</v>
      </c>
      <c r="M18" s="25">
        <v>0.0</v>
      </c>
      <c r="N18" s="25">
        <v>100.0</v>
      </c>
      <c r="O18" s="25">
        <v>0.0</v>
      </c>
      <c r="P18" s="25">
        <v>0.0</v>
      </c>
      <c r="Q18" s="25">
        <v>31.666666666666668</v>
      </c>
      <c r="R18" s="25">
        <v>300.0</v>
      </c>
      <c r="S18" s="25">
        <v>0.0</v>
      </c>
      <c r="T18" s="25">
        <v>0.0</v>
      </c>
      <c r="U18" s="25">
        <v>0.0</v>
      </c>
      <c r="V18" s="25">
        <v>0.0</v>
      </c>
      <c r="W18" s="25">
        <v>0.0</v>
      </c>
      <c r="X18" s="25">
        <v>0.0</v>
      </c>
      <c r="Y18" s="25">
        <v>0.0</v>
      </c>
      <c r="Z18" s="25">
        <v>0.0</v>
      </c>
      <c r="AA18" s="25">
        <v>0.0</v>
      </c>
      <c r="AB18" s="25">
        <v>0.0</v>
      </c>
      <c r="AC18" s="25">
        <v>0.0</v>
      </c>
      <c r="AD18" s="25">
        <v>336.0</v>
      </c>
      <c r="AE18" s="25">
        <v>672.0</v>
      </c>
      <c r="AF18" s="25">
        <v>85.66666666666666</v>
      </c>
      <c r="AG18" s="25">
        <v>40.0</v>
      </c>
      <c r="AH18" s="25">
        <v>30.0</v>
      </c>
      <c r="AI18" s="25">
        <v>312.0</v>
      </c>
      <c r="AJ18" s="25">
        <v>40.0</v>
      </c>
      <c r="AK18" s="25">
        <v>0.0</v>
      </c>
      <c r="AL18" s="25">
        <v>50.0</v>
      </c>
      <c r="AM18" s="25">
        <v>0.0</v>
      </c>
      <c r="AN18" s="25">
        <v>36.0</v>
      </c>
      <c r="AO18" s="21">
        <f t="shared" si="1"/>
        <v>2241.666667</v>
      </c>
      <c r="AP18" s="22">
        <v>2241.666666666667</v>
      </c>
      <c r="AQ18" s="22">
        <v>2241.666666666667</v>
      </c>
      <c r="AR18" s="23">
        <f t="shared" si="2"/>
        <v>0</v>
      </c>
      <c r="AS18" s="23">
        <f t="shared" si="3"/>
        <v>0</v>
      </c>
    </row>
    <row r="19">
      <c r="A19" s="16">
        <v>15.0</v>
      </c>
      <c r="B19" s="17" t="s">
        <v>71</v>
      </c>
      <c r="C19" s="17" t="s">
        <v>52</v>
      </c>
      <c r="D19" s="17" t="s">
        <v>69</v>
      </c>
      <c r="E19" s="18">
        <v>1600.0</v>
      </c>
      <c r="F19" s="25">
        <v>0.0</v>
      </c>
      <c r="G19" s="25">
        <v>0.0</v>
      </c>
      <c r="H19" s="25">
        <v>0.0</v>
      </c>
      <c r="I19" s="26">
        <v>25.0</v>
      </c>
      <c r="J19" s="25">
        <v>0.0</v>
      </c>
      <c r="K19" s="25">
        <v>0.0</v>
      </c>
      <c r="L19" s="25">
        <v>0.0</v>
      </c>
      <c r="M19" s="25">
        <v>0.0</v>
      </c>
      <c r="N19" s="25">
        <v>0.0</v>
      </c>
      <c r="O19" s="25">
        <v>0.0</v>
      </c>
      <c r="P19" s="25">
        <v>0.0</v>
      </c>
      <c r="Q19" s="25">
        <v>16.666666666666668</v>
      </c>
      <c r="R19" s="25">
        <v>0.0</v>
      </c>
      <c r="S19" s="25">
        <v>0.0</v>
      </c>
      <c r="T19" s="25">
        <v>0.0</v>
      </c>
      <c r="U19" s="25">
        <v>0.0</v>
      </c>
      <c r="V19" s="25">
        <v>0.0</v>
      </c>
      <c r="W19" s="25">
        <v>0.0</v>
      </c>
      <c r="X19" s="25">
        <v>0.0</v>
      </c>
      <c r="Y19" s="25">
        <v>0.0</v>
      </c>
      <c r="Z19" s="25">
        <v>0.0</v>
      </c>
      <c r="AA19" s="25">
        <v>0.0</v>
      </c>
      <c r="AB19" s="25">
        <v>0.0</v>
      </c>
      <c r="AC19" s="25">
        <v>0.0</v>
      </c>
      <c r="AD19" s="25">
        <v>420.0</v>
      </c>
      <c r="AE19" s="25">
        <v>840.0</v>
      </c>
      <c r="AF19" s="25">
        <v>366.09999999999997</v>
      </c>
      <c r="AG19" s="25">
        <v>0.0</v>
      </c>
      <c r="AH19" s="25">
        <v>30.0</v>
      </c>
      <c r="AI19" s="25">
        <v>346.0</v>
      </c>
      <c r="AJ19" s="25">
        <v>50.0</v>
      </c>
      <c r="AK19" s="25">
        <v>0.0</v>
      </c>
      <c r="AL19" s="25">
        <v>100.0</v>
      </c>
      <c r="AM19" s="25">
        <v>0.0</v>
      </c>
      <c r="AN19" s="25">
        <v>180.0</v>
      </c>
      <c r="AO19" s="21">
        <f t="shared" si="1"/>
        <v>2373.766667</v>
      </c>
      <c r="AP19" s="22">
        <v>2373.7666666666664</v>
      </c>
      <c r="AQ19" s="22">
        <v>2373.7666666666664</v>
      </c>
      <c r="AR19" s="23">
        <f t="shared" si="2"/>
        <v>0</v>
      </c>
      <c r="AS19" s="23">
        <f t="shared" si="3"/>
        <v>0</v>
      </c>
    </row>
    <row r="20">
      <c r="A20" s="16">
        <v>16.0</v>
      </c>
      <c r="B20" s="17" t="s">
        <v>72</v>
      </c>
      <c r="C20" s="17" t="s">
        <v>52</v>
      </c>
      <c r="D20" s="17" t="s">
        <v>69</v>
      </c>
      <c r="E20" s="18">
        <v>1600.0</v>
      </c>
      <c r="F20" s="25">
        <v>0.0</v>
      </c>
      <c r="G20" s="25">
        <v>0.0</v>
      </c>
      <c r="H20" s="25">
        <v>0.0</v>
      </c>
      <c r="I20" s="26">
        <v>50.0</v>
      </c>
      <c r="J20" s="25">
        <v>0.0</v>
      </c>
      <c r="K20" s="25">
        <v>0.0</v>
      </c>
      <c r="L20" s="25">
        <v>0.0</v>
      </c>
      <c r="M20" s="25">
        <v>0.0</v>
      </c>
      <c r="N20" s="25">
        <v>0.0</v>
      </c>
      <c r="O20" s="25">
        <v>0.0</v>
      </c>
      <c r="P20" s="25">
        <v>0.0</v>
      </c>
      <c r="Q20" s="25">
        <v>20.0</v>
      </c>
      <c r="R20" s="25">
        <v>0.0</v>
      </c>
      <c r="S20" s="25">
        <v>20.0</v>
      </c>
      <c r="T20" s="25">
        <v>0.0</v>
      </c>
      <c r="U20" s="25">
        <v>0.0</v>
      </c>
      <c r="V20" s="25">
        <v>0.0</v>
      </c>
      <c r="W20" s="25">
        <v>0.0</v>
      </c>
      <c r="X20" s="25">
        <v>0.0</v>
      </c>
      <c r="Y20" s="25">
        <v>0.0</v>
      </c>
      <c r="Z20" s="25">
        <v>0.0</v>
      </c>
      <c r="AA20" s="25">
        <v>0.0</v>
      </c>
      <c r="AB20" s="25">
        <v>0.0</v>
      </c>
      <c r="AC20" s="25">
        <v>0.0</v>
      </c>
      <c r="AD20" s="25">
        <v>420.0</v>
      </c>
      <c r="AE20" s="25">
        <v>840.0</v>
      </c>
      <c r="AF20" s="25">
        <v>99.43000000000002</v>
      </c>
      <c r="AG20" s="25">
        <v>40.0</v>
      </c>
      <c r="AH20" s="25">
        <v>30.0</v>
      </c>
      <c r="AI20" s="25">
        <v>256.0</v>
      </c>
      <c r="AJ20" s="25">
        <v>66.0</v>
      </c>
      <c r="AK20" s="25">
        <v>0.0</v>
      </c>
      <c r="AL20" s="25">
        <v>0.0</v>
      </c>
      <c r="AM20" s="25">
        <v>0.0</v>
      </c>
      <c r="AN20" s="25">
        <v>98.0</v>
      </c>
      <c r="AO20" s="21">
        <f t="shared" si="1"/>
        <v>1939.43</v>
      </c>
      <c r="AP20" s="22">
        <v>1939.43</v>
      </c>
      <c r="AQ20" s="22">
        <v>1939.43</v>
      </c>
      <c r="AR20" s="23">
        <f t="shared" si="2"/>
        <v>0</v>
      </c>
      <c r="AS20" s="23">
        <f t="shared" si="3"/>
        <v>0</v>
      </c>
    </row>
    <row r="21" ht="15.75" customHeight="1">
      <c r="A21" s="16">
        <v>17.0</v>
      </c>
      <c r="B21" s="17" t="s">
        <v>73</v>
      </c>
      <c r="C21" s="17" t="s">
        <v>52</v>
      </c>
      <c r="D21" s="17" t="s">
        <v>69</v>
      </c>
      <c r="E21" s="18">
        <v>1600.0</v>
      </c>
      <c r="F21" s="25">
        <v>175.0</v>
      </c>
      <c r="G21" s="25">
        <v>0.0</v>
      </c>
      <c r="H21" s="25">
        <v>0.0</v>
      </c>
      <c r="I21" s="26">
        <f>310.045238095238-0.000000000130967237055302</f>
        <v>310.0452381</v>
      </c>
      <c r="J21" s="25">
        <v>0.0</v>
      </c>
      <c r="K21" s="25">
        <v>0.0</v>
      </c>
      <c r="L21" s="25">
        <v>0.0</v>
      </c>
      <c r="M21" s="25">
        <v>0.0</v>
      </c>
      <c r="N21" s="25">
        <v>20.0</v>
      </c>
      <c r="O21" s="25">
        <v>0.0</v>
      </c>
      <c r="P21" s="25">
        <v>200.0</v>
      </c>
      <c r="Q21" s="25">
        <v>39.08</v>
      </c>
      <c r="R21" s="25">
        <v>920.0</v>
      </c>
      <c r="S21" s="25">
        <v>20.0</v>
      </c>
      <c r="T21" s="25">
        <v>0.0</v>
      </c>
      <c r="U21" s="25">
        <v>0.0</v>
      </c>
      <c r="V21" s="25">
        <v>0.0</v>
      </c>
      <c r="W21" s="25">
        <v>0.0</v>
      </c>
      <c r="X21" s="25">
        <v>0.0</v>
      </c>
      <c r="Y21" s="25">
        <v>200.0</v>
      </c>
      <c r="Z21" s="25">
        <v>130.0</v>
      </c>
      <c r="AA21" s="25">
        <v>0.0</v>
      </c>
      <c r="AB21" s="25">
        <v>0.0</v>
      </c>
      <c r="AC21" s="25">
        <v>0.0</v>
      </c>
      <c r="AD21" s="25">
        <v>280.0</v>
      </c>
      <c r="AE21" s="25">
        <v>560.0</v>
      </c>
      <c r="AF21" s="25">
        <v>199.25833333333333</v>
      </c>
      <c r="AG21" s="25">
        <v>460.0</v>
      </c>
      <c r="AH21" s="25">
        <v>100.0</v>
      </c>
      <c r="AI21" s="25">
        <v>636.0</v>
      </c>
      <c r="AJ21" s="25">
        <v>250.0</v>
      </c>
      <c r="AK21" s="25">
        <v>0.0</v>
      </c>
      <c r="AL21" s="25">
        <v>0.0</v>
      </c>
      <c r="AM21" s="25">
        <v>0.0</v>
      </c>
      <c r="AN21" s="25">
        <v>124.0</v>
      </c>
      <c r="AO21" s="21">
        <f t="shared" si="1"/>
        <v>4623.383571</v>
      </c>
      <c r="AP21" s="22">
        <v>4623.3835714284405</v>
      </c>
      <c r="AQ21" s="22">
        <v>4623.3835714284405</v>
      </c>
      <c r="AR21" s="23">
        <f t="shared" si="2"/>
        <v>0</v>
      </c>
      <c r="AS21" s="23">
        <f t="shared" si="3"/>
        <v>0</v>
      </c>
    </row>
    <row r="22" ht="15.75" customHeight="1">
      <c r="A22" s="16">
        <v>18.0</v>
      </c>
      <c r="B22" s="17" t="s">
        <v>74</v>
      </c>
      <c r="C22" s="17" t="s">
        <v>52</v>
      </c>
      <c r="D22" s="17" t="s">
        <v>69</v>
      </c>
      <c r="E22" s="18">
        <v>1600.0</v>
      </c>
      <c r="F22" s="25">
        <v>250.0</v>
      </c>
      <c r="G22" s="25">
        <v>0.0</v>
      </c>
      <c r="H22" s="25">
        <v>0.0</v>
      </c>
      <c r="I22" s="26">
        <v>424.8800000000001</v>
      </c>
      <c r="J22" s="25">
        <v>0.0</v>
      </c>
      <c r="K22" s="25">
        <v>0.0</v>
      </c>
      <c r="L22" s="25">
        <v>0.0</v>
      </c>
      <c r="M22" s="25">
        <v>0.0</v>
      </c>
      <c r="N22" s="25">
        <v>0.0</v>
      </c>
      <c r="O22" s="25">
        <v>0.0</v>
      </c>
      <c r="P22" s="25">
        <v>0.0</v>
      </c>
      <c r="Q22" s="25">
        <v>42.99</v>
      </c>
      <c r="R22" s="25">
        <v>0.0</v>
      </c>
      <c r="S22" s="25">
        <v>0.0</v>
      </c>
      <c r="T22" s="25">
        <v>0.0</v>
      </c>
      <c r="U22" s="25">
        <v>0.0</v>
      </c>
      <c r="V22" s="25">
        <v>0.0</v>
      </c>
      <c r="W22" s="25">
        <v>0.0</v>
      </c>
      <c r="X22" s="25">
        <v>0.0</v>
      </c>
      <c r="Y22" s="25">
        <v>0.0</v>
      </c>
      <c r="Z22" s="25">
        <v>80.0</v>
      </c>
      <c r="AA22" s="25">
        <v>0.0</v>
      </c>
      <c r="AB22" s="25">
        <v>0.0</v>
      </c>
      <c r="AC22" s="25">
        <v>0.0</v>
      </c>
      <c r="AD22" s="25">
        <v>280.0</v>
      </c>
      <c r="AE22" s="25">
        <v>560.0</v>
      </c>
      <c r="AF22" s="25">
        <v>115.64999999999996</v>
      </c>
      <c r="AG22" s="25">
        <v>10.0</v>
      </c>
      <c r="AH22" s="25">
        <v>30.0</v>
      </c>
      <c r="AI22" s="25">
        <v>56.0</v>
      </c>
      <c r="AJ22" s="25">
        <v>70.0</v>
      </c>
      <c r="AK22" s="25">
        <v>0.0</v>
      </c>
      <c r="AL22" s="25">
        <v>0.0</v>
      </c>
      <c r="AM22" s="25">
        <v>0.0</v>
      </c>
      <c r="AN22" s="25">
        <v>100.0</v>
      </c>
      <c r="AO22" s="21">
        <f t="shared" si="1"/>
        <v>2019.52</v>
      </c>
      <c r="AP22" s="22">
        <v>2019.52</v>
      </c>
      <c r="AQ22" s="22">
        <v>2019.52</v>
      </c>
      <c r="AR22" s="23">
        <f t="shared" si="2"/>
        <v>0</v>
      </c>
      <c r="AS22" s="23">
        <f t="shared" si="3"/>
        <v>0</v>
      </c>
    </row>
    <row r="23" ht="15.75" customHeight="1">
      <c r="A23" s="16">
        <v>19.0</v>
      </c>
      <c r="B23" s="17" t="s">
        <v>75</v>
      </c>
      <c r="C23" s="17" t="s">
        <v>52</v>
      </c>
      <c r="D23" s="17" t="s">
        <v>69</v>
      </c>
      <c r="E23" s="18">
        <v>1600.0</v>
      </c>
      <c r="F23" s="25">
        <v>0.0</v>
      </c>
      <c r="G23" s="25">
        <v>0.0</v>
      </c>
      <c r="H23" s="25">
        <v>0.0</v>
      </c>
      <c r="I23" s="26">
        <v>0.0</v>
      </c>
      <c r="J23" s="25">
        <v>0.0</v>
      </c>
      <c r="K23" s="25">
        <v>0.0</v>
      </c>
      <c r="L23" s="25">
        <v>0.0</v>
      </c>
      <c r="M23" s="25">
        <v>0.0</v>
      </c>
      <c r="N23" s="25">
        <v>0.0</v>
      </c>
      <c r="O23" s="25">
        <v>0.0</v>
      </c>
      <c r="P23" s="25">
        <v>0.0</v>
      </c>
      <c r="Q23" s="25">
        <v>0.0</v>
      </c>
      <c r="R23" s="25">
        <v>0.0</v>
      </c>
      <c r="S23" s="25">
        <v>20.0</v>
      </c>
      <c r="T23" s="25">
        <v>0.0</v>
      </c>
      <c r="U23" s="25">
        <v>0.0</v>
      </c>
      <c r="V23" s="25">
        <v>0.0</v>
      </c>
      <c r="W23" s="25">
        <v>0.0</v>
      </c>
      <c r="X23" s="25">
        <v>0.0</v>
      </c>
      <c r="Y23" s="25">
        <v>0.0</v>
      </c>
      <c r="Z23" s="25">
        <v>0.0</v>
      </c>
      <c r="AA23" s="25">
        <v>0.0</v>
      </c>
      <c r="AB23" s="25">
        <v>0.0</v>
      </c>
      <c r="AC23" s="25">
        <v>0.0</v>
      </c>
      <c r="AD23" s="25">
        <v>448.0</v>
      </c>
      <c r="AE23" s="25">
        <v>896.0</v>
      </c>
      <c r="AF23" s="25">
        <v>108.89999999999998</v>
      </c>
      <c r="AG23" s="25">
        <v>20.0</v>
      </c>
      <c r="AH23" s="25">
        <v>30.0</v>
      </c>
      <c r="AI23" s="25">
        <v>56.0</v>
      </c>
      <c r="AJ23" s="25">
        <v>30.0</v>
      </c>
      <c r="AK23" s="25">
        <v>0.0</v>
      </c>
      <c r="AL23" s="25">
        <v>0.0</v>
      </c>
      <c r="AM23" s="25">
        <v>0.0</v>
      </c>
      <c r="AN23" s="25">
        <v>50.0</v>
      </c>
      <c r="AO23" s="21">
        <f t="shared" si="1"/>
        <v>1658.9</v>
      </c>
      <c r="AP23" s="22">
        <v>1658.9</v>
      </c>
      <c r="AQ23" s="22">
        <v>1658.9</v>
      </c>
      <c r="AR23" s="23">
        <f t="shared" si="2"/>
        <v>0</v>
      </c>
      <c r="AS23" s="23">
        <f t="shared" si="3"/>
        <v>0</v>
      </c>
    </row>
    <row r="24" ht="15.75" customHeight="1">
      <c r="A24" s="16">
        <v>20.0</v>
      </c>
      <c r="B24" s="17" t="s">
        <v>76</v>
      </c>
      <c r="C24" s="17" t="s">
        <v>52</v>
      </c>
      <c r="D24" s="17" t="s">
        <v>69</v>
      </c>
      <c r="E24" s="18">
        <v>1600.0</v>
      </c>
      <c r="F24" s="25">
        <v>0.0</v>
      </c>
      <c r="G24" s="25">
        <v>0.0</v>
      </c>
      <c r="H24" s="25">
        <v>0.0</v>
      </c>
      <c r="I24" s="26">
        <v>0.0</v>
      </c>
      <c r="J24" s="25">
        <v>0.0</v>
      </c>
      <c r="K24" s="25">
        <v>0.0</v>
      </c>
      <c r="L24" s="25">
        <v>0.0</v>
      </c>
      <c r="M24" s="25">
        <v>0.0</v>
      </c>
      <c r="N24" s="25">
        <v>0.0</v>
      </c>
      <c r="O24" s="25">
        <v>0.0</v>
      </c>
      <c r="P24" s="25">
        <v>0.0</v>
      </c>
      <c r="Q24" s="25">
        <v>0.0</v>
      </c>
      <c r="R24" s="25">
        <v>0.0</v>
      </c>
      <c r="S24" s="25">
        <v>0.0</v>
      </c>
      <c r="T24" s="25">
        <v>0.0</v>
      </c>
      <c r="U24" s="25">
        <v>0.0</v>
      </c>
      <c r="V24" s="25">
        <v>50.0</v>
      </c>
      <c r="W24" s="25">
        <v>0.0</v>
      </c>
      <c r="X24" s="25">
        <v>0.0</v>
      </c>
      <c r="Y24" s="25">
        <v>200.0</v>
      </c>
      <c r="Z24" s="25">
        <v>0.0</v>
      </c>
      <c r="AA24" s="25">
        <v>0.0</v>
      </c>
      <c r="AB24" s="25">
        <v>0.0</v>
      </c>
      <c r="AC24" s="25">
        <v>0.0</v>
      </c>
      <c r="AD24" s="25">
        <v>448.0</v>
      </c>
      <c r="AE24" s="25">
        <v>896.0</v>
      </c>
      <c r="AF24" s="25">
        <v>163.17999999999995</v>
      </c>
      <c r="AG24" s="25">
        <v>140.0</v>
      </c>
      <c r="AH24" s="25">
        <v>230.0</v>
      </c>
      <c r="AI24" s="25">
        <v>346.0</v>
      </c>
      <c r="AJ24" s="25">
        <v>8.0</v>
      </c>
      <c r="AK24" s="25">
        <v>0.0</v>
      </c>
      <c r="AL24" s="25">
        <v>150.0</v>
      </c>
      <c r="AM24" s="25">
        <v>0.0</v>
      </c>
      <c r="AN24" s="25">
        <v>180.0</v>
      </c>
      <c r="AO24" s="21">
        <f t="shared" si="1"/>
        <v>2811.18</v>
      </c>
      <c r="AP24" s="22">
        <v>2811.18</v>
      </c>
      <c r="AQ24" s="22">
        <v>2811.18</v>
      </c>
      <c r="AR24" s="23">
        <f t="shared" si="2"/>
        <v>0</v>
      </c>
      <c r="AS24" s="23">
        <f t="shared" si="3"/>
        <v>0</v>
      </c>
    </row>
    <row r="25" ht="15.75" customHeight="1">
      <c r="A25" s="16">
        <v>21.0</v>
      </c>
      <c r="B25" s="17" t="s">
        <v>77</v>
      </c>
      <c r="C25" s="17" t="s">
        <v>52</v>
      </c>
      <c r="D25" s="17" t="s">
        <v>69</v>
      </c>
      <c r="E25" s="18">
        <v>1600.0</v>
      </c>
      <c r="F25" s="25">
        <v>333.3333333333333</v>
      </c>
      <c r="G25" s="25">
        <v>0.0</v>
      </c>
      <c r="H25" s="25">
        <v>0.0</v>
      </c>
      <c r="I25" s="26">
        <v>33.34</v>
      </c>
      <c r="J25" s="25">
        <v>0.0</v>
      </c>
      <c r="K25" s="25">
        <v>0.0</v>
      </c>
      <c r="L25" s="25">
        <v>0.0</v>
      </c>
      <c r="M25" s="25">
        <v>0.0</v>
      </c>
      <c r="N25" s="25">
        <v>0.0</v>
      </c>
      <c r="O25" s="25">
        <v>0.0</v>
      </c>
      <c r="P25" s="25">
        <v>0.0</v>
      </c>
      <c r="Q25" s="25">
        <v>0.0</v>
      </c>
      <c r="R25" s="25">
        <v>0.0</v>
      </c>
      <c r="S25" s="25">
        <v>0.0</v>
      </c>
      <c r="T25" s="25">
        <v>0.0</v>
      </c>
      <c r="U25" s="25">
        <v>0.0</v>
      </c>
      <c r="V25" s="25">
        <v>0.0</v>
      </c>
      <c r="W25" s="25">
        <v>0.0</v>
      </c>
      <c r="X25" s="25">
        <v>0.0</v>
      </c>
      <c r="Y25" s="25">
        <v>0.0</v>
      </c>
      <c r="Z25" s="25">
        <v>0.0</v>
      </c>
      <c r="AA25" s="25">
        <v>0.0</v>
      </c>
      <c r="AB25" s="25">
        <v>0.0</v>
      </c>
      <c r="AC25" s="25">
        <v>0.0</v>
      </c>
      <c r="AD25" s="25">
        <v>434.0</v>
      </c>
      <c r="AE25" s="25">
        <v>868.0</v>
      </c>
      <c r="AF25" s="25">
        <v>60.64999999999999</v>
      </c>
      <c r="AG25" s="25">
        <v>0.0</v>
      </c>
      <c r="AH25" s="25">
        <v>100.0</v>
      </c>
      <c r="AI25" s="25">
        <v>56.0</v>
      </c>
      <c r="AJ25" s="25">
        <v>40.0</v>
      </c>
      <c r="AK25" s="25">
        <v>0.0</v>
      </c>
      <c r="AL25" s="25">
        <v>0.0</v>
      </c>
      <c r="AM25" s="25">
        <v>0.0</v>
      </c>
      <c r="AN25" s="25">
        <v>100.0</v>
      </c>
      <c r="AO25" s="21">
        <f t="shared" si="1"/>
        <v>2025.323333</v>
      </c>
      <c r="AP25" s="22">
        <v>2025.3233333333333</v>
      </c>
      <c r="AQ25" s="22">
        <v>2025.3233333333333</v>
      </c>
      <c r="AR25" s="23">
        <f t="shared" si="2"/>
        <v>0</v>
      </c>
      <c r="AS25" s="23">
        <f t="shared" si="3"/>
        <v>0</v>
      </c>
    </row>
    <row r="26" ht="15.75" customHeight="1">
      <c r="A26" s="16">
        <v>22.0</v>
      </c>
      <c r="B26" s="17" t="s">
        <v>78</v>
      </c>
      <c r="C26" s="17" t="s">
        <v>52</v>
      </c>
      <c r="D26" s="17" t="s">
        <v>69</v>
      </c>
      <c r="E26" s="18">
        <v>1600.0</v>
      </c>
      <c r="F26" s="25">
        <v>0.0</v>
      </c>
      <c r="G26" s="25">
        <v>0.0</v>
      </c>
      <c r="H26" s="25">
        <v>0.0</v>
      </c>
      <c r="I26" s="26">
        <v>100.0</v>
      </c>
      <c r="J26" s="25">
        <v>0.0</v>
      </c>
      <c r="K26" s="25">
        <v>0.0</v>
      </c>
      <c r="L26" s="25">
        <v>0.0</v>
      </c>
      <c r="M26" s="25">
        <v>0.0</v>
      </c>
      <c r="N26" s="25">
        <v>0.0</v>
      </c>
      <c r="O26" s="25">
        <v>0.0</v>
      </c>
      <c r="P26" s="25">
        <v>0.0</v>
      </c>
      <c r="Q26" s="25">
        <v>0.0</v>
      </c>
      <c r="R26" s="25">
        <v>0.0</v>
      </c>
      <c r="S26" s="25">
        <v>0.0</v>
      </c>
      <c r="T26" s="25">
        <v>0.0</v>
      </c>
      <c r="U26" s="25">
        <v>0.0</v>
      </c>
      <c r="V26" s="25">
        <v>0.0</v>
      </c>
      <c r="W26" s="25">
        <v>0.0</v>
      </c>
      <c r="X26" s="25">
        <v>0.0</v>
      </c>
      <c r="Y26" s="25">
        <v>0.0</v>
      </c>
      <c r="Z26" s="25">
        <v>0.0</v>
      </c>
      <c r="AA26" s="25">
        <v>0.0</v>
      </c>
      <c r="AB26" s="25">
        <v>0.0</v>
      </c>
      <c r="AC26" s="25">
        <v>0.0</v>
      </c>
      <c r="AD26" s="25">
        <v>448.0</v>
      </c>
      <c r="AE26" s="25">
        <v>896.0</v>
      </c>
      <c r="AF26" s="25">
        <v>76.4</v>
      </c>
      <c r="AG26" s="25">
        <v>0.0</v>
      </c>
      <c r="AH26" s="25">
        <v>30.0</v>
      </c>
      <c r="AI26" s="25">
        <v>56.0</v>
      </c>
      <c r="AJ26" s="25">
        <v>0.0</v>
      </c>
      <c r="AK26" s="25">
        <v>0.0</v>
      </c>
      <c r="AL26" s="25">
        <v>0.0</v>
      </c>
      <c r="AM26" s="25">
        <v>0.0</v>
      </c>
      <c r="AN26" s="25">
        <v>0.0</v>
      </c>
      <c r="AO26" s="21">
        <f t="shared" si="1"/>
        <v>1606.4</v>
      </c>
      <c r="AP26" s="22">
        <v>1606.4</v>
      </c>
      <c r="AQ26" s="22">
        <v>1606.4</v>
      </c>
      <c r="AR26" s="23">
        <f t="shared" si="2"/>
        <v>0</v>
      </c>
      <c r="AS26" s="23">
        <f t="shared" si="3"/>
        <v>0</v>
      </c>
    </row>
    <row r="27" ht="15.75" customHeight="1">
      <c r="A27" s="16">
        <v>23.0</v>
      </c>
      <c r="B27" s="17" t="s">
        <v>79</v>
      </c>
      <c r="C27" s="17" t="s">
        <v>52</v>
      </c>
      <c r="D27" s="17" t="s">
        <v>69</v>
      </c>
      <c r="E27" s="18">
        <v>1600.0</v>
      </c>
      <c r="F27" s="25">
        <v>0.0</v>
      </c>
      <c r="G27" s="25">
        <v>0.0</v>
      </c>
      <c r="H27" s="25">
        <v>0.0</v>
      </c>
      <c r="I27" s="26">
        <v>196.06</v>
      </c>
      <c r="J27" s="25">
        <v>0.0</v>
      </c>
      <c r="K27" s="25">
        <v>0.0</v>
      </c>
      <c r="L27" s="25">
        <v>0.0</v>
      </c>
      <c r="M27" s="25">
        <v>0.0</v>
      </c>
      <c r="N27" s="25">
        <v>0.0</v>
      </c>
      <c r="O27" s="25">
        <v>0.0</v>
      </c>
      <c r="P27" s="25">
        <v>0.0</v>
      </c>
      <c r="Q27" s="25">
        <v>19.787142857142857</v>
      </c>
      <c r="R27" s="25">
        <v>250.0</v>
      </c>
      <c r="S27" s="25">
        <v>0.0</v>
      </c>
      <c r="T27" s="25">
        <v>0.0</v>
      </c>
      <c r="U27" s="25">
        <v>0.0</v>
      </c>
      <c r="V27" s="25">
        <v>0.0</v>
      </c>
      <c r="W27" s="25">
        <v>0.0</v>
      </c>
      <c r="X27" s="25">
        <v>0.0</v>
      </c>
      <c r="Y27" s="25">
        <v>0.0</v>
      </c>
      <c r="Z27" s="25">
        <v>33.33</v>
      </c>
      <c r="AA27" s="25">
        <v>0.0</v>
      </c>
      <c r="AB27" s="25">
        <v>0.0</v>
      </c>
      <c r="AC27" s="25">
        <v>0.0</v>
      </c>
      <c r="AD27" s="25">
        <v>280.0</v>
      </c>
      <c r="AE27" s="25">
        <v>560.0</v>
      </c>
      <c r="AF27" s="25">
        <v>173.65833333333336</v>
      </c>
      <c r="AG27" s="25">
        <v>90.0</v>
      </c>
      <c r="AH27" s="25">
        <v>30.0</v>
      </c>
      <c r="AI27" s="25">
        <v>256.0</v>
      </c>
      <c r="AJ27" s="25">
        <v>90.0</v>
      </c>
      <c r="AK27" s="25">
        <v>0.0</v>
      </c>
      <c r="AL27" s="25">
        <v>0.0</v>
      </c>
      <c r="AM27" s="25">
        <v>0.0</v>
      </c>
      <c r="AN27" s="25">
        <v>8.0</v>
      </c>
      <c r="AO27" s="21">
        <f t="shared" si="1"/>
        <v>1986.835476</v>
      </c>
      <c r="AP27" s="22">
        <v>1986.8354761904761</v>
      </c>
      <c r="AQ27" s="22">
        <v>1986.8354761904761</v>
      </c>
      <c r="AR27" s="23">
        <f t="shared" si="2"/>
        <v>0</v>
      </c>
      <c r="AS27" s="23">
        <f t="shared" si="3"/>
        <v>0</v>
      </c>
    </row>
    <row r="28" ht="15.75" customHeight="1">
      <c r="A28" s="16">
        <v>24.0</v>
      </c>
      <c r="B28" s="17" t="s">
        <v>80</v>
      </c>
      <c r="C28" s="17" t="s">
        <v>52</v>
      </c>
      <c r="D28" s="17" t="s">
        <v>69</v>
      </c>
      <c r="E28" s="18">
        <v>1600.0</v>
      </c>
      <c r="F28" s="25">
        <v>0.0</v>
      </c>
      <c r="G28" s="25">
        <v>0.0</v>
      </c>
      <c r="H28" s="25">
        <v>0.0</v>
      </c>
      <c r="I28" s="26">
        <v>125.0</v>
      </c>
      <c r="J28" s="25">
        <v>0.0</v>
      </c>
      <c r="K28" s="25">
        <v>0.0</v>
      </c>
      <c r="L28" s="25">
        <v>0.0</v>
      </c>
      <c r="M28" s="25">
        <v>0.0</v>
      </c>
      <c r="N28" s="25">
        <v>0.0</v>
      </c>
      <c r="O28" s="25">
        <v>0.0</v>
      </c>
      <c r="P28" s="25">
        <v>0.0</v>
      </c>
      <c r="Q28" s="25">
        <v>20.0</v>
      </c>
      <c r="R28" s="25">
        <v>0.0</v>
      </c>
      <c r="S28" s="25">
        <v>29.0</v>
      </c>
      <c r="T28" s="25">
        <v>0.0</v>
      </c>
      <c r="U28" s="25">
        <v>0.0</v>
      </c>
      <c r="V28" s="25">
        <v>0.0</v>
      </c>
      <c r="W28" s="25">
        <v>0.0</v>
      </c>
      <c r="X28" s="25">
        <v>0.0</v>
      </c>
      <c r="Y28" s="25">
        <v>0.0</v>
      </c>
      <c r="Z28" s="25">
        <v>0.0</v>
      </c>
      <c r="AA28" s="25">
        <v>0.0</v>
      </c>
      <c r="AB28" s="25">
        <v>0.0</v>
      </c>
      <c r="AC28" s="25">
        <v>20.0</v>
      </c>
      <c r="AD28" s="25">
        <v>336.0</v>
      </c>
      <c r="AE28" s="25">
        <v>672.0</v>
      </c>
      <c r="AF28" s="25">
        <v>56.666666666666664</v>
      </c>
      <c r="AG28" s="25">
        <v>90.0</v>
      </c>
      <c r="AH28" s="25">
        <v>150.0</v>
      </c>
      <c r="AI28" s="25">
        <v>346.0</v>
      </c>
      <c r="AJ28" s="25">
        <v>78.0</v>
      </c>
      <c r="AK28" s="25">
        <v>0.0</v>
      </c>
      <c r="AL28" s="25">
        <v>100.0</v>
      </c>
      <c r="AM28" s="25">
        <v>0.0</v>
      </c>
      <c r="AN28" s="25">
        <v>66.0</v>
      </c>
      <c r="AO28" s="21">
        <f t="shared" si="1"/>
        <v>2088.666667</v>
      </c>
      <c r="AP28" s="22">
        <v>2088.666666666667</v>
      </c>
      <c r="AQ28" s="22">
        <v>2088.666666666667</v>
      </c>
      <c r="AR28" s="23">
        <f t="shared" si="2"/>
        <v>0</v>
      </c>
      <c r="AS28" s="23">
        <f t="shared" si="3"/>
        <v>0</v>
      </c>
    </row>
    <row r="29" ht="15.75" customHeight="1">
      <c r="A29" s="16">
        <v>25.0</v>
      </c>
      <c r="B29" s="17" t="s">
        <v>81</v>
      </c>
      <c r="C29" s="17" t="s">
        <v>52</v>
      </c>
      <c r="D29" s="17" t="s">
        <v>69</v>
      </c>
      <c r="E29" s="18">
        <v>1600.0</v>
      </c>
      <c r="F29" s="25">
        <v>11450.0</v>
      </c>
      <c r="G29" s="25">
        <v>0.0</v>
      </c>
      <c r="H29" s="25">
        <v>0.0</v>
      </c>
      <c r="I29" s="26">
        <v>5087.5</v>
      </c>
      <c r="J29" s="25">
        <v>0.0</v>
      </c>
      <c r="K29" s="25">
        <v>0.0</v>
      </c>
      <c r="L29" s="25">
        <v>0.0</v>
      </c>
      <c r="M29" s="25">
        <v>0.0</v>
      </c>
      <c r="N29" s="25">
        <v>0.0</v>
      </c>
      <c r="O29" s="25">
        <v>0.0</v>
      </c>
      <c r="P29" s="25">
        <v>0.0</v>
      </c>
      <c r="Q29" s="25"/>
      <c r="R29" s="25">
        <v>1350.0</v>
      </c>
      <c r="S29" s="25">
        <v>0.0</v>
      </c>
      <c r="T29" s="25">
        <v>0.0</v>
      </c>
      <c r="U29" s="25">
        <v>0.0</v>
      </c>
      <c r="V29" s="25">
        <v>0.0</v>
      </c>
      <c r="W29" s="25">
        <v>0.0</v>
      </c>
      <c r="X29" s="25">
        <v>0.0</v>
      </c>
      <c r="Y29" s="25">
        <v>0.0</v>
      </c>
      <c r="Z29" s="25">
        <v>0.0</v>
      </c>
      <c r="AA29" s="25">
        <v>0.0</v>
      </c>
      <c r="AB29" s="25">
        <v>0.0</v>
      </c>
      <c r="AC29" s="25">
        <v>0.0</v>
      </c>
      <c r="AD29" s="25">
        <v>280.0</v>
      </c>
      <c r="AE29" s="25">
        <v>560.0</v>
      </c>
      <c r="AF29" s="25">
        <v>29.333333333333332</v>
      </c>
      <c r="AG29" s="25">
        <v>0.0</v>
      </c>
      <c r="AH29" s="25">
        <v>0.0</v>
      </c>
      <c r="AI29" s="25">
        <v>256.0</v>
      </c>
      <c r="AJ29" s="25">
        <v>30.0</v>
      </c>
      <c r="AK29" s="25">
        <v>0.0</v>
      </c>
      <c r="AL29" s="25">
        <v>0.0</v>
      </c>
      <c r="AM29" s="25">
        <v>0.0</v>
      </c>
      <c r="AN29" s="25">
        <v>8.0</v>
      </c>
      <c r="AO29" s="21">
        <f t="shared" si="1"/>
        <v>19050.83333</v>
      </c>
      <c r="AP29" s="22">
        <v>19050.833333333332</v>
      </c>
      <c r="AQ29" s="22">
        <v>19050.833333333332</v>
      </c>
      <c r="AR29" s="23">
        <f t="shared" si="2"/>
        <v>0</v>
      </c>
      <c r="AS29" s="23">
        <f t="shared" si="3"/>
        <v>0</v>
      </c>
    </row>
    <row r="30" ht="15.75" customHeight="1">
      <c r="A30" s="16">
        <v>26.0</v>
      </c>
      <c r="B30" s="17" t="s">
        <v>82</v>
      </c>
      <c r="C30" s="17" t="s">
        <v>52</v>
      </c>
      <c r="D30" s="17" t="s">
        <v>83</v>
      </c>
      <c r="E30" s="18">
        <v>1600.0</v>
      </c>
      <c r="F30" s="25">
        <v>175.0</v>
      </c>
      <c r="G30" s="25">
        <v>0.0</v>
      </c>
      <c r="H30" s="25">
        <v>0.0</v>
      </c>
      <c r="I30" s="26">
        <v>341.8452380952381</v>
      </c>
      <c r="J30" s="25">
        <v>0.0</v>
      </c>
      <c r="K30" s="25">
        <v>0.0</v>
      </c>
      <c r="L30" s="25">
        <v>0.0</v>
      </c>
      <c r="M30" s="25">
        <v>0.0</v>
      </c>
      <c r="N30" s="25">
        <v>0.0</v>
      </c>
      <c r="O30" s="25">
        <v>0.0</v>
      </c>
      <c r="P30" s="25">
        <v>0.0</v>
      </c>
      <c r="Q30" s="25">
        <v>90.42857142857143</v>
      </c>
      <c r="R30" s="25">
        <v>1100.0</v>
      </c>
      <c r="S30" s="25">
        <v>86.66666666666667</v>
      </c>
      <c r="T30" s="25">
        <v>0.0</v>
      </c>
      <c r="U30" s="25">
        <v>0.0</v>
      </c>
      <c r="V30" s="25">
        <v>0.0</v>
      </c>
      <c r="W30" s="25">
        <v>0.0</v>
      </c>
      <c r="X30" s="25">
        <v>0.0</v>
      </c>
      <c r="Y30" s="25">
        <v>0.0</v>
      </c>
      <c r="Z30" s="25">
        <v>20.0</v>
      </c>
      <c r="AA30" s="25">
        <v>0.0</v>
      </c>
      <c r="AB30" s="25">
        <v>0.0</v>
      </c>
      <c r="AC30" s="25">
        <v>0.0</v>
      </c>
      <c r="AD30" s="25">
        <v>308.0</v>
      </c>
      <c r="AE30" s="25">
        <v>616.0</v>
      </c>
      <c r="AF30" s="25">
        <v>106.29166666666667</v>
      </c>
      <c r="AG30" s="25">
        <v>0.0</v>
      </c>
      <c r="AH30" s="25">
        <v>30.0</v>
      </c>
      <c r="AI30" s="25">
        <v>346.0</v>
      </c>
      <c r="AJ30" s="25">
        <v>150.0</v>
      </c>
      <c r="AK30" s="25">
        <v>0.0</v>
      </c>
      <c r="AL30" s="25">
        <v>0.0</v>
      </c>
      <c r="AM30" s="25">
        <v>0.0</v>
      </c>
      <c r="AN30" s="25">
        <v>234.0</v>
      </c>
      <c r="AO30" s="21">
        <f t="shared" si="1"/>
        <v>3604.232143</v>
      </c>
      <c r="AP30" s="22">
        <v>3604.2321428571427</v>
      </c>
      <c r="AQ30" s="22">
        <v>3604.2321428571427</v>
      </c>
      <c r="AR30" s="23">
        <f t="shared" si="2"/>
        <v>0</v>
      </c>
      <c r="AS30" s="23">
        <f t="shared" si="3"/>
        <v>0</v>
      </c>
    </row>
    <row r="31" ht="15.75" customHeight="1">
      <c r="A31" s="16">
        <v>27.0</v>
      </c>
      <c r="B31" s="17" t="s">
        <v>84</v>
      </c>
      <c r="C31" s="17" t="s">
        <v>52</v>
      </c>
      <c r="D31" s="17" t="s">
        <v>83</v>
      </c>
      <c r="E31" s="18">
        <v>1600.0</v>
      </c>
      <c r="F31" s="25">
        <v>125.0</v>
      </c>
      <c r="G31" s="25">
        <v>0.0</v>
      </c>
      <c r="H31" s="25">
        <v>0.0</v>
      </c>
      <c r="I31" s="26">
        <v>178.75</v>
      </c>
      <c r="J31" s="25">
        <v>0.0</v>
      </c>
      <c r="K31" s="25">
        <v>0.0</v>
      </c>
      <c r="L31" s="25">
        <v>0.0</v>
      </c>
      <c r="M31" s="25">
        <v>0.0</v>
      </c>
      <c r="N31" s="25">
        <v>20.0</v>
      </c>
      <c r="O31" s="25">
        <v>0.0</v>
      </c>
      <c r="P31" s="25">
        <v>0.0</v>
      </c>
      <c r="Q31" s="25">
        <v>18.25</v>
      </c>
      <c r="R31" s="25">
        <v>0.0</v>
      </c>
      <c r="S31" s="25">
        <v>65.0</v>
      </c>
      <c r="T31" s="25">
        <v>0.0</v>
      </c>
      <c r="U31" s="25">
        <v>0.0</v>
      </c>
      <c r="V31" s="25">
        <v>0.0</v>
      </c>
      <c r="W31" s="25">
        <v>0.0</v>
      </c>
      <c r="X31" s="25">
        <v>0.0</v>
      </c>
      <c r="Y31" s="25">
        <v>0.0</v>
      </c>
      <c r="Z31" s="25">
        <v>33.333333333333336</v>
      </c>
      <c r="AA31" s="25">
        <v>0.0</v>
      </c>
      <c r="AB31" s="25">
        <v>0.0</v>
      </c>
      <c r="AC31" s="25">
        <v>0.0</v>
      </c>
      <c r="AD31" s="25">
        <v>363.16</v>
      </c>
      <c r="AE31" s="25">
        <v>726.32</v>
      </c>
      <c r="AF31" s="25">
        <v>162.66666666666669</v>
      </c>
      <c r="AG31" s="25">
        <v>0.0</v>
      </c>
      <c r="AH31" s="25">
        <v>30.0</v>
      </c>
      <c r="AI31" s="25">
        <v>656.0</v>
      </c>
      <c r="AJ31" s="25">
        <v>140.0</v>
      </c>
      <c r="AK31" s="25">
        <v>0.0</v>
      </c>
      <c r="AL31" s="25">
        <v>0.0</v>
      </c>
      <c r="AM31" s="25">
        <v>0.0</v>
      </c>
      <c r="AN31" s="25">
        <v>148.0</v>
      </c>
      <c r="AO31" s="21">
        <f t="shared" si="1"/>
        <v>2666.48</v>
      </c>
      <c r="AP31" s="22">
        <v>2666.4800000000005</v>
      </c>
      <c r="AQ31" s="22">
        <v>2666.4800000000005</v>
      </c>
      <c r="AR31" s="23">
        <f t="shared" si="2"/>
        <v>0</v>
      </c>
      <c r="AS31" s="23">
        <f t="shared" si="3"/>
        <v>0</v>
      </c>
    </row>
    <row r="32" ht="15.75" customHeight="1">
      <c r="A32" s="16">
        <v>28.0</v>
      </c>
      <c r="B32" s="17" t="s">
        <v>85</v>
      </c>
      <c r="C32" s="17" t="s">
        <v>52</v>
      </c>
      <c r="D32" s="17" t="s">
        <v>86</v>
      </c>
      <c r="E32" s="18">
        <v>1600.0</v>
      </c>
      <c r="F32" s="25">
        <v>233.33333333333331</v>
      </c>
      <c r="G32" s="25">
        <v>0.0</v>
      </c>
      <c r="H32" s="25">
        <v>0.0</v>
      </c>
      <c r="I32" s="26">
        <v>91.66666666666667</v>
      </c>
      <c r="J32" s="25">
        <v>0.0</v>
      </c>
      <c r="K32" s="25">
        <v>0.0</v>
      </c>
      <c r="L32" s="25">
        <v>0.0</v>
      </c>
      <c r="M32" s="25">
        <v>0.0</v>
      </c>
      <c r="N32" s="25">
        <v>0.0</v>
      </c>
      <c r="O32" s="25">
        <v>0.0</v>
      </c>
      <c r="P32" s="25">
        <v>0.0</v>
      </c>
      <c r="Q32" s="25">
        <v>6.666666666666667</v>
      </c>
      <c r="R32" s="25">
        <v>0.0</v>
      </c>
      <c r="S32" s="25">
        <v>20.0</v>
      </c>
      <c r="T32" s="25">
        <v>0.0</v>
      </c>
      <c r="U32" s="25">
        <v>0.0</v>
      </c>
      <c r="V32" s="25">
        <v>0.0</v>
      </c>
      <c r="W32" s="25">
        <v>0.0</v>
      </c>
      <c r="X32" s="25">
        <v>0.0</v>
      </c>
      <c r="Y32" s="25">
        <v>0.0</v>
      </c>
      <c r="Z32" s="25">
        <v>20.0</v>
      </c>
      <c r="AA32" s="25">
        <v>0.0</v>
      </c>
      <c r="AB32" s="25">
        <v>0.0</v>
      </c>
      <c r="AC32" s="25">
        <v>0.0</v>
      </c>
      <c r="AD32" s="25">
        <v>364.0</v>
      </c>
      <c r="AE32" s="25">
        <v>728.0</v>
      </c>
      <c r="AF32" s="25">
        <v>133.25</v>
      </c>
      <c r="AG32" s="25">
        <v>0.0</v>
      </c>
      <c r="AH32" s="25">
        <v>30.0</v>
      </c>
      <c r="AI32" s="25">
        <v>636.0</v>
      </c>
      <c r="AJ32" s="25">
        <v>120.0</v>
      </c>
      <c r="AK32" s="25">
        <v>0.0</v>
      </c>
      <c r="AL32" s="25">
        <v>0.0</v>
      </c>
      <c r="AM32" s="25">
        <v>0.0</v>
      </c>
      <c r="AN32" s="25">
        <v>132.0</v>
      </c>
      <c r="AO32" s="21">
        <f t="shared" si="1"/>
        <v>2514.916667</v>
      </c>
      <c r="AP32" s="22">
        <v>2514.916666666667</v>
      </c>
      <c r="AQ32" s="22">
        <v>2514.916666666667</v>
      </c>
      <c r="AR32" s="23">
        <f t="shared" si="2"/>
        <v>0</v>
      </c>
      <c r="AS32" s="23">
        <f t="shared" si="3"/>
        <v>0</v>
      </c>
    </row>
    <row r="33" ht="15.75" customHeight="1">
      <c r="A33" s="16">
        <v>29.0</v>
      </c>
      <c r="B33" s="17" t="s">
        <v>87</v>
      </c>
      <c r="C33" s="17" t="s">
        <v>52</v>
      </c>
      <c r="D33" s="17" t="s">
        <v>86</v>
      </c>
      <c r="E33" s="18">
        <v>1600.0</v>
      </c>
      <c r="F33" s="25">
        <v>641.6666666666666</v>
      </c>
      <c r="G33" s="25">
        <v>0.0</v>
      </c>
      <c r="H33" s="25">
        <v>0.0</v>
      </c>
      <c r="I33" s="26">
        <v>83.31666666666666</v>
      </c>
      <c r="J33" s="25">
        <v>0.0</v>
      </c>
      <c r="K33" s="25">
        <v>0.0</v>
      </c>
      <c r="L33" s="25">
        <v>0.0</v>
      </c>
      <c r="M33" s="25">
        <v>0.0</v>
      </c>
      <c r="N33" s="25">
        <v>0.0</v>
      </c>
      <c r="O33" s="25">
        <v>0.0</v>
      </c>
      <c r="P33" s="25">
        <v>0.0</v>
      </c>
      <c r="Q33" s="25">
        <v>20.003333333333337</v>
      </c>
      <c r="R33" s="25">
        <v>0.0</v>
      </c>
      <c r="S33" s="25">
        <v>60.0</v>
      </c>
      <c r="T33" s="25">
        <v>0.0</v>
      </c>
      <c r="U33" s="25">
        <v>0.0</v>
      </c>
      <c r="V33" s="25">
        <v>0.0</v>
      </c>
      <c r="W33" s="25">
        <v>0.0</v>
      </c>
      <c r="X33" s="25">
        <v>0.0</v>
      </c>
      <c r="Y33" s="25">
        <v>0.0</v>
      </c>
      <c r="Z33" s="25">
        <v>0.0</v>
      </c>
      <c r="AA33" s="25">
        <v>0.0</v>
      </c>
      <c r="AB33" s="25">
        <v>0.0</v>
      </c>
      <c r="AC33" s="25">
        <v>0.0</v>
      </c>
      <c r="AD33" s="25">
        <v>371.0</v>
      </c>
      <c r="AE33" s="25">
        <v>742.0</v>
      </c>
      <c r="AF33" s="25">
        <v>108.29166666666666</v>
      </c>
      <c r="AG33" s="25">
        <v>0.0</v>
      </c>
      <c r="AH33" s="25">
        <v>30.0</v>
      </c>
      <c r="AI33" s="25">
        <v>56.0</v>
      </c>
      <c r="AJ33" s="25">
        <v>60.0</v>
      </c>
      <c r="AK33" s="25">
        <v>0.0</v>
      </c>
      <c r="AL33" s="25">
        <v>0.0</v>
      </c>
      <c r="AM33" s="25">
        <v>0.0</v>
      </c>
      <c r="AN33" s="25">
        <v>154.0</v>
      </c>
      <c r="AO33" s="21">
        <f t="shared" si="1"/>
        <v>2326.278333</v>
      </c>
      <c r="AP33" s="22">
        <v>2326.2783333333336</v>
      </c>
      <c r="AQ33" s="22">
        <v>2326.2783333333336</v>
      </c>
      <c r="AR33" s="23">
        <f t="shared" si="2"/>
        <v>0</v>
      </c>
      <c r="AS33" s="23">
        <f t="shared" si="3"/>
        <v>0</v>
      </c>
    </row>
    <row r="34" ht="15.75" customHeight="1">
      <c r="A34" s="16">
        <v>30.0</v>
      </c>
      <c r="B34" s="27" t="s">
        <v>88</v>
      </c>
      <c r="C34" s="17" t="s">
        <v>52</v>
      </c>
      <c r="D34" s="17" t="s">
        <v>86</v>
      </c>
      <c r="E34" s="18">
        <v>1600.0</v>
      </c>
      <c r="F34" s="25">
        <v>166.66666666666669</v>
      </c>
      <c r="G34" s="25">
        <v>0.0</v>
      </c>
      <c r="H34" s="25">
        <v>0.0</v>
      </c>
      <c r="I34" s="26">
        <v>25.0</v>
      </c>
      <c r="J34" s="25">
        <v>0.0</v>
      </c>
      <c r="K34" s="25">
        <v>0.0</v>
      </c>
      <c r="L34" s="25">
        <v>0.0</v>
      </c>
      <c r="M34" s="25">
        <v>0.0</v>
      </c>
      <c r="N34" s="25">
        <v>0.0</v>
      </c>
      <c r="O34" s="25">
        <v>0.0</v>
      </c>
      <c r="P34" s="25">
        <v>0.0</v>
      </c>
      <c r="Q34" s="25">
        <v>0.0</v>
      </c>
      <c r="R34" s="25">
        <v>0.0</v>
      </c>
      <c r="S34" s="25">
        <v>4.0</v>
      </c>
      <c r="T34" s="25">
        <v>0.0</v>
      </c>
      <c r="U34" s="25">
        <v>0.0</v>
      </c>
      <c r="V34" s="25">
        <v>0.0</v>
      </c>
      <c r="W34" s="25">
        <v>0.0</v>
      </c>
      <c r="X34" s="25">
        <v>0.0</v>
      </c>
      <c r="Y34" s="25">
        <v>0.0</v>
      </c>
      <c r="Z34" s="25">
        <v>0.0</v>
      </c>
      <c r="AA34" s="25">
        <v>0.0</v>
      </c>
      <c r="AB34" s="25">
        <v>0.0</v>
      </c>
      <c r="AC34" s="25">
        <v>0.0</v>
      </c>
      <c r="AD34" s="25">
        <v>364.0</v>
      </c>
      <c r="AE34" s="25">
        <v>728.0</v>
      </c>
      <c r="AF34" s="25">
        <v>99.58333333333333</v>
      </c>
      <c r="AG34" s="25">
        <v>0.0</v>
      </c>
      <c r="AH34" s="25">
        <v>30.0</v>
      </c>
      <c r="AI34" s="25">
        <v>56.0</v>
      </c>
      <c r="AJ34" s="25">
        <v>170.0</v>
      </c>
      <c r="AK34" s="25">
        <v>0.0</v>
      </c>
      <c r="AL34" s="25">
        <v>0.0</v>
      </c>
      <c r="AM34" s="25">
        <v>0.0</v>
      </c>
      <c r="AN34" s="25">
        <v>24.0</v>
      </c>
      <c r="AO34" s="21">
        <f t="shared" si="1"/>
        <v>1667.25</v>
      </c>
      <c r="AP34" s="22">
        <v>1667.25</v>
      </c>
      <c r="AQ34" s="22">
        <v>1667.25</v>
      </c>
      <c r="AR34" s="23">
        <f t="shared" si="2"/>
        <v>0</v>
      </c>
      <c r="AS34" s="23">
        <f t="shared" si="3"/>
        <v>0</v>
      </c>
    </row>
    <row r="35" ht="15.75" customHeight="1">
      <c r="A35" s="16">
        <v>31.0</v>
      </c>
      <c r="B35" s="27" t="s">
        <v>89</v>
      </c>
      <c r="C35" s="17" t="s">
        <v>52</v>
      </c>
      <c r="D35" s="17" t="s">
        <v>86</v>
      </c>
      <c r="E35" s="18">
        <v>1600.0</v>
      </c>
      <c r="F35" s="25">
        <v>458.33</v>
      </c>
      <c r="G35" s="25">
        <v>0.0</v>
      </c>
      <c r="H35" s="25">
        <v>0.0</v>
      </c>
      <c r="I35" s="26">
        <v>0.0</v>
      </c>
      <c r="J35" s="25">
        <v>0.0</v>
      </c>
      <c r="K35" s="25">
        <v>0.0</v>
      </c>
      <c r="L35" s="25">
        <v>0.0</v>
      </c>
      <c r="M35" s="25">
        <v>0.0</v>
      </c>
      <c r="N35" s="25">
        <v>25.0</v>
      </c>
      <c r="O35" s="25">
        <v>0.0</v>
      </c>
      <c r="P35" s="25">
        <v>0.0</v>
      </c>
      <c r="Q35" s="25">
        <v>0.0</v>
      </c>
      <c r="R35" s="25">
        <v>0.0</v>
      </c>
      <c r="S35" s="25">
        <v>20.0</v>
      </c>
      <c r="T35" s="25">
        <v>0.0</v>
      </c>
      <c r="U35" s="25">
        <v>0.0</v>
      </c>
      <c r="V35" s="25">
        <v>0.0</v>
      </c>
      <c r="W35" s="25">
        <v>0.0</v>
      </c>
      <c r="X35" s="25">
        <v>0.0</v>
      </c>
      <c r="Y35" s="25">
        <v>0.0</v>
      </c>
      <c r="Z35" s="25">
        <v>30.0</v>
      </c>
      <c r="AA35" s="25">
        <v>0.0</v>
      </c>
      <c r="AB35" s="25">
        <v>0.0</v>
      </c>
      <c r="AC35" s="25">
        <v>0.0</v>
      </c>
      <c r="AD35" s="25">
        <v>364.0</v>
      </c>
      <c r="AE35" s="25">
        <v>728.0</v>
      </c>
      <c r="AF35" s="25">
        <v>107.28333333333332</v>
      </c>
      <c r="AG35" s="25">
        <v>0.0</v>
      </c>
      <c r="AH35" s="25">
        <v>30.0</v>
      </c>
      <c r="AI35" s="25">
        <v>56.0</v>
      </c>
      <c r="AJ35" s="25">
        <v>60.0</v>
      </c>
      <c r="AK35" s="25">
        <v>0.0</v>
      </c>
      <c r="AL35" s="25">
        <v>0.0</v>
      </c>
      <c r="AM35" s="25">
        <v>0.0</v>
      </c>
      <c r="AN35" s="25">
        <v>156.0</v>
      </c>
      <c r="AO35" s="21">
        <f t="shared" si="1"/>
        <v>2034.613333</v>
      </c>
      <c r="AP35" s="22">
        <v>2034.6133333333332</v>
      </c>
      <c r="AQ35" s="22">
        <v>2034.6133333333332</v>
      </c>
      <c r="AR35" s="23">
        <f t="shared" si="2"/>
        <v>0</v>
      </c>
      <c r="AS35" s="23">
        <f t="shared" si="3"/>
        <v>0</v>
      </c>
    </row>
    <row r="36" ht="15.75" customHeight="1">
      <c r="A36" s="16">
        <v>32.0</v>
      </c>
      <c r="B36" s="27" t="s">
        <v>90</v>
      </c>
      <c r="C36" s="17" t="s">
        <v>52</v>
      </c>
      <c r="D36" s="17" t="s">
        <v>86</v>
      </c>
      <c r="E36" s="18">
        <v>1600.0</v>
      </c>
      <c r="F36" s="25">
        <v>300.0</v>
      </c>
      <c r="G36" s="25">
        <v>0.0</v>
      </c>
      <c r="H36" s="25">
        <v>0.0</v>
      </c>
      <c r="I36" s="26">
        <v>114.16666666666667</v>
      </c>
      <c r="J36" s="25">
        <v>0.0</v>
      </c>
      <c r="K36" s="25">
        <v>0.0</v>
      </c>
      <c r="L36" s="25">
        <v>0.0</v>
      </c>
      <c r="M36" s="25">
        <v>0.0</v>
      </c>
      <c r="N36" s="25">
        <v>20.0</v>
      </c>
      <c r="O36" s="25">
        <v>0.0</v>
      </c>
      <c r="P36" s="25">
        <v>0.0</v>
      </c>
      <c r="Q36" s="25">
        <v>24.166666666666668</v>
      </c>
      <c r="R36" s="25">
        <v>200.0</v>
      </c>
      <c r="S36" s="25">
        <v>80.0</v>
      </c>
      <c r="T36" s="25">
        <v>0.0</v>
      </c>
      <c r="U36" s="25">
        <v>0.0</v>
      </c>
      <c r="V36" s="25">
        <v>0.0</v>
      </c>
      <c r="W36" s="25">
        <v>0.0</v>
      </c>
      <c r="X36" s="25">
        <v>0.0</v>
      </c>
      <c r="Y36" s="25">
        <v>0.0</v>
      </c>
      <c r="Z36" s="25">
        <v>0.0</v>
      </c>
      <c r="AA36" s="25">
        <v>0.0</v>
      </c>
      <c r="AB36" s="25">
        <v>0.0</v>
      </c>
      <c r="AC36" s="25">
        <v>0.0</v>
      </c>
      <c r="AD36" s="25">
        <v>364.0</v>
      </c>
      <c r="AE36" s="25">
        <v>728.0</v>
      </c>
      <c r="AF36" s="25">
        <v>100.99999999999999</v>
      </c>
      <c r="AG36" s="25">
        <v>0.0</v>
      </c>
      <c r="AH36" s="25">
        <v>50.0</v>
      </c>
      <c r="AI36" s="25">
        <v>256.0</v>
      </c>
      <c r="AJ36" s="25">
        <v>215.0</v>
      </c>
      <c r="AK36" s="25">
        <v>0.0</v>
      </c>
      <c r="AL36" s="25">
        <v>0.0</v>
      </c>
      <c r="AM36" s="25">
        <v>0.0</v>
      </c>
      <c r="AN36" s="25">
        <v>192.0</v>
      </c>
      <c r="AO36" s="21">
        <f t="shared" si="1"/>
        <v>2644.333333</v>
      </c>
      <c r="AP36" s="22">
        <v>2644.3333333333335</v>
      </c>
      <c r="AQ36" s="22">
        <v>2644.3333333333335</v>
      </c>
      <c r="AR36" s="23">
        <f t="shared" si="2"/>
        <v>0</v>
      </c>
      <c r="AS36" s="23">
        <f t="shared" si="3"/>
        <v>0</v>
      </c>
    </row>
    <row r="37" ht="15.75" customHeight="1">
      <c r="A37" s="16">
        <v>33.0</v>
      </c>
      <c r="B37" s="27" t="s">
        <v>91</v>
      </c>
      <c r="C37" s="17" t="s">
        <v>52</v>
      </c>
      <c r="D37" s="17" t="s">
        <v>83</v>
      </c>
      <c r="E37" s="18">
        <v>1600.0</v>
      </c>
      <c r="F37" s="25">
        <v>300.0</v>
      </c>
      <c r="G37" s="25">
        <v>0.0</v>
      </c>
      <c r="H37" s="25">
        <v>0.0</v>
      </c>
      <c r="I37" s="26">
        <v>114.16666666666667</v>
      </c>
      <c r="J37" s="25">
        <v>0.0</v>
      </c>
      <c r="K37" s="25">
        <v>0.0</v>
      </c>
      <c r="L37" s="25">
        <v>0.0</v>
      </c>
      <c r="M37" s="25">
        <v>0.0</v>
      </c>
      <c r="N37" s="25">
        <v>20.0</v>
      </c>
      <c r="O37" s="25">
        <v>0.0</v>
      </c>
      <c r="P37" s="25">
        <v>0.0</v>
      </c>
      <c r="Q37" s="25">
        <v>24.166666666666668</v>
      </c>
      <c r="R37" s="25">
        <v>100.0</v>
      </c>
      <c r="S37" s="25">
        <v>30.0</v>
      </c>
      <c r="T37" s="25">
        <v>0.0</v>
      </c>
      <c r="U37" s="25">
        <v>0.0</v>
      </c>
      <c r="V37" s="25">
        <v>0.0</v>
      </c>
      <c r="W37" s="25">
        <v>0.0</v>
      </c>
      <c r="X37" s="25">
        <v>0.0</v>
      </c>
      <c r="Y37" s="25">
        <v>0.0</v>
      </c>
      <c r="Z37" s="25">
        <v>20.0</v>
      </c>
      <c r="AA37" s="25">
        <v>0.0</v>
      </c>
      <c r="AB37" s="25">
        <v>0.0</v>
      </c>
      <c r="AC37" s="25">
        <v>0.0</v>
      </c>
      <c r="AD37" s="25">
        <v>364.0</v>
      </c>
      <c r="AE37" s="25">
        <v>728.0</v>
      </c>
      <c r="AF37" s="25">
        <v>159.95833333333334</v>
      </c>
      <c r="AG37" s="25">
        <v>0.0</v>
      </c>
      <c r="AH37" s="25">
        <v>30.0</v>
      </c>
      <c r="AI37" s="25">
        <v>256.0</v>
      </c>
      <c r="AJ37" s="25">
        <v>170.0</v>
      </c>
      <c r="AK37" s="25">
        <v>0.0</v>
      </c>
      <c r="AL37" s="25">
        <v>0.0</v>
      </c>
      <c r="AM37" s="25">
        <v>0.0</v>
      </c>
      <c r="AN37" s="25">
        <v>148.0</v>
      </c>
      <c r="AO37" s="21">
        <f t="shared" si="1"/>
        <v>2464.291667</v>
      </c>
      <c r="AP37" s="22">
        <v>2464.291666666667</v>
      </c>
      <c r="AQ37" s="22">
        <v>2464.291666666667</v>
      </c>
      <c r="AR37" s="23">
        <f t="shared" si="2"/>
        <v>0</v>
      </c>
      <c r="AS37" s="23">
        <f t="shared" si="3"/>
        <v>0</v>
      </c>
    </row>
    <row r="38" ht="15.75" customHeight="1">
      <c r="A38" s="16">
        <v>34.0</v>
      </c>
      <c r="B38" s="27" t="s">
        <v>92</v>
      </c>
      <c r="C38" s="17" t="s">
        <v>52</v>
      </c>
      <c r="D38" s="17" t="s">
        <v>86</v>
      </c>
      <c r="E38" s="18">
        <v>1600.0</v>
      </c>
      <c r="F38" s="25">
        <v>166.66666666666669</v>
      </c>
      <c r="G38" s="25">
        <v>0.0</v>
      </c>
      <c r="H38" s="25">
        <v>0.0</v>
      </c>
      <c r="I38" s="26">
        <v>137.5</v>
      </c>
      <c r="J38" s="25">
        <v>0.0</v>
      </c>
      <c r="K38" s="25">
        <v>0.0</v>
      </c>
      <c r="L38" s="25">
        <v>0.0</v>
      </c>
      <c r="M38" s="25">
        <v>0.0</v>
      </c>
      <c r="N38" s="25">
        <v>0.0</v>
      </c>
      <c r="O38" s="25">
        <v>0.0</v>
      </c>
      <c r="P38" s="25">
        <v>0.0</v>
      </c>
      <c r="Q38" s="25">
        <v>10.0</v>
      </c>
      <c r="R38" s="25">
        <v>0.0</v>
      </c>
      <c r="S38" s="25">
        <v>23.0</v>
      </c>
      <c r="T38" s="25">
        <v>0.0</v>
      </c>
      <c r="U38" s="25">
        <v>0.0</v>
      </c>
      <c r="V38" s="25">
        <v>0.0</v>
      </c>
      <c r="W38" s="25">
        <v>0.0</v>
      </c>
      <c r="X38" s="25">
        <v>0.0</v>
      </c>
      <c r="Y38" s="25">
        <v>0.0</v>
      </c>
      <c r="Z38" s="25">
        <v>0.0</v>
      </c>
      <c r="AA38" s="25">
        <v>0.0</v>
      </c>
      <c r="AB38" s="25">
        <v>0.0</v>
      </c>
      <c r="AC38" s="25">
        <v>0.0</v>
      </c>
      <c r="AD38" s="25">
        <v>364.0</v>
      </c>
      <c r="AE38" s="25">
        <v>728.0</v>
      </c>
      <c r="AF38" s="25">
        <v>74.26666666666668</v>
      </c>
      <c r="AG38" s="25">
        <v>0.0</v>
      </c>
      <c r="AH38" s="25">
        <v>110.0</v>
      </c>
      <c r="AI38" s="25">
        <v>56.0</v>
      </c>
      <c r="AJ38" s="25">
        <v>180.0</v>
      </c>
      <c r="AK38" s="25">
        <v>0.0</v>
      </c>
      <c r="AL38" s="25">
        <v>0.0</v>
      </c>
      <c r="AM38" s="25">
        <v>0.0</v>
      </c>
      <c r="AN38" s="25">
        <v>40.0</v>
      </c>
      <c r="AO38" s="21">
        <f t="shared" si="1"/>
        <v>1889.433333</v>
      </c>
      <c r="AP38" s="22">
        <v>1889.4333333333334</v>
      </c>
      <c r="AQ38" s="22">
        <v>1889.4333333333334</v>
      </c>
      <c r="AR38" s="23">
        <f t="shared" si="2"/>
        <v>0</v>
      </c>
      <c r="AS38" s="23">
        <f t="shared" si="3"/>
        <v>0</v>
      </c>
    </row>
    <row r="39" ht="15.75" customHeight="1">
      <c r="A39" s="16">
        <v>35.0</v>
      </c>
      <c r="B39" s="27" t="s">
        <v>93</v>
      </c>
      <c r="C39" s="27" t="s">
        <v>94</v>
      </c>
      <c r="D39" s="17" t="s">
        <v>95</v>
      </c>
      <c r="E39" s="18">
        <v>1600.0</v>
      </c>
      <c r="F39" s="25">
        <v>0.0</v>
      </c>
      <c r="G39" s="25">
        <v>0.0</v>
      </c>
      <c r="H39" s="25">
        <v>0.0</v>
      </c>
      <c r="I39" s="26">
        <v>0.0</v>
      </c>
      <c r="J39" s="25">
        <v>0.0</v>
      </c>
      <c r="K39" s="25">
        <v>0.0</v>
      </c>
      <c r="L39" s="25">
        <v>0.0</v>
      </c>
      <c r="M39" s="25">
        <v>0.0</v>
      </c>
      <c r="N39" s="25">
        <v>25.0</v>
      </c>
      <c r="O39" s="25">
        <v>672.0</v>
      </c>
      <c r="P39" s="25">
        <v>0.0</v>
      </c>
      <c r="Q39" s="25">
        <v>0.0</v>
      </c>
      <c r="R39" s="25">
        <v>50.0</v>
      </c>
      <c r="S39" s="25">
        <v>0.0</v>
      </c>
      <c r="T39" s="25">
        <v>0.0</v>
      </c>
      <c r="U39" s="25">
        <v>0.0</v>
      </c>
      <c r="V39" s="25">
        <v>0.0</v>
      </c>
      <c r="W39" s="25">
        <v>0.0</v>
      </c>
      <c r="X39" s="25">
        <v>0.0</v>
      </c>
      <c r="Y39" s="25">
        <v>0.0</v>
      </c>
      <c r="Z39" s="25">
        <v>0.0</v>
      </c>
      <c r="AA39" s="25">
        <v>0.0</v>
      </c>
      <c r="AB39" s="25">
        <v>0.0</v>
      </c>
      <c r="AC39" s="25">
        <v>0.0</v>
      </c>
      <c r="AD39" s="25">
        <v>364.0</v>
      </c>
      <c r="AE39" s="25">
        <v>728.0</v>
      </c>
      <c r="AF39" s="25">
        <v>140.10000000000002</v>
      </c>
      <c r="AG39" s="25">
        <v>110.0</v>
      </c>
      <c r="AH39" s="25">
        <v>40.0</v>
      </c>
      <c r="AI39" s="25">
        <v>256.0</v>
      </c>
      <c r="AJ39" s="25">
        <v>10.0</v>
      </c>
      <c r="AK39" s="25">
        <v>0.0</v>
      </c>
      <c r="AL39" s="25">
        <v>0.0</v>
      </c>
      <c r="AM39" s="25">
        <v>0.0</v>
      </c>
      <c r="AN39" s="25">
        <v>0.0</v>
      </c>
      <c r="AO39" s="21">
        <f t="shared" si="1"/>
        <v>2395.1</v>
      </c>
      <c r="AP39" s="22">
        <v>2395.1</v>
      </c>
      <c r="AQ39" s="22">
        <v>2395.1</v>
      </c>
      <c r="AR39" s="23">
        <f t="shared" si="2"/>
        <v>0</v>
      </c>
      <c r="AS39" s="23">
        <f t="shared" si="3"/>
        <v>0</v>
      </c>
    </row>
    <row r="40" ht="15.75" customHeight="1">
      <c r="A40" s="16">
        <v>36.0</v>
      </c>
      <c r="B40" s="27" t="s">
        <v>96</v>
      </c>
      <c r="C40" s="27" t="s">
        <v>94</v>
      </c>
      <c r="D40" s="17" t="s">
        <v>97</v>
      </c>
      <c r="E40" s="18">
        <v>1600.0</v>
      </c>
      <c r="F40" s="25">
        <v>0.0</v>
      </c>
      <c r="G40" s="25">
        <v>0.0</v>
      </c>
      <c r="H40" s="25">
        <v>0.0</v>
      </c>
      <c r="I40" s="26">
        <v>0.0</v>
      </c>
      <c r="J40" s="25">
        <v>0.0</v>
      </c>
      <c r="K40" s="25">
        <v>0.0</v>
      </c>
      <c r="L40" s="25">
        <v>0.0</v>
      </c>
      <c r="M40" s="25">
        <v>0.0</v>
      </c>
      <c r="N40" s="25">
        <v>0.0</v>
      </c>
      <c r="O40" s="25">
        <v>0.0</v>
      </c>
      <c r="P40" s="25">
        <v>0.0</v>
      </c>
      <c r="Q40" s="25">
        <v>0.0</v>
      </c>
      <c r="R40" s="25">
        <v>20.0</v>
      </c>
      <c r="S40" s="25">
        <v>60.0</v>
      </c>
      <c r="T40" s="25">
        <v>0.0</v>
      </c>
      <c r="U40" s="25">
        <v>0.0</v>
      </c>
      <c r="V40" s="25">
        <v>0.0</v>
      </c>
      <c r="W40" s="25">
        <v>0.0</v>
      </c>
      <c r="X40" s="25">
        <v>0.0</v>
      </c>
      <c r="Y40" s="25">
        <v>0.0</v>
      </c>
      <c r="Z40" s="25">
        <v>0.0</v>
      </c>
      <c r="AA40" s="25">
        <v>0.0</v>
      </c>
      <c r="AB40" s="25">
        <v>0.0</v>
      </c>
      <c r="AC40" s="25">
        <v>0.0</v>
      </c>
      <c r="AD40" s="25">
        <v>336.0</v>
      </c>
      <c r="AE40" s="25">
        <v>672.0</v>
      </c>
      <c r="AF40" s="25">
        <v>149.04095454545453</v>
      </c>
      <c r="AG40" s="25">
        <v>0.0</v>
      </c>
      <c r="AH40" s="25">
        <v>0.0</v>
      </c>
      <c r="AI40" s="25">
        <v>392.0</v>
      </c>
      <c r="AJ40" s="25">
        <v>40.0</v>
      </c>
      <c r="AK40" s="25">
        <v>0.0</v>
      </c>
      <c r="AL40" s="25">
        <v>100.0</v>
      </c>
      <c r="AM40" s="25">
        <v>0.0</v>
      </c>
      <c r="AN40" s="25">
        <v>100.0</v>
      </c>
      <c r="AO40" s="21">
        <f t="shared" si="1"/>
        <v>1869.040955</v>
      </c>
      <c r="AP40" s="22">
        <v>1869.0409545454545</v>
      </c>
      <c r="AQ40" s="22">
        <v>1869.0409545454545</v>
      </c>
      <c r="AR40" s="23">
        <f t="shared" si="2"/>
        <v>0</v>
      </c>
      <c r="AS40" s="23">
        <f t="shared" si="3"/>
        <v>0</v>
      </c>
    </row>
    <row r="41" ht="15.75" customHeight="1">
      <c r="A41" s="16">
        <v>37.0</v>
      </c>
      <c r="B41" s="27" t="s">
        <v>98</v>
      </c>
      <c r="C41" s="27" t="s">
        <v>94</v>
      </c>
      <c r="D41" s="17" t="s">
        <v>95</v>
      </c>
      <c r="E41" s="18">
        <v>1600.0</v>
      </c>
      <c r="F41" s="25">
        <v>0.0</v>
      </c>
      <c r="G41" s="25">
        <v>0.0</v>
      </c>
      <c r="H41" s="25">
        <v>0.0</v>
      </c>
      <c r="I41" s="26">
        <v>241.67000000000002</v>
      </c>
      <c r="J41" s="25">
        <v>0.0</v>
      </c>
      <c r="K41" s="25">
        <v>0.0</v>
      </c>
      <c r="L41" s="25">
        <v>0.0</v>
      </c>
      <c r="M41" s="25">
        <v>0.0</v>
      </c>
      <c r="N41" s="25">
        <v>0.0</v>
      </c>
      <c r="O41" s="25">
        <v>0.0</v>
      </c>
      <c r="P41" s="25">
        <v>0.0</v>
      </c>
      <c r="Q41" s="25">
        <v>140.0</v>
      </c>
      <c r="R41" s="25">
        <v>550.0</v>
      </c>
      <c r="S41" s="25">
        <v>0.0</v>
      </c>
      <c r="T41" s="25">
        <v>0.0</v>
      </c>
      <c r="U41" s="25">
        <v>0.0</v>
      </c>
      <c r="V41" s="25">
        <v>0.0</v>
      </c>
      <c r="W41" s="25">
        <v>0.0</v>
      </c>
      <c r="X41" s="25">
        <v>0.0</v>
      </c>
      <c r="Y41" s="25">
        <v>0.0</v>
      </c>
      <c r="Z41" s="25">
        <v>0.0</v>
      </c>
      <c r="AA41" s="25">
        <v>0.0</v>
      </c>
      <c r="AB41" s="25">
        <v>0.0</v>
      </c>
      <c r="AC41" s="25">
        <v>0.0</v>
      </c>
      <c r="AD41" s="25">
        <v>203.0</v>
      </c>
      <c r="AE41" s="25">
        <v>406.0</v>
      </c>
      <c r="AF41" s="25">
        <v>158.58333333333334</v>
      </c>
      <c r="AG41" s="25">
        <v>260.0</v>
      </c>
      <c r="AH41" s="25">
        <v>0.0</v>
      </c>
      <c r="AI41" s="25">
        <v>256.0</v>
      </c>
      <c r="AJ41" s="25">
        <v>46.0</v>
      </c>
      <c r="AK41" s="25">
        <v>0.0</v>
      </c>
      <c r="AL41" s="25">
        <v>100.0</v>
      </c>
      <c r="AM41" s="25">
        <v>0.0</v>
      </c>
      <c r="AN41" s="25">
        <v>100.0</v>
      </c>
      <c r="AO41" s="21">
        <f t="shared" si="1"/>
        <v>2461.253333</v>
      </c>
      <c r="AP41" s="22">
        <v>2461.253333333333</v>
      </c>
      <c r="AQ41" s="22">
        <v>2461.253333333333</v>
      </c>
      <c r="AR41" s="23">
        <f t="shared" si="2"/>
        <v>0</v>
      </c>
      <c r="AS41" s="23">
        <f t="shared" si="3"/>
        <v>0</v>
      </c>
    </row>
    <row r="42" ht="15.75" customHeight="1">
      <c r="A42" s="16">
        <v>38.0</v>
      </c>
      <c r="B42" s="27" t="s">
        <v>99</v>
      </c>
      <c r="C42" s="27" t="s">
        <v>94</v>
      </c>
      <c r="D42" s="17" t="s">
        <v>95</v>
      </c>
      <c r="E42" s="18">
        <v>1600.0</v>
      </c>
      <c r="F42" s="25">
        <v>0.0</v>
      </c>
      <c r="G42" s="25">
        <v>0.0</v>
      </c>
      <c r="H42" s="25">
        <v>0.0</v>
      </c>
      <c r="I42" s="26">
        <v>108.33333333333334</v>
      </c>
      <c r="J42" s="25">
        <v>0.0</v>
      </c>
      <c r="K42" s="25">
        <v>0.0</v>
      </c>
      <c r="L42" s="25">
        <v>0.0</v>
      </c>
      <c r="M42" s="25">
        <v>0.0</v>
      </c>
      <c r="N42" s="25">
        <v>0.0</v>
      </c>
      <c r="O42" s="25">
        <v>0.0</v>
      </c>
      <c r="P42" s="25">
        <v>0.0</v>
      </c>
      <c r="Q42" s="25">
        <v>0.0</v>
      </c>
      <c r="R42" s="25">
        <v>300.0</v>
      </c>
      <c r="S42" s="25">
        <v>33.75</v>
      </c>
      <c r="T42" s="25">
        <v>0.0</v>
      </c>
      <c r="U42" s="25">
        <v>0.0</v>
      </c>
      <c r="V42" s="25">
        <v>0.0</v>
      </c>
      <c r="W42" s="25">
        <v>0.0</v>
      </c>
      <c r="X42" s="25">
        <v>0.0</v>
      </c>
      <c r="Y42" s="25">
        <v>300.0</v>
      </c>
      <c r="Z42" s="25">
        <v>0.0</v>
      </c>
      <c r="AA42" s="25">
        <v>0.0</v>
      </c>
      <c r="AB42" s="25">
        <v>0.0</v>
      </c>
      <c r="AC42" s="25">
        <v>40.0</v>
      </c>
      <c r="AD42" s="25">
        <v>196.0</v>
      </c>
      <c r="AE42" s="25">
        <v>392.0</v>
      </c>
      <c r="AF42" s="25">
        <v>143.0</v>
      </c>
      <c r="AG42" s="25">
        <v>40.0</v>
      </c>
      <c r="AH42" s="25">
        <v>140.0</v>
      </c>
      <c r="AI42" s="25">
        <v>0.0</v>
      </c>
      <c r="AJ42" s="25">
        <v>0.0</v>
      </c>
      <c r="AK42" s="25">
        <v>0.0</v>
      </c>
      <c r="AL42" s="25">
        <v>0.0</v>
      </c>
      <c r="AM42" s="25">
        <v>0.0</v>
      </c>
      <c r="AN42" s="25">
        <v>0.0</v>
      </c>
      <c r="AO42" s="21">
        <f t="shared" si="1"/>
        <v>1693.083333</v>
      </c>
      <c r="AP42" s="3">
        <v>1693.0833333333335</v>
      </c>
      <c r="AQ42" s="3">
        <v>1693.0833333333335</v>
      </c>
      <c r="AR42" s="23">
        <f t="shared" si="2"/>
        <v>0</v>
      </c>
      <c r="AS42" s="23">
        <f t="shared" si="3"/>
        <v>0</v>
      </c>
    </row>
    <row r="43" ht="15.75" customHeight="1">
      <c r="A43" s="16">
        <v>39.0</v>
      </c>
      <c r="B43" s="28" t="s">
        <v>100</v>
      </c>
      <c r="C43" s="27" t="s">
        <v>94</v>
      </c>
      <c r="D43" s="17" t="s">
        <v>97</v>
      </c>
      <c r="E43" s="18">
        <v>1600.0</v>
      </c>
      <c r="F43" s="25">
        <v>300.0</v>
      </c>
      <c r="G43" s="25">
        <v>0.0</v>
      </c>
      <c r="H43" s="25">
        <v>0.0</v>
      </c>
      <c r="I43" s="26">
        <v>0.0</v>
      </c>
      <c r="J43" s="25">
        <v>0.0</v>
      </c>
      <c r="K43" s="25">
        <v>0.0</v>
      </c>
      <c r="L43" s="25">
        <v>0.0</v>
      </c>
      <c r="M43" s="25">
        <v>0.0</v>
      </c>
      <c r="N43" s="25">
        <v>16.66</v>
      </c>
      <c r="O43" s="25">
        <v>0.0</v>
      </c>
      <c r="P43" s="25">
        <v>0.0</v>
      </c>
      <c r="Q43" s="25">
        <v>100.0</v>
      </c>
      <c r="R43" s="25">
        <v>500.0</v>
      </c>
      <c r="S43" s="25">
        <v>0.0</v>
      </c>
      <c r="T43" s="25">
        <v>0.0</v>
      </c>
      <c r="U43" s="25">
        <v>0.0</v>
      </c>
      <c r="V43" s="25">
        <v>0.0</v>
      </c>
      <c r="W43" s="25">
        <v>0.0</v>
      </c>
      <c r="X43" s="25">
        <v>0.0</v>
      </c>
      <c r="Y43" s="25">
        <v>0.0</v>
      </c>
      <c r="Z43" s="25">
        <v>0.0</v>
      </c>
      <c r="AA43" s="25">
        <v>0.0</v>
      </c>
      <c r="AB43" s="25">
        <v>0.0</v>
      </c>
      <c r="AC43" s="25">
        <v>0.0</v>
      </c>
      <c r="AD43" s="25">
        <v>343.0</v>
      </c>
      <c r="AE43" s="25">
        <v>686.0</v>
      </c>
      <c r="AF43" s="25">
        <v>60.459999999999994</v>
      </c>
      <c r="AG43" s="25">
        <v>80.0</v>
      </c>
      <c r="AH43" s="25">
        <v>30.0</v>
      </c>
      <c r="AI43" s="25">
        <v>0.0</v>
      </c>
      <c r="AJ43" s="25">
        <v>68.0</v>
      </c>
      <c r="AK43" s="25">
        <v>0.0</v>
      </c>
      <c r="AL43" s="25">
        <v>0.0</v>
      </c>
      <c r="AM43" s="25">
        <v>0.0</v>
      </c>
      <c r="AN43" s="25">
        <v>116.0</v>
      </c>
      <c r="AO43" s="21">
        <f t="shared" si="1"/>
        <v>2300.12</v>
      </c>
      <c r="AP43" s="22">
        <v>2300.12</v>
      </c>
      <c r="AQ43" s="22">
        <v>2300.12</v>
      </c>
      <c r="AR43" s="23">
        <f t="shared" si="2"/>
        <v>0</v>
      </c>
      <c r="AS43" s="23">
        <f t="shared" si="3"/>
        <v>0</v>
      </c>
    </row>
    <row r="44" ht="15.75" customHeight="1">
      <c r="A44" s="16">
        <v>40.0</v>
      </c>
      <c r="B44" s="29" t="s">
        <v>101</v>
      </c>
      <c r="C44" s="27" t="s">
        <v>94</v>
      </c>
      <c r="D44" s="17" t="s">
        <v>97</v>
      </c>
      <c r="E44" s="18">
        <v>1600.0</v>
      </c>
      <c r="F44" s="25">
        <v>0.0</v>
      </c>
      <c r="G44" s="25">
        <v>0.0</v>
      </c>
      <c r="H44" s="25">
        <v>0.0</v>
      </c>
      <c r="I44" s="26">
        <v>7.14</v>
      </c>
      <c r="J44" s="25">
        <v>0.0</v>
      </c>
      <c r="K44" s="25">
        <v>0.0</v>
      </c>
      <c r="L44" s="25">
        <v>0.0</v>
      </c>
      <c r="M44" s="25">
        <v>0.0</v>
      </c>
      <c r="N44" s="25">
        <v>37.5</v>
      </c>
      <c r="O44" s="25">
        <v>0.0</v>
      </c>
      <c r="P44" s="25">
        <v>0.0</v>
      </c>
      <c r="Q44" s="25">
        <v>0.0</v>
      </c>
      <c r="R44" s="25">
        <v>0.0</v>
      </c>
      <c r="S44" s="25">
        <v>56.25</v>
      </c>
      <c r="T44" s="25">
        <v>0.0</v>
      </c>
      <c r="U44" s="25">
        <v>0.0</v>
      </c>
      <c r="V44" s="25">
        <v>0.0</v>
      </c>
      <c r="W44" s="25">
        <v>0.0</v>
      </c>
      <c r="X44" s="25">
        <v>0.0</v>
      </c>
      <c r="Y44" s="25">
        <v>0.0</v>
      </c>
      <c r="Z44" s="25">
        <v>0.0</v>
      </c>
      <c r="AA44" s="25">
        <v>0.0</v>
      </c>
      <c r="AB44" s="25">
        <v>0.0</v>
      </c>
      <c r="AC44" s="25">
        <v>0.0</v>
      </c>
      <c r="AD44" s="25">
        <v>364.0</v>
      </c>
      <c r="AE44" s="25">
        <v>728.0</v>
      </c>
      <c r="AF44" s="25">
        <v>131.66</v>
      </c>
      <c r="AG44" s="25">
        <v>40.0</v>
      </c>
      <c r="AH44" s="25">
        <v>30.0</v>
      </c>
      <c r="AI44" s="25">
        <v>56.0</v>
      </c>
      <c r="AJ44" s="25">
        <v>0.0</v>
      </c>
      <c r="AK44" s="25">
        <v>0.0</v>
      </c>
      <c r="AL44" s="25">
        <v>50.0</v>
      </c>
      <c r="AM44" s="25">
        <v>0.0</v>
      </c>
      <c r="AN44" s="25">
        <v>148.0</v>
      </c>
      <c r="AO44" s="21">
        <f t="shared" si="1"/>
        <v>1648.55</v>
      </c>
      <c r="AP44" s="22">
        <v>1648.55</v>
      </c>
      <c r="AQ44" s="22">
        <v>1648.55</v>
      </c>
      <c r="AR44" s="23">
        <f t="shared" si="2"/>
        <v>0</v>
      </c>
      <c r="AS44" s="23">
        <f t="shared" si="3"/>
        <v>0</v>
      </c>
    </row>
    <row r="45" ht="15.75" customHeight="1">
      <c r="A45" s="16">
        <v>41.0</v>
      </c>
      <c r="B45" s="27" t="s">
        <v>102</v>
      </c>
      <c r="C45" s="27" t="s">
        <v>94</v>
      </c>
      <c r="D45" s="17" t="s">
        <v>103</v>
      </c>
      <c r="E45" s="18">
        <v>1600.0</v>
      </c>
      <c r="F45" s="25">
        <v>0.0</v>
      </c>
      <c r="G45" s="25">
        <v>0.0</v>
      </c>
      <c r="H45" s="25">
        <v>0.0</v>
      </c>
      <c r="I45" s="26">
        <v>50.0</v>
      </c>
      <c r="J45" s="25">
        <v>0.0</v>
      </c>
      <c r="K45" s="25">
        <v>0.0</v>
      </c>
      <c r="L45" s="25">
        <v>0.0</v>
      </c>
      <c r="M45" s="25">
        <v>0.0</v>
      </c>
      <c r="N45" s="25">
        <v>100.0</v>
      </c>
      <c r="O45" s="25">
        <v>0.0</v>
      </c>
      <c r="P45" s="25">
        <v>0.0</v>
      </c>
      <c r="Q45" s="25">
        <v>60.0</v>
      </c>
      <c r="R45" s="25">
        <v>0.0</v>
      </c>
      <c r="S45" s="25">
        <v>0.0</v>
      </c>
      <c r="T45" s="25">
        <v>0.0</v>
      </c>
      <c r="U45" s="25">
        <v>0.0</v>
      </c>
      <c r="V45" s="25">
        <v>0.0</v>
      </c>
      <c r="W45" s="25">
        <v>0.0</v>
      </c>
      <c r="X45" s="25">
        <v>0.0</v>
      </c>
      <c r="Y45" s="25">
        <v>0.0</v>
      </c>
      <c r="Z45" s="25">
        <v>0.0</v>
      </c>
      <c r="AA45" s="25">
        <v>0.0</v>
      </c>
      <c r="AB45" s="25">
        <v>0.0</v>
      </c>
      <c r="AC45" s="25">
        <v>0.0</v>
      </c>
      <c r="AD45" s="25">
        <v>343.0</v>
      </c>
      <c r="AE45" s="25">
        <v>686.0</v>
      </c>
      <c r="AF45" s="25">
        <v>227.2700000000001</v>
      </c>
      <c r="AG45" s="25">
        <v>20.0</v>
      </c>
      <c r="AH45" s="25">
        <v>0.0</v>
      </c>
      <c r="AI45" s="25">
        <v>256.0</v>
      </c>
      <c r="AJ45" s="25">
        <v>70.0</v>
      </c>
      <c r="AK45" s="25">
        <v>0.0</v>
      </c>
      <c r="AL45" s="25">
        <v>0.0</v>
      </c>
      <c r="AM45" s="25">
        <v>0.0</v>
      </c>
      <c r="AN45" s="25">
        <v>100.0</v>
      </c>
      <c r="AO45" s="21">
        <f t="shared" si="1"/>
        <v>1912.27</v>
      </c>
      <c r="AP45" s="22">
        <v>1912.27</v>
      </c>
      <c r="AQ45" s="22">
        <v>1912.27</v>
      </c>
      <c r="AR45" s="23">
        <f t="shared" si="2"/>
        <v>0</v>
      </c>
      <c r="AS45" s="23">
        <f t="shared" si="3"/>
        <v>0</v>
      </c>
    </row>
    <row r="46" ht="15.75" customHeight="1">
      <c r="A46" s="16">
        <v>42.0</v>
      </c>
      <c r="B46" s="27" t="s">
        <v>104</v>
      </c>
      <c r="C46" s="27" t="s">
        <v>94</v>
      </c>
      <c r="D46" s="17" t="s">
        <v>95</v>
      </c>
      <c r="E46" s="18">
        <v>1600.0</v>
      </c>
      <c r="F46" s="25">
        <v>1692.85</v>
      </c>
      <c r="G46" s="25">
        <v>0.0</v>
      </c>
      <c r="H46" s="25">
        <v>0.0</v>
      </c>
      <c r="I46" s="26">
        <v>6331.808571428562</v>
      </c>
      <c r="J46" s="25">
        <v>0.0</v>
      </c>
      <c r="K46" s="25">
        <v>0.0</v>
      </c>
      <c r="L46" s="25">
        <v>0.0</v>
      </c>
      <c r="M46" s="25">
        <v>0.0</v>
      </c>
      <c r="N46" s="25">
        <v>0.0</v>
      </c>
      <c r="O46" s="25">
        <v>0.0</v>
      </c>
      <c r="P46" s="25">
        <v>0.0</v>
      </c>
      <c r="Q46" s="25">
        <v>0.0</v>
      </c>
      <c r="R46" s="25">
        <v>2450.0</v>
      </c>
      <c r="S46" s="25">
        <v>650.0</v>
      </c>
      <c r="T46" s="25">
        <v>0.0</v>
      </c>
      <c r="U46" s="25">
        <v>0.0</v>
      </c>
      <c r="V46" s="25">
        <v>0.0</v>
      </c>
      <c r="W46" s="25">
        <v>0.0</v>
      </c>
      <c r="X46" s="25">
        <v>0.0</v>
      </c>
      <c r="Y46" s="25">
        <v>0.0</v>
      </c>
      <c r="Z46" s="25">
        <v>0.0</v>
      </c>
      <c r="AA46" s="25">
        <v>0.0</v>
      </c>
      <c r="AB46" s="25">
        <v>200.0</v>
      </c>
      <c r="AC46" s="25">
        <v>0.0</v>
      </c>
      <c r="AD46" s="25">
        <v>196.0</v>
      </c>
      <c r="AE46" s="25">
        <v>392.0</v>
      </c>
      <c r="AF46" s="25">
        <v>53.64999999999999</v>
      </c>
      <c r="AG46" s="25">
        <v>120.0</v>
      </c>
      <c r="AH46" s="25">
        <v>120.0</v>
      </c>
      <c r="AI46" s="25">
        <v>0.0</v>
      </c>
      <c r="AJ46" s="25">
        <v>40.0</v>
      </c>
      <c r="AK46" s="25">
        <v>0.0</v>
      </c>
      <c r="AL46" s="25">
        <v>0.0</v>
      </c>
      <c r="AM46" s="25">
        <v>0.0</v>
      </c>
      <c r="AN46" s="25">
        <v>74.0</v>
      </c>
      <c r="AO46" s="21">
        <f t="shared" si="1"/>
        <v>12320.30857</v>
      </c>
      <c r="AP46" s="22">
        <v>12320.30857142856</v>
      </c>
      <c r="AQ46" s="22">
        <v>12320.30857142856</v>
      </c>
      <c r="AR46" s="23">
        <f t="shared" si="2"/>
        <v>0</v>
      </c>
      <c r="AS46" s="23">
        <f t="shared" si="3"/>
        <v>0</v>
      </c>
    </row>
    <row r="47" ht="15.75" customHeight="1">
      <c r="A47" s="16">
        <v>43.0</v>
      </c>
      <c r="B47" s="27" t="s">
        <v>105</v>
      </c>
      <c r="C47" s="27" t="s">
        <v>94</v>
      </c>
      <c r="D47" s="17" t="s">
        <v>95</v>
      </c>
      <c r="E47" s="18">
        <v>1600.0</v>
      </c>
      <c r="F47" s="25">
        <v>50.0</v>
      </c>
      <c r="G47" s="25">
        <v>0.0</v>
      </c>
      <c r="H47" s="25">
        <v>0.0</v>
      </c>
      <c r="I47" s="26">
        <v>129.14</v>
      </c>
      <c r="J47" s="25">
        <v>0.0</v>
      </c>
      <c r="K47" s="25">
        <v>0.0</v>
      </c>
      <c r="L47" s="25">
        <v>0.0</v>
      </c>
      <c r="M47" s="25">
        <v>0.0</v>
      </c>
      <c r="N47" s="25">
        <v>0.0</v>
      </c>
      <c r="O47" s="25">
        <v>0.0</v>
      </c>
      <c r="P47" s="25">
        <v>0.0</v>
      </c>
      <c r="Q47" s="25">
        <v>39.98</v>
      </c>
      <c r="R47" s="25">
        <v>0.0</v>
      </c>
      <c r="S47" s="25">
        <v>225.0</v>
      </c>
      <c r="T47" s="25">
        <v>0.0</v>
      </c>
      <c r="U47" s="25">
        <v>0.0</v>
      </c>
      <c r="V47" s="25">
        <v>0.0</v>
      </c>
      <c r="W47" s="25">
        <v>0.0</v>
      </c>
      <c r="X47" s="25">
        <v>0.0</v>
      </c>
      <c r="Y47" s="25">
        <v>0.0</v>
      </c>
      <c r="Z47" s="25">
        <v>0.0</v>
      </c>
      <c r="AA47" s="25">
        <v>0.0</v>
      </c>
      <c r="AB47" s="25">
        <v>0.0</v>
      </c>
      <c r="AC47" s="25">
        <v>0.0</v>
      </c>
      <c r="AD47" s="25">
        <v>252.0</v>
      </c>
      <c r="AE47" s="25">
        <v>504.0</v>
      </c>
      <c r="AF47" s="25">
        <v>172.23999999999998</v>
      </c>
      <c r="AG47" s="25">
        <v>0.0</v>
      </c>
      <c r="AH47" s="25">
        <v>20.0</v>
      </c>
      <c r="AI47" s="25">
        <v>346.0</v>
      </c>
      <c r="AJ47" s="25">
        <v>0.0</v>
      </c>
      <c r="AK47" s="25">
        <v>0.0</v>
      </c>
      <c r="AL47" s="25">
        <v>0.0</v>
      </c>
      <c r="AM47" s="25">
        <v>0.0</v>
      </c>
      <c r="AN47" s="25">
        <v>0.0</v>
      </c>
      <c r="AO47" s="21">
        <f t="shared" si="1"/>
        <v>1738.36</v>
      </c>
      <c r="AP47" s="22">
        <v>1738.36</v>
      </c>
      <c r="AQ47" s="22">
        <v>1738.36</v>
      </c>
      <c r="AR47" s="23">
        <f t="shared" si="2"/>
        <v>0</v>
      </c>
      <c r="AS47" s="23">
        <f t="shared" si="3"/>
        <v>0</v>
      </c>
    </row>
    <row r="48" ht="15.75" customHeight="1">
      <c r="A48" s="16">
        <v>44.0</v>
      </c>
      <c r="B48" s="27" t="s">
        <v>106</v>
      </c>
      <c r="C48" s="27" t="s">
        <v>94</v>
      </c>
      <c r="D48" s="17" t="s">
        <v>97</v>
      </c>
      <c r="E48" s="18">
        <v>1600.0</v>
      </c>
      <c r="F48" s="25">
        <v>750.0</v>
      </c>
      <c r="G48" s="25">
        <v>0.0</v>
      </c>
      <c r="H48" s="25">
        <v>0.0</v>
      </c>
      <c r="I48" s="26">
        <v>50.0</v>
      </c>
      <c r="J48" s="25">
        <v>0.0</v>
      </c>
      <c r="K48" s="25">
        <v>0.0</v>
      </c>
      <c r="L48" s="25">
        <v>0.0</v>
      </c>
      <c r="M48" s="25">
        <v>0.0</v>
      </c>
      <c r="N48" s="25">
        <v>300.0</v>
      </c>
      <c r="O48" s="25">
        <v>572.0</v>
      </c>
      <c r="P48" s="25">
        <v>0.0</v>
      </c>
      <c r="Q48" s="25">
        <v>0.0</v>
      </c>
      <c r="R48" s="25">
        <v>0.0</v>
      </c>
      <c r="S48" s="25">
        <v>0.0</v>
      </c>
      <c r="T48" s="25">
        <v>0.0</v>
      </c>
      <c r="U48" s="25">
        <v>0.0</v>
      </c>
      <c r="V48" s="25">
        <v>0.0</v>
      </c>
      <c r="W48" s="25">
        <v>0.0</v>
      </c>
      <c r="X48" s="25">
        <v>50.0</v>
      </c>
      <c r="Y48" s="25">
        <v>0.0</v>
      </c>
      <c r="Z48" s="25">
        <v>0.0</v>
      </c>
      <c r="AA48" s="25">
        <v>0.0</v>
      </c>
      <c r="AB48" s="25">
        <v>0.0</v>
      </c>
      <c r="AC48" s="25">
        <v>0.0</v>
      </c>
      <c r="AD48" s="25">
        <v>336.0</v>
      </c>
      <c r="AE48" s="25">
        <v>672.0</v>
      </c>
      <c r="AF48" s="25">
        <v>33.290000000000006</v>
      </c>
      <c r="AG48" s="25">
        <v>80.0</v>
      </c>
      <c r="AH48" s="25">
        <v>0.0</v>
      </c>
      <c r="AI48" s="25">
        <v>200.0</v>
      </c>
      <c r="AJ48" s="25">
        <v>80.0</v>
      </c>
      <c r="AK48" s="25">
        <v>0.0</v>
      </c>
      <c r="AL48" s="25">
        <v>0.0</v>
      </c>
      <c r="AM48" s="25">
        <v>0.0</v>
      </c>
      <c r="AN48" s="25">
        <v>100.0</v>
      </c>
      <c r="AO48" s="21">
        <f t="shared" si="1"/>
        <v>3223.29</v>
      </c>
      <c r="AP48" s="22">
        <v>3223.29</v>
      </c>
      <c r="AQ48" s="22">
        <v>3223.29</v>
      </c>
      <c r="AR48" s="23">
        <f t="shared" si="2"/>
        <v>0</v>
      </c>
      <c r="AS48" s="23">
        <f t="shared" si="3"/>
        <v>0</v>
      </c>
    </row>
    <row r="49" ht="15.75" customHeight="1">
      <c r="A49" s="16">
        <v>45.0</v>
      </c>
      <c r="B49" s="27" t="s">
        <v>107</v>
      </c>
      <c r="C49" s="27" t="s">
        <v>94</v>
      </c>
      <c r="D49" s="17" t="s">
        <v>95</v>
      </c>
      <c r="E49" s="18">
        <v>1600.0</v>
      </c>
      <c r="F49" s="25">
        <v>375.0</v>
      </c>
      <c r="G49" s="25">
        <v>0.0</v>
      </c>
      <c r="H49" s="25">
        <v>0.0</v>
      </c>
      <c r="I49" s="26">
        <v>210.53571428571428</v>
      </c>
      <c r="J49" s="25">
        <v>0.0</v>
      </c>
      <c r="K49" s="25">
        <v>0.0</v>
      </c>
      <c r="L49" s="25">
        <v>0.0</v>
      </c>
      <c r="M49" s="25">
        <v>0.0</v>
      </c>
      <c r="N49" s="25">
        <v>37.5</v>
      </c>
      <c r="O49" s="25">
        <v>0.0</v>
      </c>
      <c r="P49" s="25">
        <v>0.0</v>
      </c>
      <c r="Q49" s="25">
        <v>6.666666666666667</v>
      </c>
      <c r="R49" s="25">
        <v>600.0</v>
      </c>
      <c r="S49" s="25">
        <v>150.0</v>
      </c>
      <c r="T49" s="25">
        <v>0.0</v>
      </c>
      <c r="U49" s="25">
        <v>0.0</v>
      </c>
      <c r="V49" s="25">
        <v>0.0</v>
      </c>
      <c r="W49" s="25">
        <v>0.0</v>
      </c>
      <c r="X49" s="25">
        <v>0.0</v>
      </c>
      <c r="Y49" s="25">
        <v>100.0</v>
      </c>
      <c r="Z49" s="25">
        <v>0.0</v>
      </c>
      <c r="AA49" s="25">
        <v>0.0</v>
      </c>
      <c r="AB49" s="25">
        <v>0.0</v>
      </c>
      <c r="AC49" s="25">
        <v>0.0</v>
      </c>
      <c r="AD49" s="25">
        <v>252.0</v>
      </c>
      <c r="AE49" s="25">
        <v>504.0</v>
      </c>
      <c r="AF49" s="25">
        <v>249.36666666666667</v>
      </c>
      <c r="AG49" s="25">
        <v>200.0</v>
      </c>
      <c r="AH49" s="25">
        <v>240.0</v>
      </c>
      <c r="AI49" s="25">
        <v>1156.0</v>
      </c>
      <c r="AJ49" s="25">
        <v>0.0</v>
      </c>
      <c r="AK49" s="25">
        <v>0.0</v>
      </c>
      <c r="AL49" s="25">
        <v>300.0</v>
      </c>
      <c r="AM49" s="25">
        <v>0.0</v>
      </c>
      <c r="AN49" s="25">
        <v>80.0</v>
      </c>
      <c r="AO49" s="21">
        <f t="shared" si="1"/>
        <v>4461.069048</v>
      </c>
      <c r="AP49" s="22">
        <v>4461.0690476190475</v>
      </c>
      <c r="AQ49" s="22">
        <v>4461.0690476190475</v>
      </c>
      <c r="AR49" s="23">
        <f t="shared" si="2"/>
        <v>0</v>
      </c>
      <c r="AS49" s="23">
        <f t="shared" si="3"/>
        <v>0</v>
      </c>
    </row>
    <row r="50" ht="15.75" customHeight="1">
      <c r="A50" s="16">
        <v>46.0</v>
      </c>
      <c r="B50" s="27" t="s">
        <v>108</v>
      </c>
      <c r="C50" s="27" t="s">
        <v>94</v>
      </c>
      <c r="D50" s="17" t="s">
        <v>103</v>
      </c>
      <c r="E50" s="18">
        <v>1600.0</v>
      </c>
      <c r="F50" s="25">
        <v>0.0</v>
      </c>
      <c r="G50" s="25">
        <v>0.0</v>
      </c>
      <c r="H50" s="25">
        <v>0.0</v>
      </c>
      <c r="I50" s="26">
        <v>0.0</v>
      </c>
      <c r="J50" s="25">
        <v>0.0</v>
      </c>
      <c r="K50" s="25">
        <v>0.0</v>
      </c>
      <c r="L50" s="25">
        <v>0.0</v>
      </c>
      <c r="M50" s="25">
        <v>0.0</v>
      </c>
      <c r="N50" s="25">
        <v>100.0</v>
      </c>
      <c r="O50" s="25">
        <v>0.0</v>
      </c>
      <c r="P50" s="25">
        <v>0.0</v>
      </c>
      <c r="Q50" s="25">
        <v>0.0</v>
      </c>
      <c r="R50" s="25">
        <v>0.0</v>
      </c>
      <c r="S50" s="25">
        <v>0.0</v>
      </c>
      <c r="T50" s="25">
        <v>0.0</v>
      </c>
      <c r="U50" s="25">
        <v>0.0</v>
      </c>
      <c r="V50" s="25">
        <v>0.0</v>
      </c>
      <c r="W50" s="25">
        <v>0.0</v>
      </c>
      <c r="X50" s="25">
        <v>0.0</v>
      </c>
      <c r="Y50" s="25">
        <v>0.0</v>
      </c>
      <c r="Z50" s="25">
        <v>0.0</v>
      </c>
      <c r="AA50" s="25">
        <v>0.0</v>
      </c>
      <c r="AB50" s="25">
        <v>0.0</v>
      </c>
      <c r="AC50" s="25">
        <v>0.0</v>
      </c>
      <c r="AD50" s="25">
        <v>448.0</v>
      </c>
      <c r="AE50" s="25">
        <v>896.0</v>
      </c>
      <c r="AF50" s="25">
        <v>179.08333333333334</v>
      </c>
      <c r="AG50" s="25">
        <v>30.0</v>
      </c>
      <c r="AH50" s="25">
        <v>0.0</v>
      </c>
      <c r="AI50" s="25">
        <v>682.0</v>
      </c>
      <c r="AJ50" s="25">
        <v>60.0</v>
      </c>
      <c r="AK50" s="25">
        <v>0.0</v>
      </c>
      <c r="AL50" s="25">
        <v>0.0</v>
      </c>
      <c r="AM50" s="25">
        <v>0.0</v>
      </c>
      <c r="AN50" s="25">
        <v>210.0</v>
      </c>
      <c r="AO50" s="21">
        <f t="shared" si="1"/>
        <v>2605.083333</v>
      </c>
      <c r="AP50" s="22">
        <v>2605.083333333333</v>
      </c>
      <c r="AQ50" s="22">
        <v>2605.083333333333</v>
      </c>
      <c r="AR50" s="23">
        <f t="shared" si="2"/>
        <v>0</v>
      </c>
      <c r="AS50" s="23">
        <f t="shared" si="3"/>
        <v>0</v>
      </c>
    </row>
    <row r="51" ht="15.75" customHeight="1">
      <c r="A51" s="16">
        <v>47.0</v>
      </c>
      <c r="B51" s="27" t="s">
        <v>109</v>
      </c>
      <c r="C51" s="27" t="s">
        <v>94</v>
      </c>
      <c r="D51" s="17" t="s">
        <v>110</v>
      </c>
      <c r="E51" s="18">
        <v>1600.0</v>
      </c>
      <c r="F51" s="25">
        <v>0.0</v>
      </c>
      <c r="G51" s="25">
        <v>0.0</v>
      </c>
      <c r="H51" s="25">
        <v>0.0</v>
      </c>
      <c r="I51" s="26">
        <v>116.66666666666664</v>
      </c>
      <c r="J51" s="25">
        <v>0.0</v>
      </c>
      <c r="K51" s="25">
        <v>0.0</v>
      </c>
      <c r="L51" s="25">
        <v>0.0</v>
      </c>
      <c r="M51" s="25">
        <v>0.0</v>
      </c>
      <c r="N51" s="25">
        <v>0.0</v>
      </c>
      <c r="O51" s="25">
        <v>0.0</v>
      </c>
      <c r="P51" s="25">
        <v>0.0</v>
      </c>
      <c r="Q51" s="25">
        <v>13.666666666666668</v>
      </c>
      <c r="R51" s="25">
        <v>0.0</v>
      </c>
      <c r="S51" s="25">
        <v>0.0</v>
      </c>
      <c r="T51" s="25">
        <v>0.0</v>
      </c>
      <c r="U51" s="25">
        <v>0.0</v>
      </c>
      <c r="V51" s="25">
        <v>0.0</v>
      </c>
      <c r="W51" s="25">
        <v>0.0</v>
      </c>
      <c r="X51" s="25">
        <v>0.0</v>
      </c>
      <c r="Y51" s="25">
        <v>100.0</v>
      </c>
      <c r="Z51" s="25">
        <v>0.0</v>
      </c>
      <c r="AA51" s="25">
        <v>0.0</v>
      </c>
      <c r="AB51" s="25">
        <v>0.0</v>
      </c>
      <c r="AC51" s="25">
        <v>0.0</v>
      </c>
      <c r="AD51" s="25">
        <v>280.0</v>
      </c>
      <c r="AE51" s="25">
        <v>560.0</v>
      </c>
      <c r="AF51" s="25">
        <v>76.71666666666667</v>
      </c>
      <c r="AG51" s="25">
        <v>100.0</v>
      </c>
      <c r="AH51" s="25">
        <v>180.0</v>
      </c>
      <c r="AI51" s="25">
        <v>346.0</v>
      </c>
      <c r="AJ51" s="25">
        <v>135.0</v>
      </c>
      <c r="AK51" s="25">
        <v>0.0</v>
      </c>
      <c r="AL51" s="25">
        <v>0.0</v>
      </c>
      <c r="AM51" s="25">
        <v>0.0</v>
      </c>
      <c r="AN51" s="25">
        <v>100.0</v>
      </c>
      <c r="AO51" s="21">
        <f t="shared" si="1"/>
        <v>2008.05</v>
      </c>
      <c r="AP51" s="22">
        <v>2008.05</v>
      </c>
      <c r="AQ51" s="22">
        <v>2008.05</v>
      </c>
      <c r="AR51" s="23">
        <f t="shared" si="2"/>
        <v>0</v>
      </c>
      <c r="AS51" s="23">
        <f t="shared" si="3"/>
        <v>0</v>
      </c>
    </row>
    <row r="52" ht="15.75" customHeight="1">
      <c r="A52" s="16">
        <v>48.0</v>
      </c>
      <c r="B52" s="27" t="s">
        <v>111</v>
      </c>
      <c r="C52" s="27" t="s">
        <v>94</v>
      </c>
      <c r="D52" s="17" t="s">
        <v>95</v>
      </c>
      <c r="E52" s="18">
        <v>1600.0</v>
      </c>
      <c r="F52" s="25">
        <v>0.0</v>
      </c>
      <c r="G52" s="25">
        <v>0.0</v>
      </c>
      <c r="H52" s="25">
        <v>0.0</v>
      </c>
      <c r="I52" s="26">
        <v>25.0</v>
      </c>
      <c r="J52" s="25">
        <v>0.0</v>
      </c>
      <c r="K52" s="25">
        <v>0.0</v>
      </c>
      <c r="L52" s="25">
        <v>0.0</v>
      </c>
      <c r="M52" s="25">
        <v>0.0</v>
      </c>
      <c r="N52" s="25">
        <v>100.0</v>
      </c>
      <c r="O52" s="25">
        <v>672.0</v>
      </c>
      <c r="P52" s="25">
        <v>0.0</v>
      </c>
      <c r="Q52" s="25">
        <v>240.0</v>
      </c>
      <c r="R52" s="25">
        <v>150.0</v>
      </c>
      <c r="S52" s="25">
        <v>0.0</v>
      </c>
      <c r="T52" s="25">
        <v>0.0</v>
      </c>
      <c r="U52" s="25">
        <v>0.0</v>
      </c>
      <c r="V52" s="25">
        <v>0.0</v>
      </c>
      <c r="W52" s="25">
        <v>0.0</v>
      </c>
      <c r="X52" s="25">
        <v>0.0</v>
      </c>
      <c r="Y52" s="25">
        <v>0.0</v>
      </c>
      <c r="Z52" s="25">
        <v>0.0</v>
      </c>
      <c r="AA52" s="25">
        <v>0.0</v>
      </c>
      <c r="AB52" s="25">
        <v>0.0</v>
      </c>
      <c r="AC52" s="25">
        <v>0.0</v>
      </c>
      <c r="AD52" s="25">
        <v>196.0</v>
      </c>
      <c r="AE52" s="25">
        <v>392.0</v>
      </c>
      <c r="AF52" s="25">
        <v>88.68333333333332</v>
      </c>
      <c r="AG52" s="25">
        <v>170.0</v>
      </c>
      <c r="AH52" s="25">
        <v>0.0</v>
      </c>
      <c r="AI52" s="25">
        <v>56.0</v>
      </c>
      <c r="AJ52" s="25">
        <v>40.0</v>
      </c>
      <c r="AK52" s="25">
        <v>0.0</v>
      </c>
      <c r="AL52" s="25">
        <v>0.0</v>
      </c>
      <c r="AM52" s="25">
        <v>0.0</v>
      </c>
      <c r="AN52" s="25">
        <v>0.0</v>
      </c>
      <c r="AO52" s="21">
        <f t="shared" si="1"/>
        <v>2129.683333</v>
      </c>
      <c r="AP52" s="22">
        <v>2129.6833333333334</v>
      </c>
      <c r="AQ52" s="22">
        <v>2129.6833333333334</v>
      </c>
      <c r="AR52" s="23">
        <f t="shared" si="2"/>
        <v>0</v>
      </c>
      <c r="AS52" s="23">
        <f t="shared" si="3"/>
        <v>0</v>
      </c>
    </row>
    <row r="53" ht="15.75" customHeight="1">
      <c r="A53" s="16">
        <v>49.0</v>
      </c>
      <c r="B53" s="27" t="s">
        <v>112</v>
      </c>
      <c r="C53" s="27" t="s">
        <v>94</v>
      </c>
      <c r="D53" s="17" t="s">
        <v>95</v>
      </c>
      <c r="E53" s="18">
        <v>1600.0</v>
      </c>
      <c r="F53" s="25">
        <v>11455.0</v>
      </c>
      <c r="G53" s="25">
        <v>0.0</v>
      </c>
      <c r="H53" s="25">
        <v>0.0</v>
      </c>
      <c r="I53" s="26">
        <v>3210.4299999999985</v>
      </c>
      <c r="J53" s="25">
        <v>0.0</v>
      </c>
      <c r="K53" s="25">
        <v>0.0</v>
      </c>
      <c r="L53" s="25">
        <v>0.0</v>
      </c>
      <c r="M53" s="25">
        <v>0.0</v>
      </c>
      <c r="N53" s="25">
        <v>0.0</v>
      </c>
      <c r="O53" s="25">
        <v>0.0</v>
      </c>
      <c r="P53" s="25">
        <v>0.0</v>
      </c>
      <c r="Q53" s="25">
        <v>322.95</v>
      </c>
      <c r="R53" s="25">
        <v>4435.0</v>
      </c>
      <c r="S53" s="25">
        <v>3100.0</v>
      </c>
      <c r="T53" s="25">
        <v>0.0</v>
      </c>
      <c r="U53" s="25">
        <v>0.0</v>
      </c>
      <c r="V53" s="25">
        <v>0.0</v>
      </c>
      <c r="W53" s="25">
        <v>0.0</v>
      </c>
      <c r="X53" s="25">
        <v>0.0</v>
      </c>
      <c r="Y53" s="25">
        <v>100.0</v>
      </c>
      <c r="Z53" s="25">
        <v>0.0</v>
      </c>
      <c r="AA53" s="25">
        <v>0.0</v>
      </c>
      <c r="AB53" s="25">
        <v>0.0</v>
      </c>
      <c r="AC53" s="25">
        <v>0.0</v>
      </c>
      <c r="AD53" s="25">
        <v>196.0</v>
      </c>
      <c r="AE53" s="25">
        <v>392.0</v>
      </c>
      <c r="AF53" s="25">
        <v>115.31</v>
      </c>
      <c r="AG53" s="25">
        <v>110.0</v>
      </c>
      <c r="AH53" s="25">
        <v>60.0</v>
      </c>
      <c r="AI53" s="25">
        <v>256.0</v>
      </c>
      <c r="AJ53" s="25">
        <v>30.0</v>
      </c>
      <c r="AK53" s="25">
        <v>0.0</v>
      </c>
      <c r="AL53" s="25">
        <v>0.0</v>
      </c>
      <c r="AM53" s="25">
        <v>0.0</v>
      </c>
      <c r="AN53" s="25">
        <v>100.0</v>
      </c>
      <c r="AO53" s="21">
        <f t="shared" si="1"/>
        <v>23882.69</v>
      </c>
      <c r="AP53" s="22">
        <v>23882.69</v>
      </c>
      <c r="AQ53" s="22">
        <v>23882.69</v>
      </c>
      <c r="AR53" s="23">
        <f t="shared" si="2"/>
        <v>0</v>
      </c>
      <c r="AS53" s="23">
        <f t="shared" si="3"/>
        <v>0</v>
      </c>
    </row>
    <row r="54" ht="15.75" customHeight="1">
      <c r="A54" s="16">
        <v>50.0</v>
      </c>
      <c r="B54" s="27" t="s">
        <v>113</v>
      </c>
      <c r="C54" s="27" t="s">
        <v>94</v>
      </c>
      <c r="D54" s="17" t="s">
        <v>97</v>
      </c>
      <c r="E54" s="18">
        <v>1600.0</v>
      </c>
      <c r="F54" s="25">
        <v>0.0</v>
      </c>
      <c r="G54" s="25">
        <v>0.0</v>
      </c>
      <c r="H54" s="25">
        <v>0.0</v>
      </c>
      <c r="I54" s="26">
        <v>108.34</v>
      </c>
      <c r="J54" s="25">
        <v>0.0</v>
      </c>
      <c r="K54" s="25">
        <v>0.0</v>
      </c>
      <c r="L54" s="25">
        <v>0.0</v>
      </c>
      <c r="M54" s="25">
        <v>0.0</v>
      </c>
      <c r="N54" s="25">
        <v>0.0</v>
      </c>
      <c r="O54" s="25">
        <v>0.0</v>
      </c>
      <c r="P54" s="25">
        <v>0.0</v>
      </c>
      <c r="Q54" s="25">
        <v>46.66</v>
      </c>
      <c r="R54" s="25">
        <v>0.0</v>
      </c>
      <c r="S54" s="25">
        <v>0.0</v>
      </c>
      <c r="T54" s="25">
        <v>0.0</v>
      </c>
      <c r="U54" s="25">
        <v>0.0</v>
      </c>
      <c r="V54" s="25">
        <v>0.0</v>
      </c>
      <c r="W54" s="25">
        <v>0.0</v>
      </c>
      <c r="X54" s="25">
        <v>0.0</v>
      </c>
      <c r="Y54" s="25">
        <v>0.0</v>
      </c>
      <c r="Z54" s="25">
        <v>0.0</v>
      </c>
      <c r="AA54" s="25">
        <v>0.0</v>
      </c>
      <c r="AB54" s="25">
        <v>0.0</v>
      </c>
      <c r="AC54" s="25">
        <v>0.0</v>
      </c>
      <c r="AD54" s="25">
        <v>336.0</v>
      </c>
      <c r="AE54" s="25">
        <v>672.0</v>
      </c>
      <c r="AF54" s="25">
        <v>49.440000000000005</v>
      </c>
      <c r="AG54" s="25">
        <v>60.0</v>
      </c>
      <c r="AH54" s="25">
        <v>0.0</v>
      </c>
      <c r="AI54" s="25">
        <v>56.0</v>
      </c>
      <c r="AJ54" s="25">
        <v>0.0</v>
      </c>
      <c r="AK54" s="25">
        <v>0.0</v>
      </c>
      <c r="AL54" s="25">
        <v>0.0</v>
      </c>
      <c r="AM54" s="25">
        <v>0.0</v>
      </c>
      <c r="AN54" s="25">
        <v>286.0</v>
      </c>
      <c r="AO54" s="21">
        <f t="shared" si="1"/>
        <v>1614.44</v>
      </c>
      <c r="AP54" s="22">
        <v>1614.44</v>
      </c>
      <c r="AQ54" s="22">
        <v>1614.44</v>
      </c>
      <c r="AR54" s="23">
        <f t="shared" si="2"/>
        <v>0</v>
      </c>
      <c r="AS54" s="23">
        <f t="shared" si="3"/>
        <v>0</v>
      </c>
    </row>
    <row r="55" ht="15.75" customHeight="1">
      <c r="A55" s="16">
        <v>51.0</v>
      </c>
      <c r="B55" s="27" t="s">
        <v>114</v>
      </c>
      <c r="C55" s="27" t="s">
        <v>94</v>
      </c>
      <c r="D55" s="17" t="s">
        <v>95</v>
      </c>
      <c r="E55" s="18">
        <v>1600.0</v>
      </c>
      <c r="F55" s="25">
        <v>450.0</v>
      </c>
      <c r="G55" s="25">
        <v>0.0</v>
      </c>
      <c r="H55" s="25">
        <v>0.0</v>
      </c>
      <c r="I55" s="26">
        <v>446.5800000000001</v>
      </c>
      <c r="J55" s="25">
        <v>0.0</v>
      </c>
      <c r="K55" s="25">
        <v>0.0</v>
      </c>
      <c r="L55" s="25">
        <v>0.0</v>
      </c>
      <c r="M55" s="25">
        <v>0.0</v>
      </c>
      <c r="N55" s="25">
        <v>25.0</v>
      </c>
      <c r="O55" s="25">
        <v>0.0</v>
      </c>
      <c r="P55" s="25">
        <v>0.0</v>
      </c>
      <c r="Q55" s="25">
        <v>116.61999999999998</v>
      </c>
      <c r="R55" s="25">
        <v>550.0</v>
      </c>
      <c r="S55" s="25">
        <v>187.5</v>
      </c>
      <c r="T55" s="25">
        <v>0.0</v>
      </c>
      <c r="U55" s="25">
        <v>0.0</v>
      </c>
      <c r="V55" s="25">
        <v>0.0</v>
      </c>
      <c r="W55" s="25">
        <v>0.0</v>
      </c>
      <c r="X55" s="25">
        <v>0.0</v>
      </c>
      <c r="Y55" s="25">
        <v>0.0</v>
      </c>
      <c r="Z55" s="25">
        <v>0.0</v>
      </c>
      <c r="AA55" s="25">
        <v>0.0</v>
      </c>
      <c r="AB55" s="25">
        <v>0.0</v>
      </c>
      <c r="AC55" s="25">
        <v>20.0</v>
      </c>
      <c r="AD55" s="25">
        <v>196.0</v>
      </c>
      <c r="AE55" s="25">
        <v>392.0</v>
      </c>
      <c r="AF55" s="25">
        <v>348.88</v>
      </c>
      <c r="AG55" s="25">
        <v>310.0</v>
      </c>
      <c r="AH55" s="25">
        <v>240.0</v>
      </c>
      <c r="AI55" s="25">
        <v>56.0</v>
      </c>
      <c r="AJ55" s="25">
        <v>120.0</v>
      </c>
      <c r="AK55" s="25">
        <v>0.0</v>
      </c>
      <c r="AL55" s="25">
        <v>200.0</v>
      </c>
      <c r="AM55" s="25">
        <v>0.0</v>
      </c>
      <c r="AN55" s="25">
        <v>100.0</v>
      </c>
      <c r="AO55" s="21">
        <f t="shared" si="1"/>
        <v>3758.58</v>
      </c>
      <c r="AP55" s="22">
        <v>3758.58</v>
      </c>
      <c r="AQ55" s="22">
        <v>3758.58</v>
      </c>
      <c r="AR55" s="23">
        <f t="shared" si="2"/>
        <v>0</v>
      </c>
      <c r="AS55" s="23">
        <f t="shared" si="3"/>
        <v>0</v>
      </c>
    </row>
    <row r="56" ht="15.75" customHeight="1">
      <c r="A56" s="16">
        <v>52.0</v>
      </c>
      <c r="B56" s="30" t="s">
        <v>115</v>
      </c>
      <c r="C56" s="27" t="s">
        <v>94</v>
      </c>
      <c r="D56" s="17" t="s">
        <v>97</v>
      </c>
      <c r="E56" s="18">
        <v>1600.0</v>
      </c>
      <c r="F56" s="25">
        <v>0.0</v>
      </c>
      <c r="G56" s="25">
        <v>0.0</v>
      </c>
      <c r="H56" s="25">
        <v>0.0</v>
      </c>
      <c r="I56" s="26">
        <v>0.0</v>
      </c>
      <c r="J56" s="25">
        <v>0.0</v>
      </c>
      <c r="K56" s="25">
        <v>0.0</v>
      </c>
      <c r="L56" s="25">
        <v>0.0</v>
      </c>
      <c r="M56" s="25">
        <v>0.0</v>
      </c>
      <c r="N56" s="25">
        <v>0.0</v>
      </c>
      <c r="O56" s="25">
        <v>0.0</v>
      </c>
      <c r="P56" s="25">
        <v>0.0</v>
      </c>
      <c r="Q56" s="25">
        <v>0.0</v>
      </c>
      <c r="R56" s="25">
        <v>0.0</v>
      </c>
      <c r="S56" s="25">
        <v>13.33</v>
      </c>
      <c r="T56" s="25">
        <v>0.0</v>
      </c>
      <c r="U56" s="25">
        <v>0.0</v>
      </c>
      <c r="V56" s="25">
        <v>0.0</v>
      </c>
      <c r="W56" s="25">
        <v>0.0</v>
      </c>
      <c r="X56" s="25">
        <v>20.0</v>
      </c>
      <c r="Y56" s="25">
        <v>0.0</v>
      </c>
      <c r="Z56" s="25">
        <v>0.0</v>
      </c>
      <c r="AA56" s="25">
        <v>0.0</v>
      </c>
      <c r="AB56" s="25">
        <v>0.0</v>
      </c>
      <c r="AC56" s="25">
        <v>0.0</v>
      </c>
      <c r="AD56" s="25">
        <v>336.0</v>
      </c>
      <c r="AE56" s="25">
        <v>672.0</v>
      </c>
      <c r="AF56" s="25">
        <v>145.96</v>
      </c>
      <c r="AG56" s="25">
        <v>60.0</v>
      </c>
      <c r="AH56" s="25">
        <v>0.0</v>
      </c>
      <c r="AI56" s="25">
        <v>346.0</v>
      </c>
      <c r="AJ56" s="25">
        <v>20.0</v>
      </c>
      <c r="AK56" s="25">
        <v>0.0</v>
      </c>
      <c r="AL56" s="25">
        <v>0.0</v>
      </c>
      <c r="AM56" s="25">
        <v>0.0</v>
      </c>
      <c r="AN56" s="25">
        <v>100.0</v>
      </c>
      <c r="AO56" s="21">
        <f t="shared" si="1"/>
        <v>1713.29</v>
      </c>
      <c r="AP56" s="22">
        <v>1713.29</v>
      </c>
      <c r="AQ56" s="22">
        <v>1713.29</v>
      </c>
      <c r="AR56" s="23">
        <f t="shared" si="2"/>
        <v>0</v>
      </c>
      <c r="AS56" s="23">
        <f t="shared" si="3"/>
        <v>0</v>
      </c>
    </row>
    <row r="57" ht="15.75" customHeight="1">
      <c r="A57" s="16">
        <v>53.0</v>
      </c>
      <c r="B57" s="27" t="s">
        <v>116</v>
      </c>
      <c r="C57" s="27" t="s">
        <v>94</v>
      </c>
      <c r="D57" s="17" t="s">
        <v>97</v>
      </c>
      <c r="E57" s="18">
        <v>1600.0</v>
      </c>
      <c r="F57" s="25">
        <v>0.0</v>
      </c>
      <c r="G57" s="25">
        <v>0.0</v>
      </c>
      <c r="H57" s="25">
        <v>0.0</v>
      </c>
      <c r="I57" s="26">
        <v>0.0</v>
      </c>
      <c r="J57" s="25">
        <v>0.0</v>
      </c>
      <c r="K57" s="25">
        <v>0.0</v>
      </c>
      <c r="L57" s="25">
        <v>0.0</v>
      </c>
      <c r="M57" s="25">
        <v>0.0</v>
      </c>
      <c r="N57" s="25">
        <v>0.0</v>
      </c>
      <c r="O57" s="25">
        <v>1276.0</v>
      </c>
      <c r="P57" s="25">
        <v>0.0</v>
      </c>
      <c r="Q57" s="25">
        <v>3.33</v>
      </c>
      <c r="R57" s="25">
        <v>0.0</v>
      </c>
      <c r="S57" s="25">
        <v>0.0</v>
      </c>
      <c r="T57" s="25">
        <v>0.0</v>
      </c>
      <c r="U57" s="25">
        <v>0.0</v>
      </c>
      <c r="V57" s="25">
        <v>0.0</v>
      </c>
      <c r="W57" s="25">
        <v>0.0</v>
      </c>
      <c r="X57" s="25">
        <v>0.0</v>
      </c>
      <c r="Y57" s="25">
        <v>0.0</v>
      </c>
      <c r="Z57" s="25">
        <v>0.0</v>
      </c>
      <c r="AA57" s="25">
        <v>0.0</v>
      </c>
      <c r="AB57" s="25">
        <v>0.0</v>
      </c>
      <c r="AC57" s="25">
        <v>0.0</v>
      </c>
      <c r="AD57" s="25">
        <v>280.0</v>
      </c>
      <c r="AE57" s="25">
        <v>560.0</v>
      </c>
      <c r="AF57" s="25">
        <v>124.77499999999999</v>
      </c>
      <c r="AG57" s="25">
        <v>10.0</v>
      </c>
      <c r="AH57" s="25">
        <v>0.0</v>
      </c>
      <c r="AI57" s="25">
        <v>56.0</v>
      </c>
      <c r="AJ57" s="25">
        <v>0.0</v>
      </c>
      <c r="AK57" s="25">
        <v>0.0</v>
      </c>
      <c r="AL57" s="25">
        <v>0.0</v>
      </c>
      <c r="AM57" s="25">
        <v>0.0</v>
      </c>
      <c r="AN57" s="25">
        <v>0.0</v>
      </c>
      <c r="AO57" s="21">
        <f t="shared" si="1"/>
        <v>2310.105</v>
      </c>
      <c r="AP57" s="22">
        <v>2310.105</v>
      </c>
      <c r="AQ57" s="22">
        <v>2310.105</v>
      </c>
      <c r="AR57" s="23">
        <f t="shared" si="2"/>
        <v>0</v>
      </c>
      <c r="AS57" s="23">
        <f t="shared" si="3"/>
        <v>0</v>
      </c>
    </row>
    <row r="58" ht="15.75" customHeight="1">
      <c r="A58" s="16">
        <v>54.0</v>
      </c>
      <c r="B58" s="27" t="s">
        <v>117</v>
      </c>
      <c r="C58" s="27" t="s">
        <v>94</v>
      </c>
      <c r="D58" s="17" t="s">
        <v>97</v>
      </c>
      <c r="E58" s="18">
        <v>1600.0</v>
      </c>
      <c r="F58" s="25">
        <v>0.0</v>
      </c>
      <c r="G58" s="25">
        <v>0.0</v>
      </c>
      <c r="H58" s="25">
        <v>0.0</v>
      </c>
      <c r="I58" s="26">
        <v>0.0</v>
      </c>
      <c r="J58" s="25">
        <v>0.0</v>
      </c>
      <c r="K58" s="25">
        <v>0.0</v>
      </c>
      <c r="L58" s="25">
        <v>0.0</v>
      </c>
      <c r="M58" s="25">
        <v>0.0</v>
      </c>
      <c r="N58" s="25">
        <v>0.0</v>
      </c>
      <c r="O58" s="25">
        <v>0.0</v>
      </c>
      <c r="P58" s="25">
        <v>0.0</v>
      </c>
      <c r="Q58" s="25">
        <v>0.0</v>
      </c>
      <c r="R58" s="25">
        <v>0.0</v>
      </c>
      <c r="S58" s="25">
        <v>0.0</v>
      </c>
      <c r="T58" s="25">
        <v>0.0</v>
      </c>
      <c r="U58" s="25">
        <v>0.0</v>
      </c>
      <c r="V58" s="25">
        <v>0.0</v>
      </c>
      <c r="W58" s="25">
        <v>0.0</v>
      </c>
      <c r="X58" s="25">
        <v>0.0</v>
      </c>
      <c r="Y58" s="25">
        <v>0.0</v>
      </c>
      <c r="Z58" s="25">
        <v>0.0</v>
      </c>
      <c r="AA58" s="25">
        <v>0.0</v>
      </c>
      <c r="AB58" s="25">
        <v>0.0</v>
      </c>
      <c r="AC58" s="25">
        <v>0.0</v>
      </c>
      <c r="AD58" s="25">
        <v>336.0</v>
      </c>
      <c r="AE58" s="25">
        <v>672.0</v>
      </c>
      <c r="AF58" s="25">
        <v>99.42999999999998</v>
      </c>
      <c r="AG58" s="25">
        <v>270.0</v>
      </c>
      <c r="AH58" s="25">
        <v>30.0</v>
      </c>
      <c r="AI58" s="25">
        <v>0.0</v>
      </c>
      <c r="AJ58" s="25">
        <v>182.0</v>
      </c>
      <c r="AK58" s="25">
        <v>0.0</v>
      </c>
      <c r="AL58" s="25">
        <v>0.0</v>
      </c>
      <c r="AM58" s="25">
        <v>0.0</v>
      </c>
      <c r="AN58" s="25">
        <v>56.0</v>
      </c>
      <c r="AO58" s="21">
        <f t="shared" si="1"/>
        <v>1645.43</v>
      </c>
      <c r="AP58" s="22">
        <v>1645.43</v>
      </c>
      <c r="AQ58" s="22">
        <v>1645.43</v>
      </c>
      <c r="AR58" s="23">
        <f t="shared" si="2"/>
        <v>0</v>
      </c>
      <c r="AS58" s="23">
        <f t="shared" si="3"/>
        <v>0</v>
      </c>
    </row>
    <row r="59" ht="15.75" customHeight="1">
      <c r="A59" s="16">
        <v>55.0</v>
      </c>
      <c r="B59" s="27" t="s">
        <v>118</v>
      </c>
      <c r="C59" s="27" t="s">
        <v>94</v>
      </c>
      <c r="D59" s="17" t="s">
        <v>97</v>
      </c>
      <c r="E59" s="18">
        <v>1600.0</v>
      </c>
      <c r="F59" s="25">
        <v>250.0</v>
      </c>
      <c r="G59" s="25">
        <v>0.0</v>
      </c>
      <c r="H59" s="25">
        <v>0.0</v>
      </c>
      <c r="I59" s="26">
        <v>291.6666666666667</v>
      </c>
      <c r="J59" s="25">
        <v>0.0</v>
      </c>
      <c r="K59" s="25">
        <v>0.0</v>
      </c>
      <c r="L59" s="25">
        <v>0.0</v>
      </c>
      <c r="M59" s="25">
        <v>0.0</v>
      </c>
      <c r="N59" s="25">
        <v>200.0</v>
      </c>
      <c r="O59" s="25">
        <v>0.0</v>
      </c>
      <c r="P59" s="25">
        <v>0.0</v>
      </c>
      <c r="Q59" s="25">
        <v>709.9999999999998</v>
      </c>
      <c r="R59" s="25">
        <v>400.0</v>
      </c>
      <c r="S59" s="25">
        <v>22.5</v>
      </c>
      <c r="T59" s="25">
        <v>0.0</v>
      </c>
      <c r="U59" s="25">
        <v>0.0</v>
      </c>
      <c r="V59" s="25">
        <v>0.0</v>
      </c>
      <c r="W59" s="25">
        <v>0.0</v>
      </c>
      <c r="X59" s="25">
        <v>0.0</v>
      </c>
      <c r="Y59" s="25">
        <v>0.0</v>
      </c>
      <c r="Z59" s="25">
        <v>0.0</v>
      </c>
      <c r="AA59" s="25">
        <v>0.0</v>
      </c>
      <c r="AB59" s="25">
        <v>0.0</v>
      </c>
      <c r="AC59" s="25">
        <v>30.0</v>
      </c>
      <c r="AD59" s="25">
        <v>280.0</v>
      </c>
      <c r="AE59" s="25">
        <v>560.0</v>
      </c>
      <c r="AF59" s="25">
        <v>233.72500000000005</v>
      </c>
      <c r="AG59" s="25">
        <v>60.0</v>
      </c>
      <c r="AH59" s="25">
        <v>0.0</v>
      </c>
      <c r="AI59" s="25">
        <v>592.0</v>
      </c>
      <c r="AJ59" s="25">
        <v>0.0</v>
      </c>
      <c r="AK59" s="25">
        <v>0.0</v>
      </c>
      <c r="AL59" s="25">
        <v>200.0</v>
      </c>
      <c r="AM59" s="25">
        <v>0.0</v>
      </c>
      <c r="AN59" s="25">
        <v>180.0</v>
      </c>
      <c r="AO59" s="21">
        <f t="shared" si="1"/>
        <v>4009.891667</v>
      </c>
      <c r="AP59" s="22">
        <v>4009.8916666666664</v>
      </c>
      <c r="AQ59" s="22">
        <v>4009.8916666666664</v>
      </c>
      <c r="AR59" s="23">
        <f t="shared" si="2"/>
        <v>0</v>
      </c>
      <c r="AS59" s="23">
        <f t="shared" si="3"/>
        <v>0</v>
      </c>
    </row>
    <row r="60" ht="15.75" customHeight="1">
      <c r="A60" s="16">
        <v>56.0</v>
      </c>
      <c r="B60" s="27" t="s">
        <v>119</v>
      </c>
      <c r="C60" s="27" t="s">
        <v>94</v>
      </c>
      <c r="D60" s="17" t="s">
        <v>110</v>
      </c>
      <c r="E60" s="18">
        <v>1600.0</v>
      </c>
      <c r="F60" s="25">
        <v>0.0</v>
      </c>
      <c r="G60" s="25">
        <v>0.0</v>
      </c>
      <c r="H60" s="25">
        <v>0.0</v>
      </c>
      <c r="I60" s="26">
        <v>37.5</v>
      </c>
      <c r="J60" s="25">
        <v>0.0</v>
      </c>
      <c r="K60" s="25">
        <v>0.0</v>
      </c>
      <c r="L60" s="25">
        <v>0.0</v>
      </c>
      <c r="M60" s="25">
        <v>0.0</v>
      </c>
      <c r="N60" s="25">
        <v>0.0</v>
      </c>
      <c r="O60" s="25">
        <v>0.0</v>
      </c>
      <c r="P60" s="25">
        <v>0.0</v>
      </c>
      <c r="Q60" s="25">
        <v>15.0</v>
      </c>
      <c r="R60" s="25">
        <v>550.0</v>
      </c>
      <c r="S60" s="25">
        <v>0.0</v>
      </c>
      <c r="T60" s="25">
        <v>0.0</v>
      </c>
      <c r="U60" s="25">
        <v>0.0</v>
      </c>
      <c r="V60" s="25">
        <v>0.0</v>
      </c>
      <c r="W60" s="25">
        <v>0.0</v>
      </c>
      <c r="X60" s="25">
        <v>0.0</v>
      </c>
      <c r="Y60" s="25">
        <v>100.0</v>
      </c>
      <c r="Z60" s="25">
        <v>0.0</v>
      </c>
      <c r="AA60" s="25">
        <v>0.0</v>
      </c>
      <c r="AB60" s="25">
        <v>0.0</v>
      </c>
      <c r="AC60" s="25">
        <v>0.0</v>
      </c>
      <c r="AD60" s="25">
        <v>224.0</v>
      </c>
      <c r="AE60" s="25">
        <v>448.0</v>
      </c>
      <c r="AF60" s="25">
        <v>172.33333333333331</v>
      </c>
      <c r="AG60" s="25">
        <v>280.0</v>
      </c>
      <c r="AH60" s="25">
        <v>280.0</v>
      </c>
      <c r="AI60" s="25">
        <v>992.0</v>
      </c>
      <c r="AJ60" s="25">
        <v>0.0</v>
      </c>
      <c r="AK60" s="25">
        <v>0.0</v>
      </c>
      <c r="AL60" s="25">
        <v>0.0</v>
      </c>
      <c r="AM60" s="25">
        <v>0.0</v>
      </c>
      <c r="AN60" s="25">
        <v>100.0</v>
      </c>
      <c r="AO60" s="21">
        <f t="shared" si="1"/>
        <v>3198.833333</v>
      </c>
      <c r="AP60" s="22">
        <v>3198.833333333333</v>
      </c>
      <c r="AQ60" s="22">
        <v>3198.833333333333</v>
      </c>
      <c r="AR60" s="23">
        <f t="shared" si="2"/>
        <v>0</v>
      </c>
      <c r="AS60" s="23">
        <f t="shared" si="3"/>
        <v>0</v>
      </c>
    </row>
    <row r="61" ht="15.75" customHeight="1">
      <c r="A61" s="16">
        <v>57.0</v>
      </c>
      <c r="B61" s="27" t="s">
        <v>120</v>
      </c>
      <c r="C61" s="27" t="s">
        <v>94</v>
      </c>
      <c r="D61" s="17" t="s">
        <v>110</v>
      </c>
      <c r="E61" s="18">
        <v>1600.0</v>
      </c>
      <c r="F61" s="25">
        <v>0.0</v>
      </c>
      <c r="G61" s="25">
        <v>0.0</v>
      </c>
      <c r="H61" s="25">
        <v>0.0</v>
      </c>
      <c r="I61" s="26">
        <v>0.0</v>
      </c>
      <c r="J61" s="25">
        <v>0.0</v>
      </c>
      <c r="K61" s="25">
        <v>0.0</v>
      </c>
      <c r="L61" s="25">
        <v>0.0</v>
      </c>
      <c r="M61" s="25">
        <v>0.0</v>
      </c>
      <c r="N61" s="25">
        <v>0.0</v>
      </c>
      <c r="O61" s="25">
        <v>0.0</v>
      </c>
      <c r="P61" s="25">
        <v>0.0</v>
      </c>
      <c r="Q61" s="25">
        <v>0.0</v>
      </c>
      <c r="R61" s="25">
        <v>0.0</v>
      </c>
      <c r="S61" s="25">
        <v>40.0</v>
      </c>
      <c r="T61" s="25">
        <v>0.0</v>
      </c>
      <c r="U61" s="25">
        <v>0.0</v>
      </c>
      <c r="V61" s="25">
        <v>0.0</v>
      </c>
      <c r="W61" s="25">
        <v>0.0</v>
      </c>
      <c r="X61" s="25">
        <v>80.0</v>
      </c>
      <c r="Y61" s="25">
        <v>100.0</v>
      </c>
      <c r="Z61" s="25">
        <v>0.0</v>
      </c>
      <c r="AA61" s="25">
        <v>0.0</v>
      </c>
      <c r="AB61" s="25">
        <v>0.0</v>
      </c>
      <c r="AC61" s="25">
        <v>0.0</v>
      </c>
      <c r="AD61" s="25">
        <v>378.0</v>
      </c>
      <c r="AE61" s="25">
        <v>756.0</v>
      </c>
      <c r="AF61" s="25">
        <v>112.92999999999999</v>
      </c>
      <c r="AG61" s="25">
        <v>90.0</v>
      </c>
      <c r="AH61" s="25">
        <v>0.0</v>
      </c>
      <c r="AI61" s="25">
        <v>0.0</v>
      </c>
      <c r="AJ61" s="25">
        <v>0.0</v>
      </c>
      <c r="AK61" s="25">
        <v>100.0</v>
      </c>
      <c r="AL61" s="25">
        <v>0.0</v>
      </c>
      <c r="AM61" s="25">
        <v>0.0</v>
      </c>
      <c r="AN61" s="25">
        <v>32.0</v>
      </c>
      <c r="AO61" s="21">
        <f t="shared" si="1"/>
        <v>1688.93</v>
      </c>
      <c r="AP61" s="22">
        <v>1688.93</v>
      </c>
      <c r="AQ61" s="22">
        <v>1688.93</v>
      </c>
      <c r="AR61" s="23">
        <f t="shared" si="2"/>
        <v>0</v>
      </c>
      <c r="AS61" s="23">
        <f t="shared" si="3"/>
        <v>0</v>
      </c>
    </row>
    <row r="62" ht="15.75" customHeight="1">
      <c r="A62" s="16">
        <v>58.0</v>
      </c>
      <c r="B62" s="27" t="s">
        <v>121</v>
      </c>
      <c r="C62" s="27" t="s">
        <v>94</v>
      </c>
      <c r="D62" s="17" t="s">
        <v>95</v>
      </c>
      <c r="E62" s="18">
        <v>1600.0</v>
      </c>
      <c r="F62" s="25">
        <v>917.0</v>
      </c>
      <c r="G62" s="25">
        <v>0.0</v>
      </c>
      <c r="H62" s="25">
        <v>0.0</v>
      </c>
      <c r="I62" s="26">
        <v>1000.2547619047617</v>
      </c>
      <c r="J62" s="25">
        <v>0.0</v>
      </c>
      <c r="K62" s="25">
        <v>0.0</v>
      </c>
      <c r="L62" s="25">
        <v>0.0</v>
      </c>
      <c r="M62" s="25">
        <v>0.0</v>
      </c>
      <c r="N62" s="25">
        <v>0.0</v>
      </c>
      <c r="O62" s="25">
        <v>344.0</v>
      </c>
      <c r="P62" s="25">
        <v>0.0</v>
      </c>
      <c r="Q62" s="25">
        <v>310.7738095238096</v>
      </c>
      <c r="R62" s="25">
        <v>560.0</v>
      </c>
      <c r="S62" s="25">
        <v>475.0</v>
      </c>
      <c r="T62" s="25">
        <v>0.0</v>
      </c>
      <c r="U62" s="25">
        <v>0.0</v>
      </c>
      <c r="V62" s="25">
        <v>0.0</v>
      </c>
      <c r="W62" s="25">
        <v>0.0</v>
      </c>
      <c r="X62" s="25">
        <v>0.0</v>
      </c>
      <c r="Y62" s="25">
        <v>250.0</v>
      </c>
      <c r="Z62" s="25">
        <v>0.0</v>
      </c>
      <c r="AA62" s="25">
        <v>0.0</v>
      </c>
      <c r="AB62" s="25">
        <v>100.0</v>
      </c>
      <c r="AC62" s="25">
        <v>0.0</v>
      </c>
      <c r="AD62" s="25">
        <v>196.0</v>
      </c>
      <c r="AE62" s="25">
        <v>392.0</v>
      </c>
      <c r="AF62" s="25">
        <v>156.33333333333331</v>
      </c>
      <c r="AG62" s="25">
        <v>60.0</v>
      </c>
      <c r="AH62" s="25">
        <v>140.0</v>
      </c>
      <c r="AI62" s="25">
        <v>456.0</v>
      </c>
      <c r="AJ62" s="25">
        <v>0.0</v>
      </c>
      <c r="AK62" s="25">
        <v>0.0</v>
      </c>
      <c r="AL62" s="25">
        <v>0.0</v>
      </c>
      <c r="AM62" s="25">
        <v>0.0</v>
      </c>
      <c r="AN62" s="25">
        <v>16.0</v>
      </c>
      <c r="AO62" s="21">
        <f t="shared" si="1"/>
        <v>5373.361905</v>
      </c>
      <c r="AP62" s="22">
        <v>5373.361904761904</v>
      </c>
      <c r="AQ62" s="22">
        <v>5373.361904761904</v>
      </c>
      <c r="AR62" s="23">
        <f t="shared" si="2"/>
        <v>0</v>
      </c>
      <c r="AS62" s="23">
        <f t="shared" si="3"/>
        <v>0</v>
      </c>
    </row>
    <row r="63" ht="15.75" customHeight="1">
      <c r="A63" s="16">
        <v>59.0</v>
      </c>
      <c r="B63" s="27" t="s">
        <v>122</v>
      </c>
      <c r="C63" s="27" t="s">
        <v>94</v>
      </c>
      <c r="D63" s="17" t="s">
        <v>110</v>
      </c>
      <c r="E63" s="18">
        <v>1600.0</v>
      </c>
      <c r="F63" s="25">
        <v>0.0</v>
      </c>
      <c r="G63" s="25">
        <v>0.0</v>
      </c>
      <c r="H63" s="25">
        <v>0.0</v>
      </c>
      <c r="I63" s="26">
        <v>0.0</v>
      </c>
      <c r="J63" s="25">
        <v>0.0</v>
      </c>
      <c r="K63" s="25">
        <v>0.0</v>
      </c>
      <c r="L63" s="25">
        <v>0.0</v>
      </c>
      <c r="M63" s="25">
        <v>0.0</v>
      </c>
      <c r="N63" s="25">
        <v>100.0</v>
      </c>
      <c r="O63" s="25">
        <v>0.0</v>
      </c>
      <c r="P63" s="25">
        <v>0.0</v>
      </c>
      <c r="Q63" s="25">
        <v>20.0</v>
      </c>
      <c r="R63" s="25">
        <v>100.0</v>
      </c>
      <c r="S63" s="25">
        <v>10.0</v>
      </c>
      <c r="T63" s="25">
        <v>0.0</v>
      </c>
      <c r="U63" s="25">
        <v>0.0</v>
      </c>
      <c r="V63" s="25">
        <v>0.0</v>
      </c>
      <c r="W63" s="25">
        <v>0.0</v>
      </c>
      <c r="X63" s="25">
        <v>0.0</v>
      </c>
      <c r="Y63" s="25">
        <v>100.0</v>
      </c>
      <c r="Z63" s="25">
        <v>0.0</v>
      </c>
      <c r="AA63" s="25">
        <v>0.0</v>
      </c>
      <c r="AB63" s="25">
        <v>0.0</v>
      </c>
      <c r="AC63" s="25">
        <v>0.0</v>
      </c>
      <c r="AD63" s="25">
        <v>294.0</v>
      </c>
      <c r="AE63" s="25">
        <v>588.0</v>
      </c>
      <c r="AF63" s="25">
        <v>70.64</v>
      </c>
      <c r="AG63" s="25">
        <v>190.0</v>
      </c>
      <c r="AH63" s="25">
        <v>90.0</v>
      </c>
      <c r="AI63" s="25">
        <v>200.0</v>
      </c>
      <c r="AJ63" s="25">
        <v>0.0</v>
      </c>
      <c r="AK63" s="25">
        <v>0.0</v>
      </c>
      <c r="AL63" s="25">
        <v>0.0</v>
      </c>
      <c r="AM63" s="25">
        <v>0.0</v>
      </c>
      <c r="AN63" s="25">
        <v>30.0</v>
      </c>
      <c r="AO63" s="21">
        <f t="shared" si="1"/>
        <v>1792.64</v>
      </c>
      <c r="AP63" s="22">
        <v>1792.64</v>
      </c>
      <c r="AQ63" s="22">
        <v>1792.64</v>
      </c>
      <c r="AR63" s="23">
        <f t="shared" si="2"/>
        <v>0</v>
      </c>
      <c r="AS63" s="23">
        <f t="shared" si="3"/>
        <v>0</v>
      </c>
    </row>
    <row r="64" ht="15.75" customHeight="1">
      <c r="A64" s="16">
        <v>60.0</v>
      </c>
      <c r="B64" s="24" t="s">
        <v>123</v>
      </c>
      <c r="C64" s="27" t="s">
        <v>94</v>
      </c>
      <c r="D64" s="17" t="s">
        <v>124</v>
      </c>
      <c r="E64" s="18">
        <v>1600.0</v>
      </c>
      <c r="F64" s="25">
        <v>0.0</v>
      </c>
      <c r="G64" s="25">
        <v>0.0</v>
      </c>
      <c r="H64" s="25">
        <v>0.0</v>
      </c>
      <c r="I64" s="26">
        <v>0.0</v>
      </c>
      <c r="J64" s="25">
        <v>0.0</v>
      </c>
      <c r="K64" s="25">
        <v>0.0</v>
      </c>
      <c r="L64" s="25">
        <v>0.0</v>
      </c>
      <c r="M64" s="25">
        <v>0.0</v>
      </c>
      <c r="N64" s="25">
        <v>0.0</v>
      </c>
      <c r="O64" s="25">
        <v>450.0</v>
      </c>
      <c r="P64" s="25">
        <v>0.0</v>
      </c>
      <c r="Q64" s="25">
        <v>0.0</v>
      </c>
      <c r="R64" s="25">
        <v>0.0</v>
      </c>
      <c r="S64" s="25">
        <v>0.0</v>
      </c>
      <c r="T64" s="25">
        <v>0.0</v>
      </c>
      <c r="U64" s="25">
        <v>0.0</v>
      </c>
      <c r="V64" s="25">
        <v>0.0</v>
      </c>
      <c r="W64" s="25">
        <v>0.0</v>
      </c>
      <c r="X64" s="25">
        <v>0.0</v>
      </c>
      <c r="Y64" s="25">
        <v>0.0</v>
      </c>
      <c r="Z64" s="25">
        <v>0.0</v>
      </c>
      <c r="AA64" s="25">
        <v>0.0</v>
      </c>
      <c r="AB64" s="25">
        <v>0.0</v>
      </c>
      <c r="AC64" s="25">
        <v>0.0</v>
      </c>
      <c r="AD64" s="25">
        <v>364.0</v>
      </c>
      <c r="AE64" s="25">
        <v>728.0</v>
      </c>
      <c r="AF64" s="25">
        <v>93.15000000000002</v>
      </c>
      <c r="AG64" s="25">
        <v>20.0</v>
      </c>
      <c r="AH64" s="25">
        <v>0.0</v>
      </c>
      <c r="AI64" s="25">
        <v>290.0</v>
      </c>
      <c r="AJ64" s="25">
        <v>56.0</v>
      </c>
      <c r="AK64" s="25">
        <v>0.0</v>
      </c>
      <c r="AL64" s="25">
        <v>0.0</v>
      </c>
      <c r="AM64" s="25">
        <v>0.0</v>
      </c>
      <c r="AN64" s="25">
        <v>58.0</v>
      </c>
      <c r="AO64" s="21">
        <f t="shared" si="1"/>
        <v>2059.15</v>
      </c>
      <c r="AP64" s="22">
        <v>2059.15</v>
      </c>
      <c r="AQ64" s="22">
        <v>2059.15</v>
      </c>
      <c r="AR64" s="23">
        <f t="shared" si="2"/>
        <v>0</v>
      </c>
      <c r="AS64" s="23">
        <f t="shared" si="3"/>
        <v>0</v>
      </c>
    </row>
    <row r="65" ht="15.75" customHeight="1">
      <c r="A65" s="16">
        <v>61.0</v>
      </c>
      <c r="B65" s="27" t="s">
        <v>125</v>
      </c>
      <c r="C65" s="27" t="s">
        <v>94</v>
      </c>
      <c r="D65" s="17" t="s">
        <v>95</v>
      </c>
      <c r="E65" s="18">
        <v>1600.0</v>
      </c>
      <c r="F65" s="25">
        <v>0.0</v>
      </c>
      <c r="G65" s="25">
        <v>0.0</v>
      </c>
      <c r="H65" s="25">
        <v>0.0</v>
      </c>
      <c r="I65" s="26">
        <v>100.0</v>
      </c>
      <c r="J65" s="25">
        <v>0.0</v>
      </c>
      <c r="K65" s="25">
        <v>0.0</v>
      </c>
      <c r="L65" s="25">
        <v>0.0</v>
      </c>
      <c r="M65" s="25">
        <v>0.0</v>
      </c>
      <c r="N65" s="25">
        <v>433.33</v>
      </c>
      <c r="O65" s="25">
        <v>184.0</v>
      </c>
      <c r="P65" s="25">
        <v>0.0</v>
      </c>
      <c r="Q65" s="25">
        <v>90.0</v>
      </c>
      <c r="R65" s="25">
        <v>500.0</v>
      </c>
      <c r="S65" s="25">
        <v>0.0</v>
      </c>
      <c r="T65" s="25">
        <v>0.0</v>
      </c>
      <c r="U65" s="25">
        <v>0.0</v>
      </c>
      <c r="V65" s="25">
        <v>0.0</v>
      </c>
      <c r="W65" s="25">
        <v>0.0</v>
      </c>
      <c r="X65" s="25">
        <v>0.0</v>
      </c>
      <c r="Y65" s="25">
        <v>200.0</v>
      </c>
      <c r="Z65" s="25">
        <v>0.0</v>
      </c>
      <c r="AA65" s="25">
        <v>0.0</v>
      </c>
      <c r="AB65" s="25">
        <v>0.0</v>
      </c>
      <c r="AC65" s="25">
        <v>50.0</v>
      </c>
      <c r="AD65" s="25">
        <v>252.0</v>
      </c>
      <c r="AE65" s="25">
        <v>504.0</v>
      </c>
      <c r="AF65" s="25">
        <v>358.41</v>
      </c>
      <c r="AG65" s="25">
        <v>590.0</v>
      </c>
      <c r="AH65" s="25">
        <v>340.0</v>
      </c>
      <c r="AI65" s="25">
        <v>792.0</v>
      </c>
      <c r="AJ65" s="25">
        <v>225.0</v>
      </c>
      <c r="AK65" s="25">
        <v>300.0</v>
      </c>
      <c r="AL65" s="25">
        <v>150.0</v>
      </c>
      <c r="AM65" s="25">
        <v>0.0</v>
      </c>
      <c r="AN65" s="25">
        <v>346.0</v>
      </c>
      <c r="AO65" s="21">
        <f t="shared" si="1"/>
        <v>5414.74</v>
      </c>
      <c r="AP65" s="22">
        <v>5414.74</v>
      </c>
      <c r="AQ65" s="22">
        <v>5414.74</v>
      </c>
      <c r="AR65" s="23">
        <f t="shared" si="2"/>
        <v>0</v>
      </c>
      <c r="AS65" s="23">
        <f t="shared" si="3"/>
        <v>0</v>
      </c>
    </row>
    <row r="66" ht="15.75" customHeight="1">
      <c r="A66" s="16">
        <v>62.0</v>
      </c>
      <c r="B66" s="27" t="s">
        <v>126</v>
      </c>
      <c r="C66" s="27" t="s">
        <v>94</v>
      </c>
      <c r="D66" s="17" t="s">
        <v>97</v>
      </c>
      <c r="E66" s="18">
        <v>1600.0</v>
      </c>
      <c r="F66" s="25">
        <v>0.0</v>
      </c>
      <c r="G66" s="25">
        <v>0.0</v>
      </c>
      <c r="H66" s="25">
        <v>0.0</v>
      </c>
      <c r="I66" s="26">
        <v>75.0</v>
      </c>
      <c r="J66" s="25">
        <v>0.0</v>
      </c>
      <c r="K66" s="25">
        <v>0.0</v>
      </c>
      <c r="L66" s="25">
        <v>0.0</v>
      </c>
      <c r="M66" s="25">
        <v>0.0</v>
      </c>
      <c r="N66" s="25">
        <v>150.0</v>
      </c>
      <c r="O66" s="25">
        <v>0.0</v>
      </c>
      <c r="P66" s="25">
        <v>0.0</v>
      </c>
      <c r="Q66" s="25">
        <v>35.0</v>
      </c>
      <c r="R66" s="25">
        <v>0.0</v>
      </c>
      <c r="S66" s="25">
        <v>187.5</v>
      </c>
      <c r="T66" s="25">
        <v>0.0</v>
      </c>
      <c r="U66" s="25">
        <v>0.0</v>
      </c>
      <c r="V66" s="25">
        <v>0.0</v>
      </c>
      <c r="W66" s="25">
        <v>0.0</v>
      </c>
      <c r="X66" s="25">
        <v>0.0</v>
      </c>
      <c r="Y66" s="25">
        <v>0.0</v>
      </c>
      <c r="Z66" s="25">
        <v>0.0</v>
      </c>
      <c r="AA66" s="25">
        <v>0.0</v>
      </c>
      <c r="AB66" s="25">
        <v>0.0</v>
      </c>
      <c r="AC66" s="25">
        <v>0.0</v>
      </c>
      <c r="AD66" s="25">
        <v>280.0</v>
      </c>
      <c r="AE66" s="25">
        <v>560.0</v>
      </c>
      <c r="AF66" s="25">
        <v>242.29166666666663</v>
      </c>
      <c r="AG66" s="25">
        <v>430.0</v>
      </c>
      <c r="AH66" s="25">
        <v>40.0</v>
      </c>
      <c r="AI66" s="25">
        <v>392.0</v>
      </c>
      <c r="AJ66" s="25">
        <v>130.0</v>
      </c>
      <c r="AK66" s="25">
        <v>0.0</v>
      </c>
      <c r="AL66" s="25">
        <v>0.0</v>
      </c>
      <c r="AM66" s="25">
        <v>0.0</v>
      </c>
      <c r="AN66" s="25">
        <v>100.0</v>
      </c>
      <c r="AO66" s="21">
        <f t="shared" si="1"/>
        <v>2621.791667</v>
      </c>
      <c r="AP66" s="22">
        <v>2621.7916666666665</v>
      </c>
      <c r="AQ66" s="22">
        <v>2621.7916666666665</v>
      </c>
      <c r="AR66" s="23">
        <f t="shared" si="2"/>
        <v>0</v>
      </c>
      <c r="AS66" s="23">
        <f t="shared" si="3"/>
        <v>0</v>
      </c>
    </row>
    <row r="67" ht="15.75" customHeight="1">
      <c r="A67" s="16">
        <v>63.0</v>
      </c>
      <c r="B67" s="24" t="s">
        <v>127</v>
      </c>
      <c r="C67" s="27" t="s">
        <v>94</v>
      </c>
      <c r="D67" s="17" t="s">
        <v>97</v>
      </c>
      <c r="E67" s="18">
        <v>1600.0</v>
      </c>
      <c r="F67" s="25">
        <v>0.0</v>
      </c>
      <c r="G67" s="25">
        <v>0.0</v>
      </c>
      <c r="H67" s="25">
        <v>0.0</v>
      </c>
      <c r="I67" s="26">
        <v>75.0</v>
      </c>
      <c r="J67" s="25">
        <v>0.0</v>
      </c>
      <c r="K67" s="25">
        <v>0.0</v>
      </c>
      <c r="L67" s="25">
        <v>0.0</v>
      </c>
      <c r="M67" s="25">
        <v>0.0</v>
      </c>
      <c r="N67" s="25">
        <v>0.0</v>
      </c>
      <c r="O67" s="25">
        <v>0.0</v>
      </c>
      <c r="P67" s="25">
        <v>400.0</v>
      </c>
      <c r="Q67" s="25">
        <v>0.0</v>
      </c>
      <c r="R67" s="25">
        <v>0.0</v>
      </c>
      <c r="S67" s="25">
        <v>0.0</v>
      </c>
      <c r="T67" s="25">
        <v>0.0</v>
      </c>
      <c r="U67" s="25">
        <v>0.0</v>
      </c>
      <c r="V67" s="25">
        <v>0.0</v>
      </c>
      <c r="W67" s="25">
        <v>0.0</v>
      </c>
      <c r="X67" s="25">
        <v>0.0</v>
      </c>
      <c r="Y67" s="25">
        <v>0.0</v>
      </c>
      <c r="Z67" s="25">
        <v>0.0</v>
      </c>
      <c r="AA67" s="25">
        <v>0.0</v>
      </c>
      <c r="AB67" s="25">
        <v>0.0</v>
      </c>
      <c r="AC67" s="25">
        <v>0.0</v>
      </c>
      <c r="AD67" s="25">
        <v>336.0</v>
      </c>
      <c r="AE67" s="25">
        <v>672.0</v>
      </c>
      <c r="AF67" s="25">
        <v>115.4565</v>
      </c>
      <c r="AG67" s="25">
        <v>0.0</v>
      </c>
      <c r="AH67" s="25">
        <v>0.0</v>
      </c>
      <c r="AI67" s="25">
        <v>0.0</v>
      </c>
      <c r="AJ67" s="25">
        <v>16.0</v>
      </c>
      <c r="AK67" s="25">
        <v>0.0</v>
      </c>
      <c r="AL67" s="25">
        <v>0.0</v>
      </c>
      <c r="AM67" s="25">
        <v>0.0</v>
      </c>
      <c r="AN67" s="25">
        <v>0.0</v>
      </c>
      <c r="AO67" s="21">
        <f t="shared" si="1"/>
        <v>1614.4565</v>
      </c>
      <c r="AP67" s="22">
        <v>1614.4565</v>
      </c>
      <c r="AQ67" s="22">
        <v>1614.4565</v>
      </c>
      <c r="AR67" s="23">
        <f t="shared" si="2"/>
        <v>0</v>
      </c>
      <c r="AS67" s="23">
        <f t="shared" si="3"/>
        <v>0</v>
      </c>
    </row>
    <row r="68" ht="15.75" customHeight="1">
      <c r="A68" s="16">
        <v>64.0</v>
      </c>
      <c r="B68" s="27" t="s">
        <v>128</v>
      </c>
      <c r="C68" s="27" t="s">
        <v>94</v>
      </c>
      <c r="D68" s="17" t="s">
        <v>110</v>
      </c>
      <c r="E68" s="18">
        <v>1600.0</v>
      </c>
      <c r="F68" s="25">
        <v>300.0</v>
      </c>
      <c r="G68" s="25">
        <v>0.0</v>
      </c>
      <c r="H68" s="25">
        <v>0.0</v>
      </c>
      <c r="I68" s="26">
        <v>443.3928571428573</v>
      </c>
      <c r="J68" s="25">
        <v>0.0</v>
      </c>
      <c r="K68" s="25">
        <v>0.0</v>
      </c>
      <c r="L68" s="25">
        <v>0.0</v>
      </c>
      <c r="M68" s="25">
        <v>0.0</v>
      </c>
      <c r="N68" s="25">
        <v>53.333333333333336</v>
      </c>
      <c r="O68" s="25">
        <v>949.0</v>
      </c>
      <c r="P68" s="25">
        <v>0.0</v>
      </c>
      <c r="Q68" s="25">
        <v>71.5</v>
      </c>
      <c r="R68" s="25">
        <v>400.0</v>
      </c>
      <c r="S68" s="25">
        <v>20.0</v>
      </c>
      <c r="T68" s="25">
        <v>0.0</v>
      </c>
      <c r="U68" s="25">
        <v>0.0</v>
      </c>
      <c r="V68" s="25">
        <v>0.0</v>
      </c>
      <c r="W68" s="25">
        <v>0.0</v>
      </c>
      <c r="X68" s="25">
        <v>0.0</v>
      </c>
      <c r="Y68" s="25">
        <v>0.0</v>
      </c>
      <c r="Z68" s="25">
        <v>0.0</v>
      </c>
      <c r="AA68" s="25">
        <v>0.0</v>
      </c>
      <c r="AB68" s="25">
        <v>0.0</v>
      </c>
      <c r="AC68" s="25">
        <v>0.0</v>
      </c>
      <c r="AD68" s="25">
        <v>280.0</v>
      </c>
      <c r="AE68" s="25">
        <v>560.0</v>
      </c>
      <c r="AF68" s="25">
        <v>100.23000000000003</v>
      </c>
      <c r="AG68" s="25">
        <v>30.0</v>
      </c>
      <c r="AH68" s="25">
        <v>0.0</v>
      </c>
      <c r="AI68" s="25">
        <v>56.0</v>
      </c>
      <c r="AJ68" s="25">
        <v>20.0</v>
      </c>
      <c r="AK68" s="25">
        <v>0.0</v>
      </c>
      <c r="AL68" s="25">
        <v>0.0</v>
      </c>
      <c r="AM68" s="25">
        <v>472.0</v>
      </c>
      <c r="AN68" s="25">
        <v>0.0</v>
      </c>
      <c r="AO68" s="21">
        <f t="shared" si="1"/>
        <v>3755.45619</v>
      </c>
      <c r="AP68" s="22">
        <v>3755.456190476191</v>
      </c>
      <c r="AQ68" s="22">
        <v>3755.456190476191</v>
      </c>
      <c r="AR68" s="23">
        <f t="shared" si="2"/>
        <v>0</v>
      </c>
      <c r="AS68" s="23">
        <f t="shared" si="3"/>
        <v>0</v>
      </c>
    </row>
    <row r="69" ht="15.75" customHeight="1">
      <c r="A69" s="16">
        <v>65.0</v>
      </c>
      <c r="B69" s="27" t="s">
        <v>129</v>
      </c>
      <c r="C69" s="27" t="s">
        <v>94</v>
      </c>
      <c r="D69" s="17" t="s">
        <v>97</v>
      </c>
      <c r="E69" s="18">
        <v>1600.0</v>
      </c>
      <c r="F69" s="25">
        <v>0.0</v>
      </c>
      <c r="G69" s="25">
        <v>0.0</v>
      </c>
      <c r="H69" s="25">
        <v>0.0</v>
      </c>
      <c r="I69" s="26">
        <v>570.8333333333333</v>
      </c>
      <c r="J69" s="25">
        <v>0.0</v>
      </c>
      <c r="K69" s="25">
        <v>0.0</v>
      </c>
      <c r="L69" s="25">
        <v>0.0</v>
      </c>
      <c r="M69" s="25">
        <v>0.0</v>
      </c>
      <c r="N69" s="25">
        <v>125.0</v>
      </c>
      <c r="O69" s="25">
        <v>0.0</v>
      </c>
      <c r="P69" s="25">
        <v>0.0</v>
      </c>
      <c r="Q69" s="25">
        <v>20.0</v>
      </c>
      <c r="R69" s="25">
        <v>900.0</v>
      </c>
      <c r="S69" s="25">
        <v>112.5</v>
      </c>
      <c r="T69" s="25">
        <v>0.0</v>
      </c>
      <c r="U69" s="25">
        <v>0.0</v>
      </c>
      <c r="V69" s="25">
        <v>0.0</v>
      </c>
      <c r="W69" s="25">
        <v>0.0</v>
      </c>
      <c r="X69" s="25">
        <v>0.0</v>
      </c>
      <c r="Y69" s="25">
        <v>0.0</v>
      </c>
      <c r="Z69" s="25">
        <v>0.0</v>
      </c>
      <c r="AA69" s="25">
        <v>0.0</v>
      </c>
      <c r="AB69" s="25">
        <v>0.0</v>
      </c>
      <c r="AC69" s="25">
        <v>0.0</v>
      </c>
      <c r="AD69" s="25">
        <v>336.0</v>
      </c>
      <c r="AE69" s="25">
        <v>672.0</v>
      </c>
      <c r="AF69" s="25">
        <v>80.0</v>
      </c>
      <c r="AG69" s="25">
        <v>110.0</v>
      </c>
      <c r="AH69" s="25">
        <v>0.0</v>
      </c>
      <c r="AI69" s="25">
        <v>56.0</v>
      </c>
      <c r="AJ69" s="25">
        <v>0.0</v>
      </c>
      <c r="AK69" s="25">
        <v>0.0</v>
      </c>
      <c r="AL69" s="25">
        <v>50.0</v>
      </c>
      <c r="AM69" s="25">
        <v>0.0</v>
      </c>
      <c r="AN69" s="25">
        <v>0.0</v>
      </c>
      <c r="AO69" s="21">
        <f t="shared" si="1"/>
        <v>3032.333333</v>
      </c>
      <c r="AP69" s="22">
        <v>3032.333333333333</v>
      </c>
      <c r="AQ69" s="22">
        <v>3032.333333333333</v>
      </c>
      <c r="AR69" s="23">
        <f t="shared" si="2"/>
        <v>0</v>
      </c>
      <c r="AS69" s="23">
        <f t="shared" si="3"/>
        <v>0</v>
      </c>
    </row>
    <row r="70" ht="15.75" customHeight="1">
      <c r="A70" s="16">
        <v>66.0</v>
      </c>
      <c r="B70" s="27" t="s">
        <v>130</v>
      </c>
      <c r="C70" s="27" t="s">
        <v>94</v>
      </c>
      <c r="D70" s="17" t="s">
        <v>110</v>
      </c>
      <c r="E70" s="18">
        <v>1600.0</v>
      </c>
      <c r="F70" s="25">
        <v>50.0</v>
      </c>
      <c r="G70" s="25">
        <v>0.0</v>
      </c>
      <c r="H70" s="25">
        <v>1000.0</v>
      </c>
      <c r="I70" s="26">
        <v>336.6666666666667</v>
      </c>
      <c r="J70" s="25">
        <v>0.0</v>
      </c>
      <c r="K70" s="25">
        <v>0.0</v>
      </c>
      <c r="L70" s="25">
        <v>0.0</v>
      </c>
      <c r="M70" s="25">
        <v>0.0</v>
      </c>
      <c r="N70" s="25">
        <v>0.0</v>
      </c>
      <c r="O70" s="25">
        <v>0.0</v>
      </c>
      <c r="P70" s="25">
        <v>0.0</v>
      </c>
      <c r="Q70" s="25">
        <v>0.0</v>
      </c>
      <c r="R70" s="25">
        <v>0.0</v>
      </c>
      <c r="S70" s="25">
        <v>0.0</v>
      </c>
      <c r="T70" s="25">
        <v>0.0</v>
      </c>
      <c r="U70" s="25">
        <v>0.0</v>
      </c>
      <c r="V70" s="25">
        <v>0.0</v>
      </c>
      <c r="W70" s="25">
        <v>0.0</v>
      </c>
      <c r="X70" s="25">
        <v>0.0</v>
      </c>
      <c r="Y70" s="25">
        <v>0.0</v>
      </c>
      <c r="Z70" s="25">
        <v>0.0</v>
      </c>
      <c r="AA70" s="25">
        <v>0.0</v>
      </c>
      <c r="AB70" s="25">
        <v>0.0</v>
      </c>
      <c r="AC70" s="25">
        <v>0.0</v>
      </c>
      <c r="AD70" s="25">
        <v>224.0</v>
      </c>
      <c r="AE70" s="25">
        <v>448.0</v>
      </c>
      <c r="AF70" s="25">
        <v>0.0</v>
      </c>
      <c r="AG70" s="25">
        <v>0.0</v>
      </c>
      <c r="AH70" s="25">
        <v>0.0</v>
      </c>
      <c r="AI70" s="25">
        <v>0.0</v>
      </c>
      <c r="AJ70" s="25">
        <v>0.0</v>
      </c>
      <c r="AK70" s="25">
        <v>0.0</v>
      </c>
      <c r="AL70" s="25">
        <v>0.0</v>
      </c>
      <c r="AM70" s="25">
        <v>0.0</v>
      </c>
      <c r="AN70" s="25">
        <v>0.0</v>
      </c>
      <c r="AO70" s="21">
        <f t="shared" si="1"/>
        <v>2058.666667</v>
      </c>
      <c r="AP70" s="22">
        <v>2058.666666666667</v>
      </c>
      <c r="AQ70" s="22">
        <v>2058.666666666667</v>
      </c>
      <c r="AR70" s="23">
        <f t="shared" si="2"/>
        <v>0</v>
      </c>
      <c r="AS70" s="23">
        <f t="shared" si="3"/>
        <v>0</v>
      </c>
    </row>
    <row r="71" ht="15.75" customHeight="1">
      <c r="A71" s="16">
        <v>67.0</v>
      </c>
      <c r="B71" s="27" t="s">
        <v>131</v>
      </c>
      <c r="C71" s="27" t="s">
        <v>94</v>
      </c>
      <c r="D71" s="17" t="s">
        <v>97</v>
      </c>
      <c r="E71" s="18">
        <v>1600.0</v>
      </c>
      <c r="F71" s="25">
        <v>0.0</v>
      </c>
      <c r="G71" s="25">
        <v>0.0</v>
      </c>
      <c r="H71" s="25">
        <v>0.0</v>
      </c>
      <c r="I71" s="26">
        <v>75.0</v>
      </c>
      <c r="J71" s="25">
        <v>0.0</v>
      </c>
      <c r="K71" s="25">
        <v>0.0</v>
      </c>
      <c r="L71" s="25">
        <v>0.0</v>
      </c>
      <c r="M71" s="25">
        <v>0.0</v>
      </c>
      <c r="N71" s="25">
        <v>100.0</v>
      </c>
      <c r="O71" s="25">
        <v>0.0</v>
      </c>
      <c r="P71" s="25">
        <v>0.0</v>
      </c>
      <c r="Q71" s="25">
        <v>40.0</v>
      </c>
      <c r="R71" s="25">
        <v>0.0</v>
      </c>
      <c r="S71" s="25">
        <v>20.0</v>
      </c>
      <c r="T71" s="25">
        <v>0.0</v>
      </c>
      <c r="U71" s="25">
        <v>0.0</v>
      </c>
      <c r="V71" s="25">
        <v>0.0</v>
      </c>
      <c r="W71" s="25">
        <v>0.0</v>
      </c>
      <c r="X71" s="25">
        <v>0.0</v>
      </c>
      <c r="Y71" s="25">
        <v>0.0</v>
      </c>
      <c r="Z71" s="25">
        <v>0.0</v>
      </c>
      <c r="AA71" s="25">
        <v>0.0</v>
      </c>
      <c r="AB71" s="25">
        <v>0.0</v>
      </c>
      <c r="AC71" s="25">
        <v>0.0</v>
      </c>
      <c r="AD71" s="25">
        <v>336.0</v>
      </c>
      <c r="AE71" s="25">
        <v>672.0</v>
      </c>
      <c r="AF71" s="25">
        <v>140.66666666666666</v>
      </c>
      <c r="AG71" s="25">
        <v>220.0</v>
      </c>
      <c r="AH71" s="25">
        <v>350.0</v>
      </c>
      <c r="AI71" s="25">
        <v>56.0</v>
      </c>
      <c r="AJ71" s="25">
        <v>140.0</v>
      </c>
      <c r="AK71" s="25">
        <v>0.0</v>
      </c>
      <c r="AL71" s="25">
        <v>0.0</v>
      </c>
      <c r="AM71" s="25">
        <v>0.0</v>
      </c>
      <c r="AN71" s="25">
        <v>230.0</v>
      </c>
      <c r="AO71" s="21">
        <f t="shared" si="1"/>
        <v>2379.666667</v>
      </c>
      <c r="AP71" s="22">
        <v>2379.666666666667</v>
      </c>
      <c r="AQ71" s="22">
        <v>2379.666666666667</v>
      </c>
      <c r="AR71" s="23">
        <f t="shared" si="2"/>
        <v>0</v>
      </c>
      <c r="AS71" s="23">
        <f t="shared" si="3"/>
        <v>0</v>
      </c>
    </row>
    <row r="72" ht="15.75" customHeight="1">
      <c r="A72" s="16">
        <v>68.0</v>
      </c>
      <c r="B72" s="27" t="s">
        <v>132</v>
      </c>
      <c r="C72" s="27" t="s">
        <v>94</v>
      </c>
      <c r="D72" s="17" t="s">
        <v>97</v>
      </c>
      <c r="E72" s="18">
        <v>1600.0</v>
      </c>
      <c r="F72" s="25">
        <v>0.0</v>
      </c>
      <c r="G72" s="25">
        <v>0.0</v>
      </c>
      <c r="H72" s="25">
        <v>0.0</v>
      </c>
      <c r="I72" s="26">
        <v>0.0</v>
      </c>
      <c r="J72" s="25">
        <v>0.0</v>
      </c>
      <c r="K72" s="25">
        <v>0.0</v>
      </c>
      <c r="L72" s="25">
        <v>0.0</v>
      </c>
      <c r="M72" s="25">
        <v>0.0</v>
      </c>
      <c r="N72" s="25">
        <v>475.0</v>
      </c>
      <c r="O72" s="25">
        <v>122.0</v>
      </c>
      <c r="P72" s="25">
        <v>0.0</v>
      </c>
      <c r="Q72" s="25">
        <v>36.66</v>
      </c>
      <c r="R72" s="25">
        <v>75.0</v>
      </c>
      <c r="S72" s="25">
        <v>245.0</v>
      </c>
      <c r="T72" s="25">
        <v>0.0</v>
      </c>
      <c r="U72" s="25">
        <v>0.0</v>
      </c>
      <c r="V72" s="25">
        <v>0.0</v>
      </c>
      <c r="W72" s="25">
        <v>0.0</v>
      </c>
      <c r="X72" s="25">
        <v>0.0</v>
      </c>
      <c r="Y72" s="25">
        <v>0.0</v>
      </c>
      <c r="Z72" s="25">
        <v>420.0</v>
      </c>
      <c r="AA72" s="25">
        <v>0.0</v>
      </c>
      <c r="AB72" s="25">
        <v>0.0</v>
      </c>
      <c r="AC72" s="25">
        <v>0.0</v>
      </c>
      <c r="AD72" s="25">
        <v>280.0</v>
      </c>
      <c r="AE72" s="25">
        <v>560.0</v>
      </c>
      <c r="AF72" s="25">
        <v>95.48</v>
      </c>
      <c r="AG72" s="25">
        <v>100.0</v>
      </c>
      <c r="AH72" s="25">
        <v>0.0</v>
      </c>
      <c r="AI72" s="25">
        <v>346.0</v>
      </c>
      <c r="AJ72" s="25">
        <v>196.0</v>
      </c>
      <c r="AK72" s="25">
        <v>0.0</v>
      </c>
      <c r="AL72" s="25">
        <v>0.0</v>
      </c>
      <c r="AM72" s="25">
        <v>0.0</v>
      </c>
      <c r="AN72" s="25">
        <v>8.0</v>
      </c>
      <c r="AO72" s="21">
        <f t="shared" si="1"/>
        <v>2959.14</v>
      </c>
      <c r="AP72" s="22">
        <v>2959.14</v>
      </c>
      <c r="AQ72" s="22">
        <v>2959.14</v>
      </c>
      <c r="AR72" s="23">
        <f t="shared" si="2"/>
        <v>0</v>
      </c>
      <c r="AS72" s="23">
        <f t="shared" si="3"/>
        <v>0</v>
      </c>
    </row>
    <row r="73" ht="15.75" customHeight="1">
      <c r="A73" s="16">
        <v>69.0</v>
      </c>
      <c r="B73" s="27" t="s">
        <v>133</v>
      </c>
      <c r="C73" s="27" t="s">
        <v>94</v>
      </c>
      <c r="D73" s="17" t="s">
        <v>97</v>
      </c>
      <c r="E73" s="18">
        <v>1600.0</v>
      </c>
      <c r="F73" s="25">
        <v>0.0</v>
      </c>
      <c r="G73" s="25">
        <v>0.0</v>
      </c>
      <c r="H73" s="25">
        <v>0.0</v>
      </c>
      <c r="I73" s="26">
        <v>0.0</v>
      </c>
      <c r="J73" s="25">
        <v>0.0</v>
      </c>
      <c r="K73" s="25">
        <v>0.0</v>
      </c>
      <c r="L73" s="25">
        <v>0.0</v>
      </c>
      <c r="M73" s="25">
        <v>0.0</v>
      </c>
      <c r="N73" s="25">
        <v>0.0</v>
      </c>
      <c r="O73" s="25">
        <v>450.0</v>
      </c>
      <c r="P73" s="25">
        <v>0.0</v>
      </c>
      <c r="Q73" s="25">
        <v>0.0</v>
      </c>
      <c r="R73" s="25">
        <v>0.0</v>
      </c>
      <c r="S73" s="25">
        <v>20.0</v>
      </c>
      <c r="T73" s="25">
        <v>0.0</v>
      </c>
      <c r="U73" s="25">
        <v>0.0</v>
      </c>
      <c r="V73" s="25">
        <v>0.0</v>
      </c>
      <c r="W73" s="25">
        <v>0.0</v>
      </c>
      <c r="X73" s="25">
        <v>50.0</v>
      </c>
      <c r="Y73" s="25">
        <v>0.0</v>
      </c>
      <c r="Z73" s="25">
        <v>0.0</v>
      </c>
      <c r="AA73" s="25">
        <v>0.0</v>
      </c>
      <c r="AB73" s="25">
        <v>0.0</v>
      </c>
      <c r="AC73" s="25">
        <v>0.0</v>
      </c>
      <c r="AD73" s="25">
        <v>336.0</v>
      </c>
      <c r="AE73" s="25">
        <v>672.0</v>
      </c>
      <c r="AF73" s="25">
        <v>90.42999999999999</v>
      </c>
      <c r="AG73" s="25">
        <v>135.0</v>
      </c>
      <c r="AH73" s="25">
        <v>0.0</v>
      </c>
      <c r="AI73" s="25">
        <v>256.0</v>
      </c>
      <c r="AJ73" s="25">
        <v>26.0</v>
      </c>
      <c r="AK73" s="25">
        <v>0.0</v>
      </c>
      <c r="AL73" s="25">
        <v>50.0</v>
      </c>
      <c r="AM73" s="25">
        <v>0.0</v>
      </c>
      <c r="AN73" s="25">
        <v>104.0</v>
      </c>
      <c r="AO73" s="21">
        <f t="shared" si="1"/>
        <v>2189.43</v>
      </c>
      <c r="AP73" s="22">
        <v>2189.4300000000003</v>
      </c>
      <c r="AQ73" s="22">
        <v>2189.4300000000003</v>
      </c>
      <c r="AR73" s="23">
        <f t="shared" si="2"/>
        <v>0</v>
      </c>
      <c r="AS73" s="23">
        <f t="shared" si="3"/>
        <v>0</v>
      </c>
    </row>
    <row r="74" ht="15.75" customHeight="1">
      <c r="A74" s="16">
        <v>70.0</v>
      </c>
      <c r="B74" s="27" t="s">
        <v>134</v>
      </c>
      <c r="C74" s="27" t="s">
        <v>94</v>
      </c>
      <c r="D74" s="17" t="s">
        <v>97</v>
      </c>
      <c r="E74" s="18">
        <v>1600.0</v>
      </c>
      <c r="F74" s="25">
        <v>0.0</v>
      </c>
      <c r="G74" s="25">
        <v>0.0</v>
      </c>
      <c r="H74" s="25">
        <v>0.0</v>
      </c>
      <c r="I74" s="26">
        <v>0.0</v>
      </c>
      <c r="J74" s="25">
        <v>0.0</v>
      </c>
      <c r="K74" s="25">
        <v>0.0</v>
      </c>
      <c r="L74" s="25">
        <v>0.0</v>
      </c>
      <c r="M74" s="25">
        <v>0.0</v>
      </c>
      <c r="N74" s="25">
        <v>25.0</v>
      </c>
      <c r="O74" s="25">
        <v>0.0</v>
      </c>
      <c r="P74" s="25">
        <v>0.0</v>
      </c>
      <c r="Q74" s="25">
        <v>0.0</v>
      </c>
      <c r="R74" s="25">
        <v>50.0</v>
      </c>
      <c r="S74" s="25">
        <v>70.0</v>
      </c>
      <c r="T74" s="25">
        <v>0.0</v>
      </c>
      <c r="U74" s="25">
        <v>0.0</v>
      </c>
      <c r="V74" s="25">
        <v>0.0</v>
      </c>
      <c r="W74" s="25">
        <v>0.0</v>
      </c>
      <c r="X74" s="25">
        <v>0.0</v>
      </c>
      <c r="Y74" s="25">
        <v>0.0</v>
      </c>
      <c r="Z74" s="25">
        <v>0.0</v>
      </c>
      <c r="AA74" s="25">
        <v>0.0</v>
      </c>
      <c r="AB74" s="25">
        <v>0.0</v>
      </c>
      <c r="AC74" s="25">
        <v>0.0</v>
      </c>
      <c r="AD74" s="25">
        <v>336.0</v>
      </c>
      <c r="AE74" s="25">
        <v>672.0</v>
      </c>
      <c r="AF74" s="25">
        <v>105.35999999999999</v>
      </c>
      <c r="AG74" s="25">
        <v>60.0</v>
      </c>
      <c r="AH74" s="25">
        <v>0.0</v>
      </c>
      <c r="AI74" s="25">
        <v>200.0</v>
      </c>
      <c r="AJ74" s="25">
        <v>60.0</v>
      </c>
      <c r="AK74" s="25">
        <v>0.0</v>
      </c>
      <c r="AL74" s="25">
        <v>0.0</v>
      </c>
      <c r="AM74" s="25">
        <v>0.0</v>
      </c>
      <c r="AN74" s="25">
        <v>24.0</v>
      </c>
      <c r="AO74" s="21">
        <f t="shared" si="1"/>
        <v>1602.36</v>
      </c>
      <c r="AP74" s="22">
        <v>1602.36</v>
      </c>
      <c r="AQ74" s="22">
        <v>1602.36</v>
      </c>
      <c r="AR74" s="23">
        <f t="shared" si="2"/>
        <v>0</v>
      </c>
      <c r="AS74" s="23">
        <f t="shared" si="3"/>
        <v>0</v>
      </c>
    </row>
    <row r="75" ht="15.75" customHeight="1">
      <c r="A75" s="16">
        <v>71.0</v>
      </c>
      <c r="B75" s="27" t="s">
        <v>135</v>
      </c>
      <c r="C75" s="27" t="s">
        <v>94</v>
      </c>
      <c r="D75" s="17" t="s">
        <v>95</v>
      </c>
      <c r="E75" s="18">
        <v>1600.0</v>
      </c>
      <c r="F75" s="25">
        <v>300.0</v>
      </c>
      <c r="G75" s="25">
        <v>0.0</v>
      </c>
      <c r="H75" s="25">
        <v>0.0</v>
      </c>
      <c r="I75" s="26">
        <v>275.0</v>
      </c>
      <c r="J75" s="25">
        <v>0.0</v>
      </c>
      <c r="K75" s="25">
        <v>0.0</v>
      </c>
      <c r="L75" s="25">
        <v>0.0</v>
      </c>
      <c r="M75" s="25">
        <v>0.0</v>
      </c>
      <c r="N75" s="25">
        <v>16.666666666666668</v>
      </c>
      <c r="O75" s="25">
        <v>0.0</v>
      </c>
      <c r="P75" s="25">
        <v>0.0</v>
      </c>
      <c r="Q75" s="25">
        <v>50.0</v>
      </c>
      <c r="R75" s="25">
        <v>150.0</v>
      </c>
      <c r="S75" s="25">
        <v>0.0</v>
      </c>
      <c r="T75" s="25">
        <v>0.0</v>
      </c>
      <c r="U75" s="25">
        <v>0.0</v>
      </c>
      <c r="V75" s="25">
        <v>0.0</v>
      </c>
      <c r="W75" s="25">
        <v>0.0</v>
      </c>
      <c r="X75" s="25">
        <v>0.0</v>
      </c>
      <c r="Y75" s="25">
        <v>0.0</v>
      </c>
      <c r="Z75" s="25">
        <v>0.0</v>
      </c>
      <c r="AA75" s="25">
        <v>0.0</v>
      </c>
      <c r="AB75" s="25">
        <v>0.0</v>
      </c>
      <c r="AC75" s="25">
        <v>0.0</v>
      </c>
      <c r="AD75" s="25">
        <v>252.0</v>
      </c>
      <c r="AE75" s="25">
        <v>504.0</v>
      </c>
      <c r="AF75" s="25">
        <v>247.33333333333331</v>
      </c>
      <c r="AG75" s="25">
        <v>130.0</v>
      </c>
      <c r="AH75" s="25">
        <v>120.0</v>
      </c>
      <c r="AI75" s="25">
        <v>56.0</v>
      </c>
      <c r="AJ75" s="25">
        <v>50.0</v>
      </c>
      <c r="AK75" s="25">
        <v>120.0</v>
      </c>
      <c r="AL75" s="25">
        <v>100.0</v>
      </c>
      <c r="AM75" s="25">
        <v>0.0</v>
      </c>
      <c r="AN75" s="25">
        <v>100.0</v>
      </c>
      <c r="AO75" s="21">
        <f t="shared" si="1"/>
        <v>2471</v>
      </c>
      <c r="AP75" s="22">
        <v>2471.0</v>
      </c>
      <c r="AQ75" s="22">
        <v>2471.0</v>
      </c>
      <c r="AR75" s="23">
        <f t="shared" si="2"/>
        <v>0</v>
      </c>
      <c r="AS75" s="23">
        <f t="shared" si="3"/>
        <v>0</v>
      </c>
    </row>
    <row r="76" ht="15.75" customHeight="1">
      <c r="A76" s="16">
        <v>72.0</v>
      </c>
      <c r="B76" s="27" t="s">
        <v>136</v>
      </c>
      <c r="C76" s="27" t="s">
        <v>94</v>
      </c>
      <c r="D76" s="17" t="s">
        <v>97</v>
      </c>
      <c r="E76" s="18">
        <v>1600.0</v>
      </c>
      <c r="F76" s="25">
        <v>300.0</v>
      </c>
      <c r="G76" s="25">
        <v>0.0</v>
      </c>
      <c r="H76" s="25">
        <v>0.0</v>
      </c>
      <c r="I76" s="26">
        <v>251.66666666666669</v>
      </c>
      <c r="J76" s="25">
        <v>0.0</v>
      </c>
      <c r="K76" s="25">
        <v>0.0</v>
      </c>
      <c r="L76" s="25">
        <v>0.0</v>
      </c>
      <c r="M76" s="25">
        <v>0.0</v>
      </c>
      <c r="N76" s="25">
        <v>16.666666666666668</v>
      </c>
      <c r="O76" s="25">
        <v>0.0</v>
      </c>
      <c r="P76" s="25">
        <v>0.0</v>
      </c>
      <c r="Q76" s="25">
        <v>36.0</v>
      </c>
      <c r="R76" s="25">
        <v>0.0</v>
      </c>
      <c r="S76" s="25">
        <v>0.0</v>
      </c>
      <c r="T76" s="25">
        <v>0.0</v>
      </c>
      <c r="U76" s="25">
        <v>0.0</v>
      </c>
      <c r="V76" s="25">
        <v>0.0</v>
      </c>
      <c r="W76" s="25">
        <v>0.0</v>
      </c>
      <c r="X76" s="25">
        <v>0.0</v>
      </c>
      <c r="Y76" s="25">
        <v>0.0</v>
      </c>
      <c r="Z76" s="25">
        <v>0.0</v>
      </c>
      <c r="AA76" s="25">
        <v>0.0</v>
      </c>
      <c r="AB76" s="25">
        <v>0.0</v>
      </c>
      <c r="AC76" s="25">
        <v>0.0</v>
      </c>
      <c r="AD76" s="25">
        <v>364.0</v>
      </c>
      <c r="AE76" s="25">
        <v>728.0</v>
      </c>
      <c r="AF76" s="25">
        <v>19.375000000000004</v>
      </c>
      <c r="AG76" s="25">
        <v>0.0</v>
      </c>
      <c r="AH76" s="25">
        <v>0.0</v>
      </c>
      <c r="AI76" s="25">
        <v>56.0</v>
      </c>
      <c r="AJ76" s="25">
        <v>0.0</v>
      </c>
      <c r="AK76" s="25">
        <v>0.0</v>
      </c>
      <c r="AL76" s="25">
        <v>0.0</v>
      </c>
      <c r="AM76" s="25">
        <v>0.0</v>
      </c>
      <c r="AN76" s="25">
        <v>180.0</v>
      </c>
      <c r="AO76" s="21">
        <f t="shared" si="1"/>
        <v>1951.708333</v>
      </c>
      <c r="AP76" s="22">
        <v>1951.7083333333335</v>
      </c>
      <c r="AQ76" s="22">
        <v>1951.7083333333335</v>
      </c>
      <c r="AR76" s="23">
        <f t="shared" si="2"/>
        <v>0</v>
      </c>
      <c r="AS76" s="23">
        <f t="shared" si="3"/>
        <v>0</v>
      </c>
    </row>
    <row r="77" ht="15.75" customHeight="1">
      <c r="A77" s="16">
        <v>73.0</v>
      </c>
      <c r="B77" s="27" t="s">
        <v>137</v>
      </c>
      <c r="C77" s="27" t="s">
        <v>94</v>
      </c>
      <c r="D77" s="17" t="s">
        <v>97</v>
      </c>
      <c r="E77" s="18">
        <v>1600.0</v>
      </c>
      <c r="F77" s="25">
        <v>500.0</v>
      </c>
      <c r="G77" s="25">
        <v>0.0</v>
      </c>
      <c r="H77" s="25">
        <v>0.0</v>
      </c>
      <c r="I77" s="26">
        <v>275.54</v>
      </c>
      <c r="J77" s="25">
        <v>0.0</v>
      </c>
      <c r="K77" s="25">
        <v>0.0</v>
      </c>
      <c r="L77" s="25">
        <v>0.0</v>
      </c>
      <c r="M77" s="25">
        <v>0.0</v>
      </c>
      <c r="N77" s="25">
        <v>200.0</v>
      </c>
      <c r="O77" s="25">
        <v>0.0</v>
      </c>
      <c r="P77" s="25">
        <v>0.0</v>
      </c>
      <c r="Q77" s="25">
        <v>16.66</v>
      </c>
      <c r="R77" s="25">
        <v>0.0</v>
      </c>
      <c r="S77" s="25">
        <v>0.0</v>
      </c>
      <c r="T77" s="25">
        <v>0.0</v>
      </c>
      <c r="U77" s="25">
        <v>0.0</v>
      </c>
      <c r="V77" s="25">
        <v>0.0</v>
      </c>
      <c r="W77" s="25">
        <v>0.0</v>
      </c>
      <c r="X77" s="25">
        <v>0.0</v>
      </c>
      <c r="Y77" s="25">
        <v>0.0</v>
      </c>
      <c r="Z77" s="25">
        <v>0.0</v>
      </c>
      <c r="AA77" s="25">
        <v>0.0</v>
      </c>
      <c r="AB77" s="25">
        <v>0.0</v>
      </c>
      <c r="AC77" s="25">
        <v>0.0</v>
      </c>
      <c r="AD77" s="25">
        <v>336.0</v>
      </c>
      <c r="AE77" s="25">
        <v>672.0</v>
      </c>
      <c r="AF77" s="25">
        <v>29.97</v>
      </c>
      <c r="AG77" s="25">
        <v>0.0</v>
      </c>
      <c r="AH77" s="25">
        <v>0.0</v>
      </c>
      <c r="AI77" s="25">
        <v>0.0</v>
      </c>
      <c r="AJ77" s="25">
        <v>0.0</v>
      </c>
      <c r="AK77" s="25">
        <v>0.0</v>
      </c>
      <c r="AL77" s="25">
        <v>0.0</v>
      </c>
      <c r="AM77" s="25">
        <v>0.0</v>
      </c>
      <c r="AN77" s="25">
        <v>0.0</v>
      </c>
      <c r="AO77" s="21">
        <f t="shared" si="1"/>
        <v>2030.17</v>
      </c>
      <c r="AP77" s="22">
        <v>2030.1699999999998</v>
      </c>
      <c r="AQ77" s="22">
        <v>2030.1699999999998</v>
      </c>
      <c r="AR77" s="23">
        <f t="shared" si="2"/>
        <v>0</v>
      </c>
      <c r="AS77" s="23">
        <f t="shared" si="3"/>
        <v>0</v>
      </c>
    </row>
    <row r="78" ht="15.75" customHeight="1">
      <c r="A78" s="16">
        <v>74.0</v>
      </c>
      <c r="B78" s="27" t="s">
        <v>138</v>
      </c>
      <c r="C78" s="27" t="s">
        <v>94</v>
      </c>
      <c r="D78" s="17" t="s">
        <v>97</v>
      </c>
      <c r="E78" s="18">
        <v>1600.0</v>
      </c>
      <c r="F78" s="25">
        <v>675.0</v>
      </c>
      <c r="G78" s="25">
        <v>0.0</v>
      </c>
      <c r="H78" s="25">
        <v>0.0</v>
      </c>
      <c r="I78" s="26">
        <v>0.0</v>
      </c>
      <c r="J78" s="25">
        <v>0.0</v>
      </c>
      <c r="K78" s="25">
        <v>0.0</v>
      </c>
      <c r="L78" s="25">
        <v>0.0</v>
      </c>
      <c r="M78" s="25">
        <v>0.0</v>
      </c>
      <c r="N78" s="25">
        <v>0.0</v>
      </c>
      <c r="O78" s="25">
        <v>0.0</v>
      </c>
      <c r="P78" s="25">
        <v>0.0</v>
      </c>
      <c r="Q78" s="25">
        <v>0.0</v>
      </c>
      <c r="R78" s="25">
        <v>0.0</v>
      </c>
      <c r="S78" s="25">
        <v>0.0</v>
      </c>
      <c r="T78" s="25">
        <v>0.0</v>
      </c>
      <c r="U78" s="25">
        <v>0.0</v>
      </c>
      <c r="V78" s="25">
        <v>0.0</v>
      </c>
      <c r="W78" s="25">
        <v>0.0</v>
      </c>
      <c r="X78" s="25">
        <v>50.0</v>
      </c>
      <c r="Y78" s="25">
        <v>0.0</v>
      </c>
      <c r="Z78" s="25">
        <v>0.0</v>
      </c>
      <c r="AA78" s="25">
        <v>0.0</v>
      </c>
      <c r="AB78" s="25">
        <v>0.0</v>
      </c>
      <c r="AC78" s="25">
        <v>0.0</v>
      </c>
      <c r="AD78" s="25">
        <v>280.0</v>
      </c>
      <c r="AE78" s="25">
        <v>560.0</v>
      </c>
      <c r="AF78" s="25">
        <v>70.0</v>
      </c>
      <c r="AG78" s="25">
        <v>170.0</v>
      </c>
      <c r="AH78" s="25">
        <v>30.0</v>
      </c>
      <c r="AI78" s="25">
        <v>290.0</v>
      </c>
      <c r="AJ78" s="25">
        <v>100.0</v>
      </c>
      <c r="AK78" s="25">
        <v>0.0</v>
      </c>
      <c r="AL78" s="25">
        <v>100.0</v>
      </c>
      <c r="AM78" s="25">
        <v>0.0</v>
      </c>
      <c r="AN78" s="25">
        <v>16.0</v>
      </c>
      <c r="AO78" s="21">
        <f t="shared" si="1"/>
        <v>2341</v>
      </c>
      <c r="AP78" s="22">
        <v>2341.0</v>
      </c>
      <c r="AQ78" s="22">
        <v>2341.0</v>
      </c>
      <c r="AR78" s="23">
        <f t="shared" si="2"/>
        <v>0</v>
      </c>
      <c r="AS78" s="23">
        <f t="shared" si="3"/>
        <v>0</v>
      </c>
    </row>
    <row r="79" ht="15.75" customHeight="1">
      <c r="A79" s="16">
        <v>75.0</v>
      </c>
      <c r="B79" s="27" t="s">
        <v>139</v>
      </c>
      <c r="C79" s="27" t="s">
        <v>94</v>
      </c>
      <c r="D79" s="17" t="s">
        <v>110</v>
      </c>
      <c r="E79" s="18">
        <v>1600.0</v>
      </c>
      <c r="F79" s="25">
        <v>350.0</v>
      </c>
      <c r="G79" s="25">
        <v>0.0</v>
      </c>
      <c r="H79" s="25">
        <v>0.0</v>
      </c>
      <c r="I79" s="26">
        <v>361.9047619047618</v>
      </c>
      <c r="J79" s="25">
        <v>0.0</v>
      </c>
      <c r="K79" s="25">
        <v>0.0</v>
      </c>
      <c r="L79" s="25">
        <v>0.0</v>
      </c>
      <c r="M79" s="25">
        <v>0.0</v>
      </c>
      <c r="N79" s="25">
        <v>0.0</v>
      </c>
      <c r="O79" s="25">
        <v>0.0</v>
      </c>
      <c r="P79" s="25">
        <v>0.0</v>
      </c>
      <c r="Q79" s="25">
        <v>89.88095238095238</v>
      </c>
      <c r="R79" s="25">
        <v>100.0</v>
      </c>
      <c r="S79" s="25">
        <v>0.0</v>
      </c>
      <c r="T79" s="25">
        <v>0.0</v>
      </c>
      <c r="U79" s="25">
        <v>0.0</v>
      </c>
      <c r="V79" s="25">
        <v>0.0</v>
      </c>
      <c r="W79" s="25">
        <v>0.0</v>
      </c>
      <c r="X79" s="25">
        <v>0.0</v>
      </c>
      <c r="Y79" s="25">
        <v>0.0</v>
      </c>
      <c r="Z79" s="25">
        <v>0.0</v>
      </c>
      <c r="AA79" s="25">
        <v>0.0</v>
      </c>
      <c r="AB79" s="25">
        <v>0.0</v>
      </c>
      <c r="AC79" s="25">
        <v>0.0</v>
      </c>
      <c r="AD79" s="25">
        <v>224.0</v>
      </c>
      <c r="AE79" s="25">
        <v>448.0</v>
      </c>
      <c r="AF79" s="25">
        <v>161.00000000000003</v>
      </c>
      <c r="AG79" s="25">
        <v>120.0</v>
      </c>
      <c r="AH79" s="25">
        <v>30.0</v>
      </c>
      <c r="AI79" s="25">
        <v>56.0</v>
      </c>
      <c r="AJ79" s="25">
        <v>40.0</v>
      </c>
      <c r="AK79" s="25">
        <v>0.0</v>
      </c>
      <c r="AL79" s="25">
        <v>0.0</v>
      </c>
      <c r="AM79" s="25">
        <v>0.0</v>
      </c>
      <c r="AN79" s="25">
        <v>0.0</v>
      </c>
      <c r="AO79" s="21">
        <f t="shared" si="1"/>
        <v>1980.785714</v>
      </c>
      <c r="AP79" s="22">
        <v>1980.7857142857142</v>
      </c>
      <c r="AQ79" s="22">
        <v>1980.7857142857142</v>
      </c>
      <c r="AR79" s="23">
        <f t="shared" si="2"/>
        <v>0</v>
      </c>
      <c r="AS79" s="23">
        <f t="shared" si="3"/>
        <v>0</v>
      </c>
    </row>
    <row r="80" ht="15.75" customHeight="1">
      <c r="A80" s="16">
        <v>76.0</v>
      </c>
      <c r="B80" s="27" t="s">
        <v>140</v>
      </c>
      <c r="C80" s="27" t="s">
        <v>94</v>
      </c>
      <c r="D80" s="17" t="s">
        <v>95</v>
      </c>
      <c r="E80" s="18">
        <v>1600.0</v>
      </c>
      <c r="F80" s="25">
        <v>0.0</v>
      </c>
      <c r="G80" s="25">
        <v>0.0</v>
      </c>
      <c r="H80" s="25">
        <v>0.0</v>
      </c>
      <c r="I80" s="26">
        <v>290.47</v>
      </c>
      <c r="J80" s="25">
        <v>0.0</v>
      </c>
      <c r="K80" s="25">
        <v>0.0</v>
      </c>
      <c r="L80" s="25">
        <v>0.0</v>
      </c>
      <c r="M80" s="25">
        <v>0.0</v>
      </c>
      <c r="N80" s="25">
        <v>100.0</v>
      </c>
      <c r="O80" s="25">
        <v>0.0</v>
      </c>
      <c r="P80" s="25">
        <v>0.0</v>
      </c>
      <c r="Q80" s="25">
        <v>64.97999999999999</v>
      </c>
      <c r="R80" s="25">
        <v>200.0</v>
      </c>
      <c r="S80" s="25">
        <v>0.0</v>
      </c>
      <c r="T80" s="25">
        <v>0.0</v>
      </c>
      <c r="U80" s="25">
        <v>0.0</v>
      </c>
      <c r="V80" s="25">
        <v>0.0</v>
      </c>
      <c r="W80" s="25">
        <v>0.0</v>
      </c>
      <c r="X80" s="25">
        <v>0.0</v>
      </c>
      <c r="Y80" s="25">
        <v>0.0</v>
      </c>
      <c r="Z80" s="25">
        <v>0.0</v>
      </c>
      <c r="AA80" s="25">
        <v>0.0</v>
      </c>
      <c r="AB80" s="25">
        <v>0.0</v>
      </c>
      <c r="AC80" s="25">
        <v>0.0</v>
      </c>
      <c r="AD80" s="25">
        <v>252.0</v>
      </c>
      <c r="AE80" s="25">
        <v>504.0</v>
      </c>
      <c r="AF80" s="25">
        <v>311.18</v>
      </c>
      <c r="AG80" s="25">
        <v>220.0</v>
      </c>
      <c r="AH80" s="25">
        <v>260.0</v>
      </c>
      <c r="AI80" s="25">
        <v>256.0</v>
      </c>
      <c r="AJ80" s="25">
        <v>60.0</v>
      </c>
      <c r="AK80" s="25">
        <v>0.0</v>
      </c>
      <c r="AL80" s="25">
        <v>0.0</v>
      </c>
      <c r="AM80" s="25">
        <v>312.0</v>
      </c>
      <c r="AN80" s="25">
        <v>0.0</v>
      </c>
      <c r="AO80" s="21">
        <f t="shared" si="1"/>
        <v>2830.63</v>
      </c>
      <c r="AP80" s="22">
        <v>2830.63</v>
      </c>
      <c r="AQ80" s="22">
        <v>2830.63</v>
      </c>
      <c r="AR80" s="23">
        <f t="shared" si="2"/>
        <v>0</v>
      </c>
      <c r="AS80" s="23">
        <f t="shared" si="3"/>
        <v>0</v>
      </c>
    </row>
    <row r="81" ht="15.75" customHeight="1">
      <c r="A81" s="16">
        <v>77.0</v>
      </c>
      <c r="B81" s="24" t="s">
        <v>141</v>
      </c>
      <c r="C81" s="27" t="s">
        <v>94</v>
      </c>
      <c r="D81" s="17" t="s">
        <v>97</v>
      </c>
      <c r="E81" s="18">
        <v>1600.0</v>
      </c>
      <c r="F81" s="25">
        <v>0.0</v>
      </c>
      <c r="G81" s="25">
        <v>0.0</v>
      </c>
      <c r="H81" s="25">
        <v>0.0</v>
      </c>
      <c r="I81" s="26">
        <v>0.0</v>
      </c>
      <c r="J81" s="25">
        <v>0.0</v>
      </c>
      <c r="K81" s="25">
        <v>0.0</v>
      </c>
      <c r="L81" s="25">
        <v>0.0</v>
      </c>
      <c r="M81" s="25">
        <v>0.0</v>
      </c>
      <c r="N81" s="25">
        <v>0.0</v>
      </c>
      <c r="O81" s="25">
        <v>0.0</v>
      </c>
      <c r="P81" s="25">
        <v>0.0</v>
      </c>
      <c r="Q81" s="25">
        <v>0.0</v>
      </c>
      <c r="R81" s="25">
        <v>0.0</v>
      </c>
      <c r="S81" s="25">
        <v>0.0</v>
      </c>
      <c r="T81" s="25">
        <v>0.0</v>
      </c>
      <c r="U81" s="25">
        <v>0.0</v>
      </c>
      <c r="V81" s="25">
        <v>0.0</v>
      </c>
      <c r="W81" s="25">
        <v>0.0</v>
      </c>
      <c r="X81" s="25">
        <v>50.0</v>
      </c>
      <c r="Y81" s="25">
        <v>0.0</v>
      </c>
      <c r="Z81" s="25">
        <v>0.0</v>
      </c>
      <c r="AA81" s="25">
        <v>0.0</v>
      </c>
      <c r="AB81" s="25">
        <v>0.0</v>
      </c>
      <c r="AC81" s="25">
        <v>0.0</v>
      </c>
      <c r="AD81" s="25">
        <v>336.0</v>
      </c>
      <c r="AE81" s="25">
        <v>672.0</v>
      </c>
      <c r="AF81" s="25">
        <v>69.99</v>
      </c>
      <c r="AG81" s="25">
        <v>60.0</v>
      </c>
      <c r="AH81" s="25">
        <v>0.0</v>
      </c>
      <c r="AI81" s="25">
        <v>56.0</v>
      </c>
      <c r="AJ81" s="25">
        <v>64.0</v>
      </c>
      <c r="AK81" s="25">
        <v>0.0</v>
      </c>
      <c r="AL81" s="25">
        <v>50.0</v>
      </c>
      <c r="AM81" s="25">
        <v>0.0</v>
      </c>
      <c r="AN81" s="25">
        <v>244.0</v>
      </c>
      <c r="AO81" s="21">
        <f t="shared" si="1"/>
        <v>1601.99</v>
      </c>
      <c r="AP81" s="22">
        <v>1601.99</v>
      </c>
      <c r="AQ81" s="22">
        <v>1601.99</v>
      </c>
      <c r="AR81" s="23">
        <f t="shared" si="2"/>
        <v>0</v>
      </c>
      <c r="AS81" s="23">
        <f t="shared" si="3"/>
        <v>0</v>
      </c>
    </row>
    <row r="82" ht="15.75" customHeight="1">
      <c r="A82" s="16">
        <v>78.0</v>
      </c>
      <c r="B82" s="27" t="s">
        <v>142</v>
      </c>
      <c r="C82" s="27" t="s">
        <v>94</v>
      </c>
      <c r="D82" s="17" t="s">
        <v>95</v>
      </c>
      <c r="E82" s="18">
        <v>1600.0</v>
      </c>
      <c r="F82" s="25">
        <v>0.0</v>
      </c>
      <c r="G82" s="25">
        <v>0.0</v>
      </c>
      <c r="H82" s="25">
        <v>0.0</v>
      </c>
      <c r="I82" s="26">
        <v>24.547163362952837</v>
      </c>
      <c r="J82" s="25">
        <v>0.0</v>
      </c>
      <c r="K82" s="25">
        <v>0.0</v>
      </c>
      <c r="L82" s="25">
        <v>0.0</v>
      </c>
      <c r="M82" s="25">
        <v>0.0</v>
      </c>
      <c r="N82" s="25">
        <v>0.0</v>
      </c>
      <c r="O82" s="25">
        <v>0.0</v>
      </c>
      <c r="P82" s="25">
        <v>0.0</v>
      </c>
      <c r="Q82" s="25">
        <v>0.0</v>
      </c>
      <c r="R82" s="25">
        <v>0.0</v>
      </c>
      <c r="S82" s="25">
        <v>410.0</v>
      </c>
      <c r="T82" s="25">
        <v>0.0</v>
      </c>
      <c r="U82" s="25">
        <v>0.0</v>
      </c>
      <c r="V82" s="25">
        <v>50.0</v>
      </c>
      <c r="W82" s="25">
        <v>0.0</v>
      </c>
      <c r="X82" s="25">
        <v>0.0</v>
      </c>
      <c r="Y82" s="25">
        <v>0.0</v>
      </c>
      <c r="Z82" s="25">
        <v>0.0</v>
      </c>
      <c r="AA82" s="25">
        <v>0.0</v>
      </c>
      <c r="AB82" s="25">
        <v>0.0</v>
      </c>
      <c r="AC82" s="25">
        <v>0.0</v>
      </c>
      <c r="AD82" s="25">
        <v>308.0</v>
      </c>
      <c r="AE82" s="25">
        <v>616.0</v>
      </c>
      <c r="AF82" s="25">
        <v>109.99999999999997</v>
      </c>
      <c r="AG82" s="25">
        <v>10.0</v>
      </c>
      <c r="AH82" s="25">
        <v>20.0</v>
      </c>
      <c r="AI82" s="25">
        <v>56.0</v>
      </c>
      <c r="AJ82" s="25">
        <v>0.0</v>
      </c>
      <c r="AK82" s="25">
        <v>0.0</v>
      </c>
      <c r="AL82" s="25">
        <v>100.0</v>
      </c>
      <c r="AM82" s="25">
        <v>0.0</v>
      </c>
      <c r="AN82" s="25">
        <v>108.0</v>
      </c>
      <c r="AO82" s="21">
        <f t="shared" si="1"/>
        <v>1812.547163</v>
      </c>
      <c r="AP82" s="22">
        <v>1812.547163362953</v>
      </c>
      <c r="AQ82" s="22">
        <v>1812.547163362953</v>
      </c>
      <c r="AR82" s="23">
        <f t="shared" si="2"/>
        <v>0</v>
      </c>
      <c r="AS82" s="23">
        <f t="shared" si="3"/>
        <v>0</v>
      </c>
    </row>
    <row r="83" ht="15.75" customHeight="1">
      <c r="A83" s="16">
        <v>79.0</v>
      </c>
      <c r="B83" s="27" t="s">
        <v>143</v>
      </c>
      <c r="C83" s="27" t="s">
        <v>94</v>
      </c>
      <c r="D83" s="17" t="s">
        <v>103</v>
      </c>
      <c r="E83" s="18">
        <v>1600.0</v>
      </c>
      <c r="F83" s="25">
        <v>435.0</v>
      </c>
      <c r="G83" s="25">
        <v>0.0</v>
      </c>
      <c r="H83" s="25">
        <v>0.0</v>
      </c>
      <c r="I83" s="26">
        <v>0.0</v>
      </c>
      <c r="J83" s="25">
        <v>0.0</v>
      </c>
      <c r="K83" s="25">
        <v>0.0</v>
      </c>
      <c r="L83" s="25">
        <v>0.0</v>
      </c>
      <c r="M83" s="25">
        <v>0.0</v>
      </c>
      <c r="N83" s="25">
        <v>0.0</v>
      </c>
      <c r="O83" s="25">
        <v>0.0</v>
      </c>
      <c r="P83" s="25">
        <v>0.0</v>
      </c>
      <c r="Q83" s="25">
        <v>240.0</v>
      </c>
      <c r="R83" s="25">
        <v>0.0</v>
      </c>
      <c r="S83" s="25">
        <v>80.0</v>
      </c>
      <c r="T83" s="25">
        <v>0.0</v>
      </c>
      <c r="U83" s="25">
        <v>0.0</v>
      </c>
      <c r="V83" s="25">
        <v>0.0</v>
      </c>
      <c r="W83" s="25">
        <v>0.0</v>
      </c>
      <c r="X83" s="25">
        <v>0.0</v>
      </c>
      <c r="Y83" s="25">
        <v>0.0</v>
      </c>
      <c r="Z83" s="25">
        <v>0.0</v>
      </c>
      <c r="AA83" s="25">
        <v>0.0</v>
      </c>
      <c r="AB83" s="25">
        <v>0.0</v>
      </c>
      <c r="AC83" s="25">
        <v>0.0</v>
      </c>
      <c r="AD83" s="25">
        <v>336.0</v>
      </c>
      <c r="AE83" s="25">
        <v>672.0</v>
      </c>
      <c r="AF83" s="25">
        <v>165.58</v>
      </c>
      <c r="AG83" s="25">
        <v>0.0</v>
      </c>
      <c r="AH83" s="25">
        <v>0.0</v>
      </c>
      <c r="AI83" s="25">
        <v>56.0</v>
      </c>
      <c r="AJ83" s="25">
        <v>0.0</v>
      </c>
      <c r="AK83" s="25">
        <v>0.0</v>
      </c>
      <c r="AL83" s="25">
        <v>0.0</v>
      </c>
      <c r="AM83" s="25">
        <v>0.0</v>
      </c>
      <c r="AN83" s="25">
        <v>100.0</v>
      </c>
      <c r="AO83" s="21">
        <f t="shared" si="1"/>
        <v>2084.58</v>
      </c>
      <c r="AP83" s="22">
        <v>2084.58</v>
      </c>
      <c r="AQ83" s="22">
        <v>2084.58</v>
      </c>
      <c r="AR83" s="23">
        <f t="shared" si="2"/>
        <v>0</v>
      </c>
      <c r="AS83" s="23">
        <f t="shared" si="3"/>
        <v>0</v>
      </c>
    </row>
    <row r="84" ht="15.75" customHeight="1">
      <c r="A84" s="16">
        <v>80.0</v>
      </c>
      <c r="B84" s="27" t="s">
        <v>144</v>
      </c>
      <c r="C84" s="27" t="s">
        <v>94</v>
      </c>
      <c r="D84" s="17" t="s">
        <v>95</v>
      </c>
      <c r="E84" s="18">
        <v>1600.0</v>
      </c>
      <c r="F84" s="25">
        <v>5084.166666666666</v>
      </c>
      <c r="G84" s="25">
        <v>0.0</v>
      </c>
      <c r="H84" s="25">
        <v>0.0</v>
      </c>
      <c r="I84" s="26">
        <v>184.92063492063494</v>
      </c>
      <c r="J84" s="25">
        <v>0.0</v>
      </c>
      <c r="K84" s="25">
        <v>400.0</v>
      </c>
      <c r="L84" s="25">
        <v>0.0</v>
      </c>
      <c r="M84" s="25">
        <v>0.0</v>
      </c>
      <c r="N84" s="25">
        <v>700.0</v>
      </c>
      <c r="O84" s="25">
        <v>17.333333333333332</v>
      </c>
      <c r="P84" s="25">
        <v>0.0</v>
      </c>
      <c r="Q84" s="25">
        <v>267.1111111111111</v>
      </c>
      <c r="R84" s="25">
        <v>2350.0</v>
      </c>
      <c r="S84" s="25">
        <v>200.0</v>
      </c>
      <c r="T84" s="25">
        <v>0.0</v>
      </c>
      <c r="U84" s="25">
        <v>0.0</v>
      </c>
      <c r="V84" s="25">
        <v>0.0</v>
      </c>
      <c r="W84" s="25">
        <v>0.0</v>
      </c>
      <c r="X84" s="25">
        <v>0.0</v>
      </c>
      <c r="Y84" s="25">
        <v>0.0</v>
      </c>
      <c r="Z84" s="25">
        <v>5090.0</v>
      </c>
      <c r="AA84" s="25">
        <v>0.0</v>
      </c>
      <c r="AB84" s="25">
        <v>0.0</v>
      </c>
      <c r="AC84" s="25">
        <v>0.0</v>
      </c>
      <c r="AD84" s="25">
        <v>196.0</v>
      </c>
      <c r="AE84" s="25">
        <v>392.0</v>
      </c>
      <c r="AF84" s="25">
        <v>57.30999999999999</v>
      </c>
      <c r="AG84" s="25">
        <v>60.0</v>
      </c>
      <c r="AH84" s="25">
        <v>0.0</v>
      </c>
      <c r="AI84" s="25">
        <v>200.0</v>
      </c>
      <c r="AJ84" s="25">
        <v>420.0</v>
      </c>
      <c r="AK84" s="25">
        <v>0.0</v>
      </c>
      <c r="AL84" s="25">
        <v>0.0</v>
      </c>
      <c r="AM84" s="25">
        <v>0.0</v>
      </c>
      <c r="AN84" s="25">
        <v>100.0</v>
      </c>
      <c r="AO84" s="21">
        <f t="shared" si="1"/>
        <v>15718.84175</v>
      </c>
      <c r="AP84" s="22">
        <v>15718.841746031745</v>
      </c>
      <c r="AQ84" s="22">
        <v>15718.841746031745</v>
      </c>
      <c r="AR84" s="23">
        <f t="shared" si="2"/>
        <v>0</v>
      </c>
      <c r="AS84" s="23">
        <f t="shared" si="3"/>
        <v>0</v>
      </c>
    </row>
    <row r="85" ht="15.75" customHeight="1">
      <c r="A85" s="31">
        <v>81.0</v>
      </c>
      <c r="B85" s="27" t="s">
        <v>145</v>
      </c>
      <c r="C85" s="27" t="s">
        <v>94</v>
      </c>
      <c r="D85" s="17" t="s">
        <v>97</v>
      </c>
      <c r="E85" s="32">
        <v>1600.0</v>
      </c>
      <c r="F85" s="33">
        <v>380.95238095238096</v>
      </c>
      <c r="G85" s="34">
        <v>0.0</v>
      </c>
      <c r="H85" s="34">
        <v>0.0</v>
      </c>
      <c r="I85" s="33">
        <v>83.33333333333334</v>
      </c>
      <c r="J85" s="34">
        <v>0.0</v>
      </c>
      <c r="K85" s="34">
        <v>0.0</v>
      </c>
      <c r="L85" s="34">
        <v>0.0</v>
      </c>
      <c r="M85" s="34">
        <v>0.0</v>
      </c>
      <c r="N85" s="34">
        <v>408.33333333333337</v>
      </c>
      <c r="O85" s="34">
        <v>0.0</v>
      </c>
      <c r="P85" s="34">
        <v>0.0</v>
      </c>
      <c r="Q85" s="33">
        <v>19.993333333333332</v>
      </c>
      <c r="R85" s="34">
        <v>0.0</v>
      </c>
      <c r="S85" s="34">
        <v>245.0</v>
      </c>
      <c r="T85" s="34">
        <v>0.0</v>
      </c>
      <c r="U85" s="34">
        <v>0.0</v>
      </c>
      <c r="V85" s="34">
        <v>0.0</v>
      </c>
      <c r="W85" s="34">
        <v>0.0</v>
      </c>
      <c r="X85" s="34">
        <v>0.0</v>
      </c>
      <c r="Y85" s="34">
        <v>0.0</v>
      </c>
      <c r="Z85" s="34">
        <v>440.0</v>
      </c>
      <c r="AA85" s="34">
        <v>0.0</v>
      </c>
      <c r="AB85" s="34">
        <v>0.0</v>
      </c>
      <c r="AC85" s="34">
        <v>0.0</v>
      </c>
      <c r="AD85" s="34">
        <v>336.0</v>
      </c>
      <c r="AE85" s="34">
        <v>672.0</v>
      </c>
      <c r="AF85" s="33">
        <v>363.17</v>
      </c>
      <c r="AG85" s="34">
        <v>350.0</v>
      </c>
      <c r="AH85" s="34">
        <v>40.0</v>
      </c>
      <c r="AI85" s="34">
        <v>392.0</v>
      </c>
      <c r="AJ85" s="34">
        <v>136.0</v>
      </c>
      <c r="AK85" s="34">
        <v>0.0</v>
      </c>
      <c r="AL85" s="34">
        <v>0.0</v>
      </c>
      <c r="AM85" s="34">
        <v>0.0</v>
      </c>
      <c r="AN85" s="34">
        <v>54.0</v>
      </c>
      <c r="AO85" s="21">
        <f t="shared" si="1"/>
        <v>3920.782381</v>
      </c>
      <c r="AP85" s="22">
        <v>3920.782380952381</v>
      </c>
      <c r="AQ85" s="22">
        <v>3920.782380952381</v>
      </c>
      <c r="AR85" s="23">
        <f t="shared" si="2"/>
        <v>0</v>
      </c>
      <c r="AS85" s="23">
        <f t="shared" si="3"/>
        <v>0</v>
      </c>
    </row>
    <row r="86" ht="15.75" customHeight="1">
      <c r="A86" s="16">
        <v>82.0</v>
      </c>
      <c r="B86" s="17" t="s">
        <v>146</v>
      </c>
      <c r="C86" s="17" t="s">
        <v>147</v>
      </c>
      <c r="D86" s="17" t="s">
        <v>148</v>
      </c>
      <c r="E86" s="18">
        <v>1600.0</v>
      </c>
      <c r="F86" s="25">
        <v>0.0</v>
      </c>
      <c r="G86" s="25">
        <v>0.0</v>
      </c>
      <c r="H86" s="25">
        <v>0.0</v>
      </c>
      <c r="I86" s="26">
        <v>0.0</v>
      </c>
      <c r="J86" s="25">
        <v>0.0</v>
      </c>
      <c r="K86" s="25">
        <v>0.0</v>
      </c>
      <c r="L86" s="25">
        <v>0.0</v>
      </c>
      <c r="M86" s="25">
        <v>0.0</v>
      </c>
      <c r="N86" s="25">
        <v>0.0</v>
      </c>
      <c r="O86" s="25">
        <v>0.0</v>
      </c>
      <c r="P86" s="25">
        <v>0.0</v>
      </c>
      <c r="Q86" s="25">
        <v>0.0</v>
      </c>
      <c r="R86" s="25">
        <v>0.0</v>
      </c>
      <c r="S86" s="25">
        <v>0.0</v>
      </c>
      <c r="T86" s="25">
        <v>0.0</v>
      </c>
      <c r="U86" s="25">
        <v>0.0</v>
      </c>
      <c r="V86" s="25">
        <v>0.0</v>
      </c>
      <c r="W86" s="25">
        <v>0.0</v>
      </c>
      <c r="X86" s="25">
        <v>0.0</v>
      </c>
      <c r="Y86" s="25">
        <v>0.0</v>
      </c>
      <c r="Z86" s="25">
        <v>0.0</v>
      </c>
      <c r="AA86" s="25">
        <v>0.0</v>
      </c>
      <c r="AB86" s="25">
        <v>0.0</v>
      </c>
      <c r="AC86" s="25">
        <v>0.0</v>
      </c>
      <c r="AD86" s="25">
        <v>0.0</v>
      </c>
      <c r="AE86" s="25">
        <v>0.0</v>
      </c>
      <c r="AF86" s="25">
        <v>0.0</v>
      </c>
      <c r="AG86" s="25">
        <v>0.0</v>
      </c>
      <c r="AH86" s="25">
        <v>0.0</v>
      </c>
      <c r="AI86" s="25">
        <v>0.0</v>
      </c>
      <c r="AJ86" s="25">
        <v>0.0</v>
      </c>
      <c r="AK86" s="25">
        <v>0.0</v>
      </c>
      <c r="AL86" s="25">
        <v>0.0</v>
      </c>
      <c r="AM86" s="25">
        <v>0.0</v>
      </c>
      <c r="AN86" s="25">
        <v>0.0</v>
      </c>
      <c r="AO86" s="21">
        <f t="shared" si="1"/>
        <v>0</v>
      </c>
      <c r="AP86" s="35">
        <v>0.0</v>
      </c>
      <c r="AQ86" s="36">
        <v>0.0</v>
      </c>
      <c r="AR86" s="37">
        <f t="shared" si="2"/>
        <v>0</v>
      </c>
      <c r="AS86" s="23">
        <f t="shared" si="3"/>
        <v>0</v>
      </c>
    </row>
    <row r="87" ht="15.75" customHeight="1">
      <c r="A87" s="16">
        <v>83.0</v>
      </c>
      <c r="B87" s="17" t="s">
        <v>149</v>
      </c>
      <c r="C87" s="17" t="s">
        <v>147</v>
      </c>
      <c r="D87" s="17" t="s">
        <v>148</v>
      </c>
      <c r="E87" s="18">
        <v>1600.0</v>
      </c>
      <c r="F87" s="25">
        <v>0.0</v>
      </c>
      <c r="G87" s="25">
        <v>0.0</v>
      </c>
      <c r="H87" s="25">
        <v>0.0</v>
      </c>
      <c r="I87" s="26">
        <v>929.1666666666663</v>
      </c>
      <c r="J87" s="25">
        <v>0.0</v>
      </c>
      <c r="K87" s="25">
        <v>0.0</v>
      </c>
      <c r="L87" s="25">
        <v>0.0</v>
      </c>
      <c r="M87" s="25">
        <v>0.0</v>
      </c>
      <c r="N87" s="25">
        <v>100.0</v>
      </c>
      <c r="O87" s="25">
        <v>0.0</v>
      </c>
      <c r="P87" s="25">
        <v>0.0</v>
      </c>
      <c r="Q87" s="25">
        <v>225.0</v>
      </c>
      <c r="R87" s="25">
        <v>410.0</v>
      </c>
      <c r="S87" s="25">
        <v>600.0</v>
      </c>
      <c r="T87" s="25">
        <v>0.0</v>
      </c>
      <c r="U87" s="25">
        <v>0.0</v>
      </c>
      <c r="V87" s="25">
        <v>0.0</v>
      </c>
      <c r="W87" s="25">
        <v>0.0</v>
      </c>
      <c r="X87" s="25">
        <v>200.0</v>
      </c>
      <c r="Y87" s="25">
        <v>0.0</v>
      </c>
      <c r="Z87" s="25">
        <v>0.0</v>
      </c>
      <c r="AA87" s="25">
        <v>0.0</v>
      </c>
      <c r="AB87" s="25">
        <v>0.0</v>
      </c>
      <c r="AC87" s="25">
        <v>30.0</v>
      </c>
      <c r="AD87" s="25">
        <v>196.0</v>
      </c>
      <c r="AE87" s="25">
        <v>392.0</v>
      </c>
      <c r="AF87" s="25">
        <v>272.3333333333333</v>
      </c>
      <c r="AG87" s="25">
        <v>270.0</v>
      </c>
      <c r="AH87" s="25">
        <v>70.0</v>
      </c>
      <c r="AI87" s="25">
        <v>596.0</v>
      </c>
      <c r="AJ87" s="25">
        <v>30.0</v>
      </c>
      <c r="AK87" s="25">
        <v>0.0</v>
      </c>
      <c r="AL87" s="25">
        <v>100.0</v>
      </c>
      <c r="AM87" s="25">
        <v>0.0</v>
      </c>
      <c r="AN87" s="25">
        <v>158.0</v>
      </c>
      <c r="AO87" s="21">
        <f t="shared" si="1"/>
        <v>4578.5</v>
      </c>
      <c r="AP87" s="35">
        <v>4578.5</v>
      </c>
      <c r="AQ87" s="36">
        <v>4578.5</v>
      </c>
      <c r="AR87" s="37">
        <f t="shared" si="2"/>
        <v>0</v>
      </c>
      <c r="AS87" s="23">
        <f t="shared" si="3"/>
        <v>0</v>
      </c>
    </row>
    <row r="88" ht="15.75" customHeight="1">
      <c r="A88" s="16">
        <v>84.0</v>
      </c>
      <c r="B88" s="17" t="s">
        <v>150</v>
      </c>
      <c r="C88" s="17" t="s">
        <v>147</v>
      </c>
      <c r="D88" s="17" t="s">
        <v>151</v>
      </c>
      <c r="E88" s="18">
        <v>1600.0</v>
      </c>
      <c r="F88" s="25">
        <v>816.67</v>
      </c>
      <c r="G88" s="25">
        <v>0.0</v>
      </c>
      <c r="H88" s="25">
        <v>0.0</v>
      </c>
      <c r="I88" s="26">
        <v>95.00000000000001</v>
      </c>
      <c r="J88" s="25">
        <v>0.0</v>
      </c>
      <c r="K88" s="25">
        <v>0.0</v>
      </c>
      <c r="L88" s="25">
        <v>0.0</v>
      </c>
      <c r="M88" s="25">
        <v>0.0</v>
      </c>
      <c r="N88" s="25">
        <v>0.0</v>
      </c>
      <c r="O88" s="25">
        <v>0.0</v>
      </c>
      <c r="P88" s="25">
        <v>0.0</v>
      </c>
      <c r="Q88" s="25">
        <v>24.19</v>
      </c>
      <c r="R88" s="25">
        <v>50.0</v>
      </c>
      <c r="S88" s="25">
        <v>50.0</v>
      </c>
      <c r="T88" s="25">
        <v>0.0</v>
      </c>
      <c r="U88" s="25">
        <v>0.0</v>
      </c>
      <c r="V88" s="25">
        <v>0.0</v>
      </c>
      <c r="W88" s="25">
        <v>0.0</v>
      </c>
      <c r="X88" s="25">
        <v>0.0</v>
      </c>
      <c r="Y88" s="25">
        <v>0.0</v>
      </c>
      <c r="Z88" s="25">
        <v>0.0</v>
      </c>
      <c r="AA88" s="25">
        <v>0.0</v>
      </c>
      <c r="AB88" s="25">
        <v>100.0</v>
      </c>
      <c r="AC88" s="25">
        <v>0.0</v>
      </c>
      <c r="AD88" s="25">
        <v>252.0</v>
      </c>
      <c r="AE88" s="25">
        <v>504.0</v>
      </c>
      <c r="AF88" s="25">
        <v>172.61</v>
      </c>
      <c r="AG88" s="25">
        <v>30.0</v>
      </c>
      <c r="AH88" s="25">
        <v>510.0</v>
      </c>
      <c r="AI88" s="25">
        <v>624.0</v>
      </c>
      <c r="AJ88" s="25">
        <v>0.0</v>
      </c>
      <c r="AK88" s="25">
        <v>0.0</v>
      </c>
      <c r="AL88" s="25">
        <v>0.0</v>
      </c>
      <c r="AM88" s="25">
        <v>0.0</v>
      </c>
      <c r="AN88" s="25">
        <v>100.0</v>
      </c>
      <c r="AO88" s="21">
        <f t="shared" si="1"/>
        <v>3328.47</v>
      </c>
      <c r="AP88" s="35">
        <v>3328.47</v>
      </c>
      <c r="AQ88" s="36">
        <v>3328.47</v>
      </c>
      <c r="AR88" s="37">
        <f t="shared" si="2"/>
        <v>0</v>
      </c>
      <c r="AS88" s="23">
        <f t="shared" si="3"/>
        <v>0</v>
      </c>
    </row>
    <row r="89" ht="15.75" customHeight="1">
      <c r="A89" s="16">
        <v>85.0</v>
      </c>
      <c r="B89" s="17" t="s">
        <v>152</v>
      </c>
      <c r="C89" s="17" t="s">
        <v>147</v>
      </c>
      <c r="D89" s="17" t="s">
        <v>148</v>
      </c>
      <c r="E89" s="18">
        <v>1600.0</v>
      </c>
      <c r="F89" s="25">
        <v>416.67</v>
      </c>
      <c r="G89" s="25">
        <v>56.67</v>
      </c>
      <c r="H89" s="25">
        <v>0.0</v>
      </c>
      <c r="I89" s="26">
        <v>610.83</v>
      </c>
      <c r="J89" s="25">
        <v>0.0</v>
      </c>
      <c r="K89" s="25">
        <v>0.0</v>
      </c>
      <c r="L89" s="25">
        <v>0.0</v>
      </c>
      <c r="M89" s="25">
        <v>0.0</v>
      </c>
      <c r="N89" s="25">
        <v>0.0</v>
      </c>
      <c r="O89" s="25">
        <v>0.0</v>
      </c>
      <c r="P89" s="25">
        <v>0.0</v>
      </c>
      <c r="Q89" s="25">
        <v>130.0</v>
      </c>
      <c r="R89" s="25">
        <v>50.0</v>
      </c>
      <c r="S89" s="25">
        <v>400.0</v>
      </c>
      <c r="T89" s="25">
        <v>0.0</v>
      </c>
      <c r="U89" s="25">
        <v>0.0</v>
      </c>
      <c r="V89" s="25">
        <v>0.0</v>
      </c>
      <c r="W89" s="25">
        <v>0.0</v>
      </c>
      <c r="X89" s="25">
        <v>0.0</v>
      </c>
      <c r="Y89" s="25">
        <v>150.0</v>
      </c>
      <c r="Z89" s="25">
        <v>0.0</v>
      </c>
      <c r="AA89" s="25">
        <v>0.0</v>
      </c>
      <c r="AB89" s="25">
        <v>100.0</v>
      </c>
      <c r="AC89" s="25">
        <v>0.0</v>
      </c>
      <c r="AD89" s="25">
        <v>196.0</v>
      </c>
      <c r="AE89" s="25">
        <v>392.0</v>
      </c>
      <c r="AF89" s="25">
        <v>166.83</v>
      </c>
      <c r="AG89" s="25">
        <v>0.0</v>
      </c>
      <c r="AH89" s="25">
        <v>110.0</v>
      </c>
      <c r="AI89" s="25">
        <v>452.0</v>
      </c>
      <c r="AJ89" s="25">
        <v>0.0</v>
      </c>
      <c r="AK89" s="25">
        <v>0.0</v>
      </c>
      <c r="AL89" s="25">
        <v>0.0</v>
      </c>
      <c r="AM89" s="25">
        <v>0.0</v>
      </c>
      <c r="AN89" s="25">
        <v>8.0</v>
      </c>
      <c r="AO89" s="21">
        <f t="shared" si="1"/>
        <v>3239</v>
      </c>
      <c r="AP89" s="38">
        <v>3239.0</v>
      </c>
      <c r="AQ89" s="36">
        <v>3239.0</v>
      </c>
      <c r="AR89" s="37">
        <f t="shared" si="2"/>
        <v>0</v>
      </c>
      <c r="AS89" s="23">
        <f t="shared" si="3"/>
        <v>0</v>
      </c>
    </row>
    <row r="90" ht="15.75" customHeight="1">
      <c r="A90" s="16">
        <v>86.0</v>
      </c>
      <c r="B90" s="17" t="s">
        <v>153</v>
      </c>
      <c r="C90" s="17" t="s">
        <v>147</v>
      </c>
      <c r="D90" s="17" t="s">
        <v>148</v>
      </c>
      <c r="E90" s="18">
        <v>1600.0</v>
      </c>
      <c r="F90" s="25">
        <v>766.67</v>
      </c>
      <c r="G90" s="25">
        <v>0.0</v>
      </c>
      <c r="H90" s="25">
        <v>0.0</v>
      </c>
      <c r="I90" s="26">
        <v>2705.83</v>
      </c>
      <c r="J90" s="25">
        <v>0.0</v>
      </c>
      <c r="K90" s="25">
        <v>0.0</v>
      </c>
      <c r="L90" s="25">
        <v>0.0</v>
      </c>
      <c r="M90" s="25">
        <v>0.0</v>
      </c>
      <c r="N90" s="25">
        <v>0.0</v>
      </c>
      <c r="O90" s="25">
        <v>0.0</v>
      </c>
      <c r="P90" s="25">
        <v>0.0</v>
      </c>
      <c r="Q90" s="25">
        <v>512.5000000000001</v>
      </c>
      <c r="R90" s="25">
        <v>825.0</v>
      </c>
      <c r="S90" s="25">
        <v>810.0</v>
      </c>
      <c r="T90" s="25">
        <v>0.0</v>
      </c>
      <c r="U90" s="25">
        <v>0.0</v>
      </c>
      <c r="V90" s="25">
        <v>0.0</v>
      </c>
      <c r="W90" s="25">
        <v>0.0</v>
      </c>
      <c r="X90" s="25">
        <v>300.0</v>
      </c>
      <c r="Y90" s="25">
        <v>200.0</v>
      </c>
      <c r="Z90" s="25">
        <v>0.0</v>
      </c>
      <c r="AA90" s="25">
        <v>0.0</v>
      </c>
      <c r="AB90" s="25">
        <v>0.0</v>
      </c>
      <c r="AC90" s="25">
        <v>50.0</v>
      </c>
      <c r="AD90" s="25">
        <v>196.0</v>
      </c>
      <c r="AE90" s="25">
        <v>392.0</v>
      </c>
      <c r="AF90" s="25">
        <v>237.43</v>
      </c>
      <c r="AG90" s="25">
        <v>460.0</v>
      </c>
      <c r="AH90" s="25">
        <v>140.0</v>
      </c>
      <c r="AI90" s="25">
        <v>256.0</v>
      </c>
      <c r="AJ90" s="25">
        <v>100.0</v>
      </c>
      <c r="AK90" s="25">
        <v>0.0</v>
      </c>
      <c r="AL90" s="25">
        <v>150.0</v>
      </c>
      <c r="AM90" s="25">
        <v>0.0</v>
      </c>
      <c r="AN90" s="25">
        <v>20.0</v>
      </c>
      <c r="AO90" s="21">
        <f t="shared" si="1"/>
        <v>8121.43</v>
      </c>
      <c r="AP90" s="35">
        <v>8121.43</v>
      </c>
      <c r="AQ90" s="36">
        <v>8121.43</v>
      </c>
      <c r="AR90" s="37">
        <f t="shared" si="2"/>
        <v>0</v>
      </c>
      <c r="AS90" s="23">
        <f t="shared" si="3"/>
        <v>0</v>
      </c>
    </row>
    <row r="91" ht="15.75" customHeight="1">
      <c r="A91" s="16">
        <v>87.0</v>
      </c>
      <c r="B91" s="17" t="s">
        <v>154</v>
      </c>
      <c r="C91" s="17" t="s">
        <v>147</v>
      </c>
      <c r="D91" s="17" t="s">
        <v>110</v>
      </c>
      <c r="E91" s="18">
        <v>1600.0</v>
      </c>
      <c r="F91" s="25">
        <v>0.0</v>
      </c>
      <c r="G91" s="25">
        <v>0.0</v>
      </c>
      <c r="H91" s="25">
        <v>0.0</v>
      </c>
      <c r="I91" s="26">
        <v>625.0</v>
      </c>
      <c r="J91" s="25">
        <v>0.0</v>
      </c>
      <c r="K91" s="25">
        <v>0.0</v>
      </c>
      <c r="L91" s="25">
        <v>0.0</v>
      </c>
      <c r="M91" s="25">
        <v>0.0</v>
      </c>
      <c r="N91" s="25">
        <v>33.33</v>
      </c>
      <c r="O91" s="25">
        <v>0.0</v>
      </c>
      <c r="P91" s="25">
        <v>0.0</v>
      </c>
      <c r="Q91" s="25">
        <v>310.0</v>
      </c>
      <c r="R91" s="25">
        <v>0.0</v>
      </c>
      <c r="S91" s="25">
        <v>0.0</v>
      </c>
      <c r="T91" s="25">
        <v>0.0</v>
      </c>
      <c r="U91" s="25">
        <v>0.0</v>
      </c>
      <c r="V91" s="25">
        <v>0.0</v>
      </c>
      <c r="W91" s="25">
        <v>0.0</v>
      </c>
      <c r="X91" s="25">
        <v>0.0</v>
      </c>
      <c r="Y91" s="25">
        <v>300.0</v>
      </c>
      <c r="Z91" s="25">
        <v>0.0</v>
      </c>
      <c r="AA91" s="25">
        <v>0.0</v>
      </c>
      <c r="AB91" s="25">
        <v>0.0</v>
      </c>
      <c r="AC91" s="25">
        <v>0.0</v>
      </c>
      <c r="AD91" s="25">
        <v>224.0</v>
      </c>
      <c r="AE91" s="25">
        <v>448.0</v>
      </c>
      <c r="AF91" s="25">
        <v>124.96999999999998</v>
      </c>
      <c r="AG91" s="25">
        <v>280.0</v>
      </c>
      <c r="AH91" s="25">
        <v>20.0</v>
      </c>
      <c r="AI91" s="25">
        <v>346.0</v>
      </c>
      <c r="AJ91" s="25">
        <v>80.0</v>
      </c>
      <c r="AK91" s="25">
        <v>0.0</v>
      </c>
      <c r="AL91" s="25">
        <v>0.0</v>
      </c>
      <c r="AM91" s="25">
        <v>0.0</v>
      </c>
      <c r="AN91" s="25">
        <v>100.0</v>
      </c>
      <c r="AO91" s="21">
        <f t="shared" si="1"/>
        <v>2891.3</v>
      </c>
      <c r="AP91" s="35">
        <v>2891.2999999999997</v>
      </c>
      <c r="AQ91" s="35">
        <v>2891.2999999999997</v>
      </c>
      <c r="AR91" s="37">
        <f t="shared" si="2"/>
        <v>0</v>
      </c>
      <c r="AS91" s="23">
        <f t="shared" si="3"/>
        <v>0</v>
      </c>
    </row>
    <row r="92" ht="15.75" customHeight="1">
      <c r="A92" s="16">
        <v>88.0</v>
      </c>
      <c r="B92" s="17" t="s">
        <v>155</v>
      </c>
      <c r="C92" s="17" t="s">
        <v>147</v>
      </c>
      <c r="D92" s="17" t="s">
        <v>110</v>
      </c>
      <c r="E92" s="18">
        <v>1600.0</v>
      </c>
      <c r="F92" s="25">
        <v>0.0</v>
      </c>
      <c r="G92" s="25">
        <v>0.0</v>
      </c>
      <c r="H92" s="25">
        <v>0.0</v>
      </c>
      <c r="I92" s="26">
        <v>0.0</v>
      </c>
      <c r="J92" s="25">
        <v>0.0</v>
      </c>
      <c r="K92" s="25">
        <v>0.0</v>
      </c>
      <c r="L92" s="25">
        <v>0.0</v>
      </c>
      <c r="M92" s="25">
        <v>0.0</v>
      </c>
      <c r="N92" s="25">
        <v>0.0</v>
      </c>
      <c r="O92" s="25">
        <v>0.0</v>
      </c>
      <c r="P92" s="25">
        <v>0.0</v>
      </c>
      <c r="Q92" s="25">
        <v>0.0</v>
      </c>
      <c r="R92" s="25">
        <v>0.0</v>
      </c>
      <c r="S92" s="25">
        <v>0.0</v>
      </c>
      <c r="T92" s="25">
        <v>0.0</v>
      </c>
      <c r="U92" s="25">
        <v>0.0</v>
      </c>
      <c r="V92" s="25">
        <v>0.0</v>
      </c>
      <c r="W92" s="25">
        <v>0.0</v>
      </c>
      <c r="X92" s="25">
        <v>0.0</v>
      </c>
      <c r="Y92" s="25">
        <v>100.0</v>
      </c>
      <c r="Z92" s="25">
        <v>0.0</v>
      </c>
      <c r="AA92" s="25">
        <v>0.0</v>
      </c>
      <c r="AB92" s="25">
        <v>0.0</v>
      </c>
      <c r="AC92" s="25">
        <v>0.0</v>
      </c>
      <c r="AD92" s="25">
        <v>448.0</v>
      </c>
      <c r="AE92" s="25">
        <v>896.0</v>
      </c>
      <c r="AF92" s="25">
        <v>268.79</v>
      </c>
      <c r="AG92" s="25">
        <v>150.0</v>
      </c>
      <c r="AH92" s="25">
        <v>70.0</v>
      </c>
      <c r="AI92" s="25">
        <v>514.0</v>
      </c>
      <c r="AJ92" s="25">
        <v>0.0</v>
      </c>
      <c r="AK92" s="25">
        <v>0.0</v>
      </c>
      <c r="AL92" s="25">
        <v>0.0</v>
      </c>
      <c r="AM92" s="25">
        <v>0.0</v>
      </c>
      <c r="AN92" s="25">
        <v>100.0</v>
      </c>
      <c r="AO92" s="21">
        <f t="shared" si="1"/>
        <v>2546.79</v>
      </c>
      <c r="AP92" s="35">
        <v>2546.79</v>
      </c>
      <c r="AQ92" s="36">
        <v>2546.79</v>
      </c>
      <c r="AR92" s="37">
        <f t="shared" si="2"/>
        <v>0</v>
      </c>
      <c r="AS92" s="23">
        <f t="shared" si="3"/>
        <v>0</v>
      </c>
    </row>
    <row r="93" ht="15.75" customHeight="1">
      <c r="A93" s="16">
        <v>89.0</v>
      </c>
      <c r="B93" s="17" t="s">
        <v>156</v>
      </c>
      <c r="C93" s="17" t="s">
        <v>147</v>
      </c>
      <c r="D93" s="17" t="s">
        <v>110</v>
      </c>
      <c r="E93" s="18">
        <v>1600.0</v>
      </c>
      <c r="F93" s="25">
        <v>0.0</v>
      </c>
      <c r="G93" s="25">
        <v>0.0</v>
      </c>
      <c r="H93" s="25">
        <v>0.0</v>
      </c>
      <c r="I93" s="26">
        <v>45.83</v>
      </c>
      <c r="J93" s="25">
        <v>0.0</v>
      </c>
      <c r="K93" s="25">
        <v>0.0</v>
      </c>
      <c r="L93" s="25">
        <v>0.0</v>
      </c>
      <c r="M93" s="25">
        <v>0.0</v>
      </c>
      <c r="N93" s="25">
        <v>0.0</v>
      </c>
      <c r="O93" s="25">
        <v>0.0</v>
      </c>
      <c r="P93" s="25">
        <v>0.0</v>
      </c>
      <c r="Q93" s="25">
        <v>40.0</v>
      </c>
      <c r="R93" s="25">
        <v>50.0</v>
      </c>
      <c r="S93" s="25">
        <v>0.0</v>
      </c>
      <c r="T93" s="25">
        <v>0.0</v>
      </c>
      <c r="U93" s="25">
        <v>0.0</v>
      </c>
      <c r="V93" s="25">
        <v>0.0</v>
      </c>
      <c r="W93" s="25">
        <v>0.0</v>
      </c>
      <c r="X93" s="25">
        <v>0.0</v>
      </c>
      <c r="Y93" s="25"/>
      <c r="Z93" s="25">
        <v>0.0</v>
      </c>
      <c r="AA93" s="25">
        <v>0.0</v>
      </c>
      <c r="AB93" s="25">
        <v>0.0</v>
      </c>
      <c r="AC93" s="25">
        <v>0.0</v>
      </c>
      <c r="AD93" s="25">
        <v>280.0</v>
      </c>
      <c r="AE93" s="25">
        <v>560.0</v>
      </c>
      <c r="AF93" s="25">
        <v>221.91</v>
      </c>
      <c r="AG93" s="25">
        <v>100.0</v>
      </c>
      <c r="AH93" s="25">
        <v>210.0</v>
      </c>
      <c r="AI93" s="25">
        <v>424.0</v>
      </c>
      <c r="AJ93" s="25">
        <v>60.0</v>
      </c>
      <c r="AK93" s="25">
        <v>0.0</v>
      </c>
      <c r="AL93" s="25">
        <v>0.0</v>
      </c>
      <c r="AM93" s="25">
        <v>0.0</v>
      </c>
      <c r="AN93" s="25">
        <v>100.0</v>
      </c>
      <c r="AO93" s="21">
        <f t="shared" si="1"/>
        <v>2091.74</v>
      </c>
      <c r="AP93" s="35">
        <v>2091.74</v>
      </c>
      <c r="AQ93" s="36">
        <v>2091.74</v>
      </c>
      <c r="AR93" s="37">
        <f t="shared" si="2"/>
        <v>0</v>
      </c>
      <c r="AS93" s="23">
        <f t="shared" si="3"/>
        <v>0</v>
      </c>
    </row>
    <row r="94" ht="15.75" customHeight="1">
      <c r="A94" s="16">
        <v>90.0</v>
      </c>
      <c r="B94" s="17" t="s">
        <v>157</v>
      </c>
      <c r="C94" s="17" t="s">
        <v>147</v>
      </c>
      <c r="D94" s="17" t="s">
        <v>110</v>
      </c>
      <c r="E94" s="18">
        <v>1600.0</v>
      </c>
      <c r="F94" s="25">
        <v>0.0</v>
      </c>
      <c r="G94" s="25">
        <v>0.0</v>
      </c>
      <c r="H94" s="25">
        <v>0.0</v>
      </c>
      <c r="I94" s="26">
        <v>45.82</v>
      </c>
      <c r="J94" s="25">
        <v>0.0</v>
      </c>
      <c r="K94" s="25">
        <v>0.0</v>
      </c>
      <c r="L94" s="25">
        <v>0.0</v>
      </c>
      <c r="M94" s="25">
        <v>0.0</v>
      </c>
      <c r="N94" s="25">
        <v>166.0</v>
      </c>
      <c r="O94" s="25">
        <v>0.0</v>
      </c>
      <c r="P94" s="25">
        <v>0.0</v>
      </c>
      <c r="Q94" s="25">
        <v>35.0</v>
      </c>
      <c r="R94" s="25">
        <v>120.0</v>
      </c>
      <c r="S94" s="25">
        <v>0.0</v>
      </c>
      <c r="T94" s="25">
        <v>0.0</v>
      </c>
      <c r="U94" s="25">
        <v>0.0</v>
      </c>
      <c r="V94" s="25">
        <v>0.0</v>
      </c>
      <c r="W94" s="25">
        <v>0.0</v>
      </c>
      <c r="X94" s="25">
        <v>0.0</v>
      </c>
      <c r="Y94" s="25">
        <v>100.0</v>
      </c>
      <c r="Z94" s="25">
        <v>0.0</v>
      </c>
      <c r="AA94" s="25">
        <v>0.0</v>
      </c>
      <c r="AB94" s="25">
        <v>100.0</v>
      </c>
      <c r="AC94" s="25">
        <v>0.0</v>
      </c>
      <c r="AD94" s="25">
        <v>280.0</v>
      </c>
      <c r="AE94" s="25">
        <v>560.0</v>
      </c>
      <c r="AF94" s="25">
        <v>195.18</v>
      </c>
      <c r="AG94" s="25">
        <v>310.0</v>
      </c>
      <c r="AH94" s="25">
        <v>210.0</v>
      </c>
      <c r="AI94" s="25">
        <v>346.0</v>
      </c>
      <c r="AJ94" s="25">
        <v>40.0</v>
      </c>
      <c r="AK94" s="25">
        <v>0.0</v>
      </c>
      <c r="AL94" s="25">
        <v>0.0</v>
      </c>
      <c r="AM94" s="25">
        <v>0.0</v>
      </c>
      <c r="AN94" s="25">
        <v>180.0</v>
      </c>
      <c r="AO94" s="21">
        <f t="shared" si="1"/>
        <v>2688</v>
      </c>
      <c r="AP94" s="35">
        <v>2688.0</v>
      </c>
      <c r="AQ94" s="36">
        <v>2688.0</v>
      </c>
      <c r="AR94" s="37">
        <f t="shared" si="2"/>
        <v>0</v>
      </c>
      <c r="AS94" s="23">
        <f t="shared" si="3"/>
        <v>0</v>
      </c>
    </row>
    <row r="95" ht="15.75" customHeight="1">
      <c r="A95" s="16">
        <v>91.0</v>
      </c>
      <c r="B95" s="17" t="s">
        <v>158</v>
      </c>
      <c r="C95" s="17" t="s">
        <v>147</v>
      </c>
      <c r="D95" s="17" t="s">
        <v>110</v>
      </c>
      <c r="E95" s="18">
        <v>1600.0</v>
      </c>
      <c r="F95" s="25">
        <v>125.0</v>
      </c>
      <c r="G95" s="25">
        <v>0.0</v>
      </c>
      <c r="H95" s="25">
        <v>0.0</v>
      </c>
      <c r="I95" s="26">
        <v>58.31999999999999</v>
      </c>
      <c r="J95" s="25">
        <v>0.0</v>
      </c>
      <c r="K95" s="25">
        <v>0.0</v>
      </c>
      <c r="L95" s="25">
        <v>0.0</v>
      </c>
      <c r="M95" s="25">
        <v>0.0</v>
      </c>
      <c r="N95" s="25">
        <v>0.0</v>
      </c>
      <c r="O95" s="25">
        <v>0.0</v>
      </c>
      <c r="P95" s="25">
        <v>0.0</v>
      </c>
      <c r="Q95" s="25">
        <v>47.5</v>
      </c>
      <c r="R95" s="25">
        <v>70.0</v>
      </c>
      <c r="S95" s="25">
        <v>0.0</v>
      </c>
      <c r="T95" s="25">
        <v>0.0</v>
      </c>
      <c r="U95" s="25">
        <v>0.0</v>
      </c>
      <c r="V95" s="25">
        <v>0.0</v>
      </c>
      <c r="W95" s="25">
        <v>0.0</v>
      </c>
      <c r="X95" s="25">
        <v>0.0</v>
      </c>
      <c r="Y95" s="25">
        <v>300.0</v>
      </c>
      <c r="Z95" s="25">
        <v>0.0</v>
      </c>
      <c r="AA95" s="25">
        <v>0.0</v>
      </c>
      <c r="AB95" s="25">
        <v>0.0</v>
      </c>
      <c r="AC95" s="25">
        <v>0.0</v>
      </c>
      <c r="AD95" s="25">
        <v>280.0</v>
      </c>
      <c r="AE95" s="25">
        <v>560.0</v>
      </c>
      <c r="AF95" s="25">
        <v>89.99</v>
      </c>
      <c r="AG95" s="25">
        <v>310.0</v>
      </c>
      <c r="AH95" s="25">
        <v>350.0</v>
      </c>
      <c r="AI95" s="25">
        <v>256.0</v>
      </c>
      <c r="AJ95" s="25">
        <v>60.0</v>
      </c>
      <c r="AK95" s="25">
        <v>0.0</v>
      </c>
      <c r="AL95" s="25">
        <v>0.0</v>
      </c>
      <c r="AM95" s="25">
        <v>0.0</v>
      </c>
      <c r="AN95" s="25">
        <v>210.0</v>
      </c>
      <c r="AO95" s="21">
        <f t="shared" si="1"/>
        <v>2716.81</v>
      </c>
      <c r="AP95" s="35">
        <v>2716.81</v>
      </c>
      <c r="AQ95" s="36">
        <v>2716.81</v>
      </c>
      <c r="AR95" s="37">
        <f t="shared" si="2"/>
        <v>0</v>
      </c>
      <c r="AS95" s="23">
        <f t="shared" si="3"/>
        <v>0</v>
      </c>
    </row>
    <row r="96" ht="15.75" customHeight="1">
      <c r="A96" s="16">
        <v>92.0</v>
      </c>
      <c r="B96" s="17" t="s">
        <v>159</v>
      </c>
      <c r="C96" s="17" t="s">
        <v>147</v>
      </c>
      <c r="D96" s="17" t="s">
        <v>160</v>
      </c>
      <c r="E96" s="18">
        <v>1600.0</v>
      </c>
      <c r="F96" s="25">
        <v>483.34000000000003</v>
      </c>
      <c r="G96" s="25">
        <v>0.0</v>
      </c>
      <c r="H96" s="25">
        <v>0.0</v>
      </c>
      <c r="I96" s="26">
        <v>961.7199999999999</v>
      </c>
      <c r="J96" s="25">
        <v>0.0</v>
      </c>
      <c r="K96" s="25">
        <v>0.0</v>
      </c>
      <c r="L96" s="25">
        <v>0.0</v>
      </c>
      <c r="M96" s="25">
        <v>0.0</v>
      </c>
      <c r="N96" s="25">
        <v>50.0</v>
      </c>
      <c r="O96" s="25">
        <v>0.0</v>
      </c>
      <c r="P96" s="25">
        <v>0.0</v>
      </c>
      <c r="Q96" s="25">
        <v>68.98</v>
      </c>
      <c r="R96" s="25">
        <v>700.0</v>
      </c>
      <c r="S96" s="25">
        <v>30.0</v>
      </c>
      <c r="T96" s="25">
        <v>0.0</v>
      </c>
      <c r="U96" s="25">
        <v>0.0</v>
      </c>
      <c r="V96" s="25">
        <v>0.0</v>
      </c>
      <c r="W96" s="25">
        <v>0.0</v>
      </c>
      <c r="X96" s="25">
        <v>0.0</v>
      </c>
      <c r="Y96" s="25">
        <v>200.0</v>
      </c>
      <c r="Z96" s="25">
        <v>0.0</v>
      </c>
      <c r="AA96" s="25">
        <v>0.0</v>
      </c>
      <c r="AB96" s="25">
        <v>0.0</v>
      </c>
      <c r="AC96" s="25">
        <v>0.0</v>
      </c>
      <c r="AD96" s="25">
        <v>224.0</v>
      </c>
      <c r="AE96" s="25">
        <v>448.0</v>
      </c>
      <c r="AF96" s="25">
        <v>327.7</v>
      </c>
      <c r="AG96" s="25">
        <v>150.0</v>
      </c>
      <c r="AH96" s="25">
        <v>200.0</v>
      </c>
      <c r="AI96" s="25">
        <v>424.0</v>
      </c>
      <c r="AJ96" s="25">
        <v>60.0</v>
      </c>
      <c r="AK96" s="25">
        <v>0.0</v>
      </c>
      <c r="AL96" s="25">
        <v>150.0</v>
      </c>
      <c r="AM96" s="25">
        <v>0.0</v>
      </c>
      <c r="AN96" s="25">
        <v>100.0</v>
      </c>
      <c r="AO96" s="21">
        <f t="shared" si="1"/>
        <v>4577.74</v>
      </c>
      <c r="AP96" s="35">
        <v>4577.74</v>
      </c>
      <c r="AQ96" s="39">
        <v>4577.74</v>
      </c>
      <c r="AR96" s="37">
        <f t="shared" si="2"/>
        <v>0</v>
      </c>
      <c r="AS96" s="23">
        <f t="shared" si="3"/>
        <v>0</v>
      </c>
    </row>
    <row r="97" ht="15.75" customHeight="1">
      <c r="A97" s="16">
        <v>93.0</v>
      </c>
      <c r="B97" s="17" t="s">
        <v>161</v>
      </c>
      <c r="C97" s="17" t="s">
        <v>147</v>
      </c>
      <c r="D97" s="17" t="s">
        <v>110</v>
      </c>
      <c r="E97" s="18">
        <v>1600.0</v>
      </c>
      <c r="F97" s="25">
        <v>83.0</v>
      </c>
      <c r="G97" s="25">
        <v>0.0</v>
      </c>
      <c r="H97" s="25">
        <v>0.0</v>
      </c>
      <c r="I97" s="26">
        <v>112.5</v>
      </c>
      <c r="J97" s="25">
        <v>0.0</v>
      </c>
      <c r="K97" s="25">
        <v>0.0</v>
      </c>
      <c r="L97" s="25">
        <v>0.0</v>
      </c>
      <c r="M97" s="25">
        <v>0.0</v>
      </c>
      <c r="N97" s="25">
        <v>0.0</v>
      </c>
      <c r="O97" s="25">
        <v>0.0</v>
      </c>
      <c r="P97" s="25">
        <v>0.0</v>
      </c>
      <c r="Q97" s="25">
        <v>0.0</v>
      </c>
      <c r="R97" s="25">
        <v>820.0</v>
      </c>
      <c r="S97" s="25">
        <v>0.0</v>
      </c>
      <c r="T97" s="25">
        <v>0.0</v>
      </c>
      <c r="U97" s="25">
        <v>0.0</v>
      </c>
      <c r="V97" s="25">
        <v>0.0</v>
      </c>
      <c r="W97" s="25">
        <v>0.0</v>
      </c>
      <c r="X97" s="25">
        <v>0.0</v>
      </c>
      <c r="Y97" s="25">
        <v>100.0</v>
      </c>
      <c r="Z97" s="25">
        <v>0.0</v>
      </c>
      <c r="AA97" s="25">
        <v>0.0</v>
      </c>
      <c r="AB97" s="25">
        <v>0.0</v>
      </c>
      <c r="AC97" s="25">
        <v>0.0</v>
      </c>
      <c r="AD97" s="25">
        <v>224.0</v>
      </c>
      <c r="AE97" s="25">
        <v>448.0</v>
      </c>
      <c r="AF97" s="25">
        <v>130.01333333333332</v>
      </c>
      <c r="AG97" s="25">
        <v>100.0</v>
      </c>
      <c r="AH97" s="25">
        <v>30.0</v>
      </c>
      <c r="AI97" s="25">
        <v>346.0</v>
      </c>
      <c r="AJ97" s="25">
        <v>60.0</v>
      </c>
      <c r="AK97" s="25">
        <v>0.0</v>
      </c>
      <c r="AL97" s="25">
        <v>0.0</v>
      </c>
      <c r="AM97" s="25">
        <v>0.0</v>
      </c>
      <c r="AN97" s="25">
        <v>130.0</v>
      </c>
      <c r="AO97" s="21">
        <f t="shared" si="1"/>
        <v>2583.513333</v>
      </c>
      <c r="AP97" s="35">
        <v>2583.5133333333333</v>
      </c>
      <c r="AQ97" s="36">
        <v>2583.5133333333333</v>
      </c>
      <c r="AR97" s="37">
        <f t="shared" si="2"/>
        <v>0</v>
      </c>
      <c r="AS97" s="23">
        <f t="shared" si="3"/>
        <v>0</v>
      </c>
    </row>
    <row r="98" ht="15.75" customHeight="1">
      <c r="A98" s="16">
        <v>94.0</v>
      </c>
      <c r="B98" s="17" t="s">
        <v>162</v>
      </c>
      <c r="C98" s="17" t="s">
        <v>147</v>
      </c>
      <c r="D98" s="17" t="s">
        <v>163</v>
      </c>
      <c r="E98" s="18">
        <v>1600.0</v>
      </c>
      <c r="F98" s="25">
        <v>0.0</v>
      </c>
      <c r="G98" s="25">
        <v>0.0</v>
      </c>
      <c r="H98" s="25">
        <v>0.0</v>
      </c>
      <c r="I98" s="26">
        <v>0.0</v>
      </c>
      <c r="J98" s="25">
        <v>0.0</v>
      </c>
      <c r="K98" s="25">
        <v>0.0</v>
      </c>
      <c r="L98" s="25">
        <v>0.0</v>
      </c>
      <c r="M98" s="25">
        <v>0.0</v>
      </c>
      <c r="N98" s="25">
        <v>0.0</v>
      </c>
      <c r="O98" s="25">
        <v>0.0</v>
      </c>
      <c r="P98" s="25">
        <v>0.0</v>
      </c>
      <c r="Q98" s="25">
        <v>0.0</v>
      </c>
      <c r="R98" s="25">
        <v>0.0</v>
      </c>
      <c r="S98" s="25">
        <v>175.0</v>
      </c>
      <c r="T98" s="25">
        <v>0.0</v>
      </c>
      <c r="U98" s="25">
        <v>0.0</v>
      </c>
      <c r="V98" s="25">
        <v>0.0</v>
      </c>
      <c r="W98" s="25">
        <v>0.0</v>
      </c>
      <c r="X98" s="25">
        <v>0.0</v>
      </c>
      <c r="Y98" s="25">
        <v>0.0</v>
      </c>
      <c r="Z98" s="25">
        <v>0.0</v>
      </c>
      <c r="AA98" s="25">
        <v>0.0</v>
      </c>
      <c r="AB98" s="25">
        <v>0.0</v>
      </c>
      <c r="AC98" s="25">
        <v>0.0</v>
      </c>
      <c r="AD98" s="25">
        <v>336.0</v>
      </c>
      <c r="AE98" s="25">
        <v>672.0</v>
      </c>
      <c r="AF98" s="25">
        <v>224.0</v>
      </c>
      <c r="AG98" s="25"/>
      <c r="AH98" s="25">
        <v>30.0</v>
      </c>
      <c r="AI98" s="25">
        <v>56.0</v>
      </c>
      <c r="AJ98" s="25">
        <v>30.0</v>
      </c>
      <c r="AK98" s="25">
        <v>0.0</v>
      </c>
      <c r="AL98" s="25">
        <v>0.0</v>
      </c>
      <c r="AM98" s="25">
        <v>0.0</v>
      </c>
      <c r="AN98" s="25">
        <v>100.0</v>
      </c>
      <c r="AO98" s="21">
        <f t="shared" si="1"/>
        <v>1623</v>
      </c>
      <c r="AP98" s="35">
        <v>1623.0</v>
      </c>
      <c r="AQ98" s="36">
        <v>1623.0</v>
      </c>
      <c r="AR98" s="37">
        <f t="shared" si="2"/>
        <v>0</v>
      </c>
      <c r="AS98" s="23">
        <f t="shared" si="3"/>
        <v>0</v>
      </c>
    </row>
    <row r="99" ht="15.75" customHeight="1">
      <c r="A99" s="16">
        <v>95.0</v>
      </c>
      <c r="B99" s="17" t="s">
        <v>164</v>
      </c>
      <c r="C99" s="17" t="s">
        <v>147</v>
      </c>
      <c r="D99" s="17" t="s">
        <v>163</v>
      </c>
      <c r="E99" s="18">
        <v>1600.0</v>
      </c>
      <c r="F99" s="25">
        <v>0.0</v>
      </c>
      <c r="G99" s="25">
        <v>0.0</v>
      </c>
      <c r="H99" s="25">
        <v>0.0</v>
      </c>
      <c r="I99" s="26">
        <v>0.0</v>
      </c>
      <c r="J99" s="25">
        <v>0.0</v>
      </c>
      <c r="K99" s="25">
        <v>0.0</v>
      </c>
      <c r="L99" s="25">
        <v>0.0</v>
      </c>
      <c r="M99" s="25">
        <v>0.0</v>
      </c>
      <c r="N99" s="25">
        <v>0.0</v>
      </c>
      <c r="O99" s="25">
        <v>0.0</v>
      </c>
      <c r="P99" s="25">
        <v>0.0</v>
      </c>
      <c r="Q99" s="25">
        <v>25.0</v>
      </c>
      <c r="R99" s="25">
        <v>20.0</v>
      </c>
      <c r="S99" s="25">
        <v>0.0</v>
      </c>
      <c r="T99" s="25">
        <v>0.0</v>
      </c>
      <c r="U99" s="25">
        <v>0.0</v>
      </c>
      <c r="V99" s="25">
        <v>0.0</v>
      </c>
      <c r="W99" s="25">
        <v>0.0</v>
      </c>
      <c r="X99" s="25">
        <v>0.0</v>
      </c>
      <c r="Y99" s="25">
        <v>0.0</v>
      </c>
      <c r="Z99" s="25">
        <v>0.0</v>
      </c>
      <c r="AA99" s="25">
        <v>0.0</v>
      </c>
      <c r="AB99" s="25">
        <v>0.0</v>
      </c>
      <c r="AC99" s="25">
        <v>0.0</v>
      </c>
      <c r="AD99" s="25">
        <v>448.0</v>
      </c>
      <c r="AE99" s="25">
        <v>896.0</v>
      </c>
      <c r="AF99" s="25">
        <v>109.00000000000001</v>
      </c>
      <c r="AG99" s="25">
        <v>40.0</v>
      </c>
      <c r="AH99" s="25">
        <v>50.0</v>
      </c>
      <c r="AI99" s="25">
        <v>346.0</v>
      </c>
      <c r="AJ99" s="25">
        <v>50.0</v>
      </c>
      <c r="AK99" s="25">
        <v>0.0</v>
      </c>
      <c r="AL99" s="25">
        <v>0.0</v>
      </c>
      <c r="AM99" s="25">
        <v>0.0</v>
      </c>
      <c r="AN99" s="25">
        <v>100.0</v>
      </c>
      <c r="AO99" s="21">
        <f t="shared" si="1"/>
        <v>2084</v>
      </c>
      <c r="AP99" s="35">
        <v>2084.0</v>
      </c>
      <c r="AQ99" s="36">
        <v>2084.0</v>
      </c>
      <c r="AR99" s="37">
        <f t="shared" si="2"/>
        <v>0</v>
      </c>
      <c r="AS99" s="23">
        <f t="shared" si="3"/>
        <v>0</v>
      </c>
    </row>
    <row r="100" ht="15.75" customHeight="1">
      <c r="A100" s="16">
        <v>96.0</v>
      </c>
      <c r="B100" s="17" t="s">
        <v>165</v>
      </c>
      <c r="C100" s="17" t="s">
        <v>147</v>
      </c>
      <c r="D100" s="17" t="s">
        <v>163</v>
      </c>
      <c r="E100" s="18">
        <v>1600.0</v>
      </c>
      <c r="F100" s="25">
        <v>375.0</v>
      </c>
      <c r="G100" s="25">
        <v>0.0</v>
      </c>
      <c r="H100" s="25">
        <v>0.0</v>
      </c>
      <c r="I100" s="26">
        <v>183.45238095238096</v>
      </c>
      <c r="J100" s="25">
        <v>0.0</v>
      </c>
      <c r="K100" s="25">
        <v>0.0</v>
      </c>
      <c r="L100" s="25">
        <v>0.0</v>
      </c>
      <c r="M100" s="25">
        <v>0.0</v>
      </c>
      <c r="N100" s="25">
        <v>25.0</v>
      </c>
      <c r="O100" s="25">
        <v>0.0</v>
      </c>
      <c r="P100" s="25">
        <v>0.0</v>
      </c>
      <c r="Q100" s="25">
        <v>0.0</v>
      </c>
      <c r="R100" s="25">
        <v>160.0</v>
      </c>
      <c r="S100" s="25">
        <v>0.0</v>
      </c>
      <c r="T100" s="25">
        <v>0.0</v>
      </c>
      <c r="U100" s="25">
        <v>0.0</v>
      </c>
      <c r="V100" s="25">
        <v>0.0</v>
      </c>
      <c r="W100" s="25">
        <v>0.0</v>
      </c>
      <c r="X100" s="25">
        <v>0.0</v>
      </c>
      <c r="Y100" s="25">
        <v>0.0</v>
      </c>
      <c r="Z100" s="25">
        <v>0.0</v>
      </c>
      <c r="AA100" s="25">
        <v>0.0</v>
      </c>
      <c r="AB100" s="25">
        <v>0.0</v>
      </c>
      <c r="AC100" s="25">
        <v>0.0</v>
      </c>
      <c r="AD100" s="25">
        <v>280.0</v>
      </c>
      <c r="AE100" s="25">
        <v>560.0</v>
      </c>
      <c r="AF100" s="25">
        <v>64.70833333333333</v>
      </c>
      <c r="AG100" s="25">
        <v>640.0</v>
      </c>
      <c r="AH100" s="25">
        <v>50.0</v>
      </c>
      <c r="AI100" s="25">
        <v>346.0</v>
      </c>
      <c r="AJ100" s="25">
        <v>30.0</v>
      </c>
      <c r="AK100" s="25">
        <v>0.0</v>
      </c>
      <c r="AL100" s="25">
        <v>200.0</v>
      </c>
      <c r="AM100" s="25">
        <v>0.0</v>
      </c>
      <c r="AN100" s="25">
        <v>100.0</v>
      </c>
      <c r="AO100" s="21">
        <f t="shared" si="1"/>
        <v>3014.160714</v>
      </c>
      <c r="AP100" s="35">
        <v>3014.160714285714</v>
      </c>
      <c r="AQ100" s="36">
        <v>3014.160714285714</v>
      </c>
      <c r="AR100" s="37">
        <f t="shared" si="2"/>
        <v>0</v>
      </c>
      <c r="AS100" s="23">
        <f t="shared" si="3"/>
        <v>0</v>
      </c>
    </row>
    <row r="101" ht="15.75" customHeight="1">
      <c r="A101" s="16">
        <v>97.0</v>
      </c>
      <c r="B101" s="17" t="s">
        <v>166</v>
      </c>
      <c r="C101" s="17" t="s">
        <v>147</v>
      </c>
      <c r="D101" s="17" t="s">
        <v>163</v>
      </c>
      <c r="E101" s="18">
        <v>1600.0</v>
      </c>
      <c r="F101" s="25">
        <v>0.0</v>
      </c>
      <c r="G101" s="25">
        <v>0.0</v>
      </c>
      <c r="H101" s="25">
        <v>0.0</v>
      </c>
      <c r="I101" s="26">
        <v>0.0</v>
      </c>
      <c r="J101" s="25">
        <v>0.0</v>
      </c>
      <c r="K101" s="25">
        <v>0.0</v>
      </c>
      <c r="L101" s="25">
        <v>0.0</v>
      </c>
      <c r="M101" s="25">
        <v>0.0</v>
      </c>
      <c r="N101" s="25">
        <v>133.34</v>
      </c>
      <c r="O101" s="25">
        <v>0.0</v>
      </c>
      <c r="P101" s="25">
        <v>0.0</v>
      </c>
      <c r="Q101" s="25">
        <v>40.0</v>
      </c>
      <c r="R101" s="25">
        <v>0.0</v>
      </c>
      <c r="S101" s="25">
        <v>0.0</v>
      </c>
      <c r="T101" s="25">
        <v>0.0</v>
      </c>
      <c r="U101" s="25">
        <v>0.0</v>
      </c>
      <c r="V101" s="25">
        <v>0.0</v>
      </c>
      <c r="W101" s="25">
        <v>0.0</v>
      </c>
      <c r="X101" s="25">
        <v>0.0</v>
      </c>
      <c r="Y101" s="25">
        <v>0.0</v>
      </c>
      <c r="Z101" s="25">
        <v>0.0</v>
      </c>
      <c r="AA101" s="25">
        <v>0.0</v>
      </c>
      <c r="AB101" s="25">
        <v>0.0</v>
      </c>
      <c r="AC101" s="25">
        <v>0.0</v>
      </c>
      <c r="AD101" s="25">
        <v>420.0</v>
      </c>
      <c r="AE101" s="25">
        <v>840.0</v>
      </c>
      <c r="AF101" s="25">
        <v>129.27</v>
      </c>
      <c r="AG101" s="25">
        <v>80.0</v>
      </c>
      <c r="AH101" s="25">
        <v>30.0</v>
      </c>
      <c r="AI101" s="25">
        <v>256.0</v>
      </c>
      <c r="AJ101" s="25">
        <v>20.0</v>
      </c>
      <c r="AK101" s="25">
        <v>0.0</v>
      </c>
      <c r="AL101" s="25">
        <v>0.0</v>
      </c>
      <c r="AM101" s="25">
        <v>0.0</v>
      </c>
      <c r="AN101" s="25">
        <v>0.0</v>
      </c>
      <c r="AO101" s="21">
        <f t="shared" si="1"/>
        <v>1948.61</v>
      </c>
      <c r="AP101" s="35">
        <v>1948.6100000000001</v>
      </c>
      <c r="AQ101" s="36">
        <v>1948.61</v>
      </c>
      <c r="AR101" s="37">
        <f t="shared" si="2"/>
        <v>0</v>
      </c>
      <c r="AS101" s="23">
        <f t="shared" si="3"/>
        <v>0</v>
      </c>
    </row>
    <row r="102" ht="15.75" customHeight="1">
      <c r="A102" s="16">
        <v>98.0</v>
      </c>
      <c r="B102" s="17" t="s">
        <v>167</v>
      </c>
      <c r="C102" s="17" t="s">
        <v>147</v>
      </c>
      <c r="D102" s="17" t="s">
        <v>163</v>
      </c>
      <c r="E102" s="18">
        <v>1600.0</v>
      </c>
      <c r="F102" s="25">
        <v>0.0</v>
      </c>
      <c r="G102" s="25">
        <v>0.0</v>
      </c>
      <c r="H102" s="25">
        <v>0.0</v>
      </c>
      <c r="I102" s="26">
        <v>25.0</v>
      </c>
      <c r="J102" s="25">
        <v>0.0</v>
      </c>
      <c r="K102" s="25">
        <v>0.0</v>
      </c>
      <c r="L102" s="25">
        <v>0.0</v>
      </c>
      <c r="M102" s="25">
        <v>0.0</v>
      </c>
      <c r="N102" s="25">
        <v>25.0</v>
      </c>
      <c r="O102" s="25">
        <v>0.0</v>
      </c>
      <c r="P102" s="25">
        <v>0.0</v>
      </c>
      <c r="Q102" s="25">
        <v>0.0</v>
      </c>
      <c r="R102" s="25">
        <v>0.0</v>
      </c>
      <c r="S102" s="25">
        <v>75.0</v>
      </c>
      <c r="T102" s="25">
        <v>0.0</v>
      </c>
      <c r="U102" s="25">
        <v>0.0</v>
      </c>
      <c r="V102" s="25">
        <v>0.0</v>
      </c>
      <c r="W102" s="25">
        <v>0.0</v>
      </c>
      <c r="X102" s="25">
        <v>0.0</v>
      </c>
      <c r="Y102" s="25">
        <v>0.0</v>
      </c>
      <c r="Z102" s="25">
        <v>0.0</v>
      </c>
      <c r="AA102" s="25">
        <v>0.0</v>
      </c>
      <c r="AB102" s="25">
        <v>0.0</v>
      </c>
      <c r="AC102" s="25">
        <v>0.0</v>
      </c>
      <c r="AD102" s="25">
        <v>336.0</v>
      </c>
      <c r="AE102" s="25">
        <v>672.0</v>
      </c>
      <c r="AF102" s="25">
        <v>114.71000000000001</v>
      </c>
      <c r="AG102" s="25">
        <v>60.0</v>
      </c>
      <c r="AH102" s="25">
        <v>30.0</v>
      </c>
      <c r="AI102" s="25">
        <v>56.0</v>
      </c>
      <c r="AJ102" s="25">
        <v>60.0</v>
      </c>
      <c r="AK102" s="25">
        <v>0.0</v>
      </c>
      <c r="AL102" s="25">
        <v>0.0</v>
      </c>
      <c r="AM102" s="25">
        <v>60.0</v>
      </c>
      <c r="AN102" s="25">
        <v>100.0</v>
      </c>
      <c r="AO102" s="21">
        <f t="shared" si="1"/>
        <v>1613.71</v>
      </c>
      <c r="AP102" s="35">
        <v>1613.71</v>
      </c>
      <c r="AQ102" s="40">
        <v>1613.71</v>
      </c>
      <c r="AR102" s="37">
        <f t="shared" si="2"/>
        <v>0</v>
      </c>
      <c r="AS102" s="23">
        <f t="shared" si="3"/>
        <v>0</v>
      </c>
    </row>
    <row r="103" ht="15.75" customHeight="1">
      <c r="A103" s="16">
        <v>99.0</v>
      </c>
      <c r="B103" s="17" t="s">
        <v>168</v>
      </c>
      <c r="C103" s="17" t="s">
        <v>147</v>
      </c>
      <c r="D103" s="17" t="s">
        <v>163</v>
      </c>
      <c r="E103" s="18">
        <v>1600.0</v>
      </c>
      <c r="F103" s="25">
        <v>0.0</v>
      </c>
      <c r="G103" s="25">
        <v>0.0</v>
      </c>
      <c r="H103" s="25">
        <v>0.0</v>
      </c>
      <c r="I103" s="26">
        <v>111.66</v>
      </c>
      <c r="J103" s="25">
        <v>0.0</v>
      </c>
      <c r="K103" s="25">
        <v>0.0</v>
      </c>
      <c r="L103" s="25">
        <v>0.0</v>
      </c>
      <c r="M103" s="25">
        <v>0.0</v>
      </c>
      <c r="N103" s="25">
        <v>0.0</v>
      </c>
      <c r="O103" s="25">
        <v>0.0</v>
      </c>
      <c r="P103" s="25">
        <v>0.0</v>
      </c>
      <c r="Q103" s="25">
        <v>55.66</v>
      </c>
      <c r="R103" s="25">
        <v>0.0</v>
      </c>
      <c r="S103" s="25">
        <v>0.0</v>
      </c>
      <c r="T103" s="25">
        <v>0.0</v>
      </c>
      <c r="U103" s="25">
        <v>0.0</v>
      </c>
      <c r="V103" s="25">
        <v>0.0</v>
      </c>
      <c r="W103" s="25">
        <v>0.0</v>
      </c>
      <c r="X103" s="25">
        <v>0.0</v>
      </c>
      <c r="Y103" s="25">
        <v>0.0</v>
      </c>
      <c r="Z103" s="25">
        <v>0.0</v>
      </c>
      <c r="AA103" s="25">
        <v>0.0</v>
      </c>
      <c r="AB103" s="25">
        <v>0.0</v>
      </c>
      <c r="AC103" s="25">
        <v>0.0</v>
      </c>
      <c r="AD103" s="25">
        <v>336.0</v>
      </c>
      <c r="AE103" s="25">
        <v>672.0</v>
      </c>
      <c r="AF103" s="25">
        <v>109.25</v>
      </c>
      <c r="AG103" s="25">
        <v>120.0</v>
      </c>
      <c r="AH103" s="25">
        <v>40.0</v>
      </c>
      <c r="AI103" s="25">
        <v>256.0</v>
      </c>
      <c r="AJ103" s="25">
        <v>150.0</v>
      </c>
      <c r="AK103" s="25">
        <v>0.0</v>
      </c>
      <c r="AL103" s="25">
        <v>0.0</v>
      </c>
      <c r="AM103" s="25">
        <v>0.0</v>
      </c>
      <c r="AN103" s="25">
        <v>100.0</v>
      </c>
      <c r="AO103" s="21">
        <f t="shared" si="1"/>
        <v>1950.57</v>
      </c>
      <c r="AP103" s="35">
        <v>1950.57</v>
      </c>
      <c r="AQ103" s="36">
        <v>1950.57</v>
      </c>
      <c r="AR103" s="37">
        <f t="shared" si="2"/>
        <v>0</v>
      </c>
      <c r="AS103" s="23">
        <f t="shared" si="3"/>
        <v>0</v>
      </c>
    </row>
    <row r="104" ht="15.75" customHeight="1">
      <c r="A104" s="16">
        <v>100.0</v>
      </c>
      <c r="B104" s="17" t="s">
        <v>169</v>
      </c>
      <c r="C104" s="17" t="s">
        <v>147</v>
      </c>
      <c r="D104" s="17" t="s">
        <v>163</v>
      </c>
      <c r="E104" s="18">
        <v>1600.0</v>
      </c>
      <c r="F104" s="25">
        <v>0.0</v>
      </c>
      <c r="G104" s="25">
        <v>0.0</v>
      </c>
      <c r="H104" s="25">
        <v>0.0</v>
      </c>
      <c r="I104" s="26">
        <v>0.0</v>
      </c>
      <c r="J104" s="25">
        <v>0.0</v>
      </c>
      <c r="K104" s="25">
        <v>0.0</v>
      </c>
      <c r="L104" s="25">
        <v>0.0</v>
      </c>
      <c r="M104" s="25">
        <v>0.0</v>
      </c>
      <c r="N104" s="25">
        <v>0.0</v>
      </c>
      <c r="O104" s="25">
        <v>0.0</v>
      </c>
      <c r="P104" s="25">
        <v>0.0</v>
      </c>
      <c r="Q104" s="25">
        <v>0.0</v>
      </c>
      <c r="R104" s="25">
        <v>0.0</v>
      </c>
      <c r="S104" s="25">
        <v>0.0</v>
      </c>
      <c r="T104" s="25">
        <v>0.0</v>
      </c>
      <c r="U104" s="25">
        <v>0.0</v>
      </c>
      <c r="V104" s="25">
        <v>0.0</v>
      </c>
      <c r="W104" s="25">
        <v>0.0</v>
      </c>
      <c r="X104" s="25">
        <v>0.0</v>
      </c>
      <c r="Y104" s="25">
        <v>0.0</v>
      </c>
      <c r="Z104" s="25">
        <v>0.0</v>
      </c>
      <c r="AA104" s="25">
        <v>0.0</v>
      </c>
      <c r="AB104" s="25">
        <v>0.0</v>
      </c>
      <c r="AC104" s="25">
        <v>0.0</v>
      </c>
      <c r="AD104" s="25">
        <v>448.0</v>
      </c>
      <c r="AE104" s="25">
        <v>896.0</v>
      </c>
      <c r="AF104" s="25">
        <v>190.0</v>
      </c>
      <c r="AG104" s="25">
        <v>20.0</v>
      </c>
      <c r="AH104" s="25"/>
      <c r="AI104" s="25">
        <v>314.0</v>
      </c>
      <c r="AJ104" s="25"/>
      <c r="AK104" s="25">
        <v>0.0</v>
      </c>
      <c r="AL104" s="25">
        <v>0.0</v>
      </c>
      <c r="AM104" s="25">
        <v>0.0</v>
      </c>
      <c r="AN104" s="25">
        <v>0.0</v>
      </c>
      <c r="AO104" s="21">
        <f t="shared" si="1"/>
        <v>1868</v>
      </c>
      <c r="AP104" s="35">
        <v>1868.0</v>
      </c>
      <c r="AQ104" s="40">
        <v>1868.0</v>
      </c>
      <c r="AR104" s="37">
        <f t="shared" si="2"/>
        <v>0</v>
      </c>
      <c r="AS104" s="23">
        <f t="shared" si="3"/>
        <v>0</v>
      </c>
    </row>
    <row r="105" ht="15.75" customHeight="1">
      <c r="A105" s="16">
        <v>101.0</v>
      </c>
      <c r="B105" s="17" t="s">
        <v>170</v>
      </c>
      <c r="C105" s="17" t="s">
        <v>147</v>
      </c>
      <c r="D105" s="17" t="s">
        <v>163</v>
      </c>
      <c r="E105" s="18">
        <v>1600.0</v>
      </c>
      <c r="F105" s="25">
        <v>0.0</v>
      </c>
      <c r="G105" s="25">
        <v>0.0</v>
      </c>
      <c r="H105" s="25">
        <v>0.0</v>
      </c>
      <c r="I105" s="26">
        <v>50.0</v>
      </c>
      <c r="J105" s="25">
        <v>0.0</v>
      </c>
      <c r="K105" s="25">
        <v>0.0</v>
      </c>
      <c r="L105" s="25">
        <v>0.0</v>
      </c>
      <c r="M105" s="25">
        <v>0.0</v>
      </c>
      <c r="N105" s="25">
        <v>133.33</v>
      </c>
      <c r="O105" s="25">
        <v>0.0</v>
      </c>
      <c r="P105" s="25">
        <v>0.0</v>
      </c>
      <c r="Q105" s="25">
        <v>0.0</v>
      </c>
      <c r="R105" s="25">
        <v>0.0</v>
      </c>
      <c r="S105" s="25">
        <v>0.0</v>
      </c>
      <c r="T105" s="25">
        <v>0.0</v>
      </c>
      <c r="U105" s="25">
        <v>0.0</v>
      </c>
      <c r="V105" s="25">
        <v>0.0</v>
      </c>
      <c r="W105" s="25">
        <v>0.0</v>
      </c>
      <c r="X105" s="25">
        <v>0.0</v>
      </c>
      <c r="Y105" s="25">
        <v>0.0</v>
      </c>
      <c r="Z105" s="25">
        <v>0.0</v>
      </c>
      <c r="AA105" s="25">
        <v>0.0</v>
      </c>
      <c r="AB105" s="25">
        <v>0.0</v>
      </c>
      <c r="AC105" s="25">
        <v>0.0</v>
      </c>
      <c r="AD105" s="25">
        <v>448.0</v>
      </c>
      <c r="AE105" s="25">
        <v>896.0</v>
      </c>
      <c r="AF105" s="25">
        <v>111.53</v>
      </c>
      <c r="AG105" s="25">
        <v>40.0</v>
      </c>
      <c r="AH105" s="25">
        <v>270.0</v>
      </c>
      <c r="AI105" s="25">
        <v>256.0</v>
      </c>
      <c r="AJ105" s="25">
        <v>80.0</v>
      </c>
      <c r="AK105" s="25">
        <v>0.0</v>
      </c>
      <c r="AL105" s="25">
        <v>0.0</v>
      </c>
      <c r="AM105" s="25">
        <v>0.0</v>
      </c>
      <c r="AN105" s="25">
        <v>180.0</v>
      </c>
      <c r="AO105" s="21">
        <f t="shared" si="1"/>
        <v>2464.86</v>
      </c>
      <c r="AP105" s="35">
        <v>2464.86</v>
      </c>
      <c r="AQ105" s="36">
        <v>2464.86</v>
      </c>
      <c r="AR105" s="37">
        <f t="shared" si="2"/>
        <v>0</v>
      </c>
      <c r="AS105" s="23">
        <f t="shared" si="3"/>
        <v>0</v>
      </c>
    </row>
    <row r="106" ht="15.75" customHeight="1">
      <c r="A106" s="16">
        <v>102.0</v>
      </c>
      <c r="B106" s="17" t="s">
        <v>171</v>
      </c>
      <c r="C106" s="17" t="s">
        <v>147</v>
      </c>
      <c r="D106" s="17" t="s">
        <v>163</v>
      </c>
      <c r="E106" s="18">
        <v>1600.0</v>
      </c>
      <c r="F106" s="25">
        <v>0.0</v>
      </c>
      <c r="G106" s="25">
        <v>0.0</v>
      </c>
      <c r="H106" s="25">
        <v>0.0</v>
      </c>
      <c r="I106" s="26">
        <v>0.0</v>
      </c>
      <c r="J106" s="25">
        <v>0.0</v>
      </c>
      <c r="K106" s="25">
        <v>0.0</v>
      </c>
      <c r="L106" s="25">
        <v>0.0</v>
      </c>
      <c r="M106" s="25">
        <v>0.0</v>
      </c>
      <c r="N106" s="25">
        <v>66.66666666666667</v>
      </c>
      <c r="O106" s="25">
        <v>0.0</v>
      </c>
      <c r="P106" s="25">
        <v>0.0</v>
      </c>
      <c r="Q106" s="25">
        <v>26.639999999999993</v>
      </c>
      <c r="R106" s="25">
        <v>10.0</v>
      </c>
      <c r="S106" s="25">
        <v>100.0</v>
      </c>
      <c r="T106" s="25">
        <v>0.0</v>
      </c>
      <c r="U106" s="25">
        <v>0.0</v>
      </c>
      <c r="V106" s="25">
        <v>0.0</v>
      </c>
      <c r="W106" s="25">
        <v>0.0</v>
      </c>
      <c r="X106" s="25">
        <v>0.0</v>
      </c>
      <c r="Y106" s="25">
        <v>0.0</v>
      </c>
      <c r="Z106" s="25">
        <v>0.0</v>
      </c>
      <c r="AA106" s="25">
        <v>0.0</v>
      </c>
      <c r="AB106" s="25">
        <v>0.0</v>
      </c>
      <c r="AC106" s="25">
        <v>0.0</v>
      </c>
      <c r="AD106" s="25">
        <v>350.0</v>
      </c>
      <c r="AE106" s="25">
        <v>700.0</v>
      </c>
      <c r="AF106" s="25">
        <v>192.78333333333333</v>
      </c>
      <c r="AG106" s="25">
        <v>1460.0</v>
      </c>
      <c r="AH106" s="25">
        <v>30.0</v>
      </c>
      <c r="AI106" s="25">
        <v>346.0</v>
      </c>
      <c r="AJ106" s="25">
        <v>30.0</v>
      </c>
      <c r="AK106" s="25">
        <v>0.0</v>
      </c>
      <c r="AL106" s="25">
        <v>0.0</v>
      </c>
      <c r="AM106" s="25">
        <v>0.0</v>
      </c>
      <c r="AN106" s="25">
        <v>100.0</v>
      </c>
      <c r="AO106" s="21">
        <f t="shared" si="1"/>
        <v>3412.09</v>
      </c>
      <c r="AP106" s="35">
        <v>3412.09</v>
      </c>
      <c r="AQ106" s="36">
        <v>3412.09</v>
      </c>
      <c r="AR106" s="37">
        <f t="shared" si="2"/>
        <v>0</v>
      </c>
      <c r="AS106" s="23">
        <f t="shared" si="3"/>
        <v>0</v>
      </c>
    </row>
    <row r="107" ht="15.75" customHeight="1">
      <c r="A107" s="16">
        <v>103.0</v>
      </c>
      <c r="B107" s="17" t="s">
        <v>172</v>
      </c>
      <c r="C107" s="17" t="s">
        <v>147</v>
      </c>
      <c r="D107" s="17" t="s">
        <v>163</v>
      </c>
      <c r="E107" s="18">
        <v>1600.0</v>
      </c>
      <c r="F107" s="25">
        <v>0.0</v>
      </c>
      <c r="G107" s="25">
        <v>0.0</v>
      </c>
      <c r="H107" s="25">
        <v>0.0</v>
      </c>
      <c r="I107" s="26">
        <v>90.0</v>
      </c>
      <c r="J107" s="25">
        <v>0.0</v>
      </c>
      <c r="K107" s="25">
        <v>1000.0</v>
      </c>
      <c r="L107" s="25">
        <v>0.0</v>
      </c>
      <c r="M107" s="25">
        <v>0.0</v>
      </c>
      <c r="N107" s="25">
        <v>0.0</v>
      </c>
      <c r="O107" s="25">
        <v>0.0</v>
      </c>
      <c r="P107" s="25">
        <v>0.0</v>
      </c>
      <c r="Q107" s="25">
        <v>51.66</v>
      </c>
      <c r="R107" s="25">
        <v>150.0</v>
      </c>
      <c r="S107" s="25">
        <v>20.0</v>
      </c>
      <c r="T107" s="25">
        <v>0.0</v>
      </c>
      <c r="U107" s="25">
        <v>0.0</v>
      </c>
      <c r="V107" s="25">
        <v>0.0</v>
      </c>
      <c r="W107" s="25">
        <v>0.0</v>
      </c>
      <c r="X107" s="25">
        <v>0.0</v>
      </c>
      <c r="Y107" s="25">
        <v>100.0</v>
      </c>
      <c r="Z107" s="25">
        <v>0.0</v>
      </c>
      <c r="AA107" s="25">
        <v>0.0</v>
      </c>
      <c r="AB107" s="25">
        <v>0.0</v>
      </c>
      <c r="AC107" s="25">
        <v>0.0</v>
      </c>
      <c r="AD107" s="25">
        <v>280.0</v>
      </c>
      <c r="AE107" s="25">
        <v>560.0</v>
      </c>
      <c r="AF107" s="25">
        <v>155.0</v>
      </c>
      <c r="AG107" s="25">
        <v>60.0</v>
      </c>
      <c r="AH107" s="25">
        <v>70.0</v>
      </c>
      <c r="AI107" s="25">
        <v>514.0</v>
      </c>
      <c r="AJ107" s="25">
        <v>260.0</v>
      </c>
      <c r="AK107" s="25">
        <v>0.0</v>
      </c>
      <c r="AL107" s="25">
        <v>0.0</v>
      </c>
      <c r="AM107" s="25">
        <v>0.0</v>
      </c>
      <c r="AN107" s="25">
        <v>108.0</v>
      </c>
      <c r="AO107" s="21">
        <f t="shared" si="1"/>
        <v>3418.66</v>
      </c>
      <c r="AP107" s="35">
        <v>3418.66</v>
      </c>
      <c r="AQ107" s="36">
        <v>3418.66</v>
      </c>
      <c r="AR107" s="37">
        <f t="shared" si="2"/>
        <v>0</v>
      </c>
      <c r="AS107" s="23">
        <f t="shared" si="3"/>
        <v>0</v>
      </c>
    </row>
    <row r="108" ht="15.75" customHeight="1">
      <c r="A108" s="16">
        <v>104.0</v>
      </c>
      <c r="B108" s="17" t="s">
        <v>173</v>
      </c>
      <c r="C108" s="17" t="s">
        <v>147</v>
      </c>
      <c r="D108" s="17" t="s">
        <v>163</v>
      </c>
      <c r="E108" s="18">
        <v>1600.0</v>
      </c>
      <c r="F108" s="25">
        <v>40.0</v>
      </c>
      <c r="G108" s="25">
        <v>0.0</v>
      </c>
      <c r="H108" s="25">
        <v>0.0</v>
      </c>
      <c r="I108" s="26">
        <v>50.0</v>
      </c>
      <c r="J108" s="25">
        <v>0.0</v>
      </c>
      <c r="K108" s="25">
        <v>0.0</v>
      </c>
      <c r="L108" s="25">
        <v>0.0</v>
      </c>
      <c r="M108" s="25">
        <v>0.0</v>
      </c>
      <c r="N108" s="25">
        <v>0.0</v>
      </c>
      <c r="O108" s="25">
        <v>0.0</v>
      </c>
      <c r="P108" s="25">
        <v>0.0</v>
      </c>
      <c r="Q108" s="25">
        <v>35.0</v>
      </c>
      <c r="R108" s="25">
        <v>50.0</v>
      </c>
      <c r="S108" s="25">
        <v>0.0</v>
      </c>
      <c r="T108" s="25">
        <v>0.0</v>
      </c>
      <c r="U108" s="25">
        <v>0.0</v>
      </c>
      <c r="V108" s="25">
        <v>0.0</v>
      </c>
      <c r="W108" s="25">
        <v>0.0</v>
      </c>
      <c r="X108" s="25">
        <v>0.0</v>
      </c>
      <c r="Y108" s="25">
        <v>0.0</v>
      </c>
      <c r="Z108" s="25">
        <v>0.0</v>
      </c>
      <c r="AA108" s="25">
        <v>0.0</v>
      </c>
      <c r="AB108" s="25">
        <v>0.0</v>
      </c>
      <c r="AC108" s="25">
        <v>0.0</v>
      </c>
      <c r="AD108" s="25">
        <v>336.0</v>
      </c>
      <c r="AE108" s="25">
        <v>672.0</v>
      </c>
      <c r="AF108" s="25">
        <v>138.23333333333335</v>
      </c>
      <c r="AG108" s="25">
        <v>200.0</v>
      </c>
      <c r="AH108" s="25">
        <v>70.0</v>
      </c>
      <c r="AI108" s="25">
        <v>56.0</v>
      </c>
      <c r="AJ108" s="25">
        <v>40.0</v>
      </c>
      <c r="AK108" s="25">
        <v>0.0</v>
      </c>
      <c r="AL108" s="25">
        <v>0.0</v>
      </c>
      <c r="AM108" s="25">
        <v>0.0</v>
      </c>
      <c r="AN108" s="25">
        <v>100.0</v>
      </c>
      <c r="AO108" s="21">
        <f t="shared" si="1"/>
        <v>1787.233333</v>
      </c>
      <c r="AP108" s="35">
        <v>1787.2333333333333</v>
      </c>
      <c r="AQ108" s="36">
        <v>1787.2333333333333</v>
      </c>
      <c r="AR108" s="37">
        <f t="shared" si="2"/>
        <v>0</v>
      </c>
      <c r="AS108" s="23">
        <f t="shared" si="3"/>
        <v>0</v>
      </c>
    </row>
    <row r="109" ht="15.75" customHeight="1">
      <c r="A109" s="16">
        <v>105.0</v>
      </c>
      <c r="B109" s="17" t="s">
        <v>174</v>
      </c>
      <c r="C109" s="17" t="s">
        <v>147</v>
      </c>
      <c r="D109" s="17" t="s">
        <v>163</v>
      </c>
      <c r="E109" s="18">
        <v>1600.0</v>
      </c>
      <c r="F109" s="25">
        <v>0.0</v>
      </c>
      <c r="G109" s="25">
        <v>0.0</v>
      </c>
      <c r="H109" s="25">
        <v>0.0</v>
      </c>
      <c r="I109" s="26">
        <v>0.0</v>
      </c>
      <c r="J109" s="25">
        <v>0.0</v>
      </c>
      <c r="K109" s="25">
        <v>0.0</v>
      </c>
      <c r="L109" s="25">
        <v>0.0</v>
      </c>
      <c r="M109" s="25">
        <v>0.0</v>
      </c>
      <c r="N109" s="25">
        <v>0.0</v>
      </c>
      <c r="O109" s="25">
        <v>134.9</v>
      </c>
      <c r="P109" s="25">
        <v>0.0</v>
      </c>
      <c r="Q109" s="25">
        <v>0.0</v>
      </c>
      <c r="R109" s="25">
        <v>0.0</v>
      </c>
      <c r="S109" s="25">
        <v>0.0</v>
      </c>
      <c r="T109" s="25">
        <v>0.0</v>
      </c>
      <c r="U109" s="25">
        <v>0.0</v>
      </c>
      <c r="V109" s="25">
        <v>0.0</v>
      </c>
      <c r="W109" s="25">
        <v>0.0</v>
      </c>
      <c r="X109" s="25">
        <v>0.0</v>
      </c>
      <c r="Y109" s="25">
        <v>0.0</v>
      </c>
      <c r="Z109" s="25">
        <v>0.0</v>
      </c>
      <c r="AA109" s="25">
        <v>0.0</v>
      </c>
      <c r="AB109" s="25">
        <v>0.0</v>
      </c>
      <c r="AC109" s="25">
        <v>0.0</v>
      </c>
      <c r="AD109" s="25">
        <v>336.0</v>
      </c>
      <c r="AE109" s="25">
        <v>672.0</v>
      </c>
      <c r="AF109" s="25">
        <v>53.26</v>
      </c>
      <c r="AG109" s="25">
        <v>0.0</v>
      </c>
      <c r="AH109" s="25">
        <v>0.0</v>
      </c>
      <c r="AI109" s="25">
        <v>256.0</v>
      </c>
      <c r="AJ109" s="25"/>
      <c r="AK109" s="25">
        <v>0.0</v>
      </c>
      <c r="AL109" s="25">
        <v>0.0</v>
      </c>
      <c r="AM109" s="25">
        <v>302.0</v>
      </c>
      <c r="AN109" s="25">
        <v>100.0</v>
      </c>
      <c r="AO109" s="21">
        <f t="shared" si="1"/>
        <v>1854.16</v>
      </c>
      <c r="AP109" s="35">
        <v>1854.16</v>
      </c>
      <c r="AQ109" s="36">
        <v>1854.16</v>
      </c>
      <c r="AR109" s="37">
        <f t="shared" si="2"/>
        <v>0</v>
      </c>
      <c r="AS109" s="23">
        <f t="shared" si="3"/>
        <v>0</v>
      </c>
    </row>
    <row r="110" ht="15.75" customHeight="1">
      <c r="A110" s="16">
        <v>106.0</v>
      </c>
      <c r="B110" s="17" t="s">
        <v>175</v>
      </c>
      <c r="C110" s="17" t="s">
        <v>147</v>
      </c>
      <c r="D110" s="17" t="s">
        <v>124</v>
      </c>
      <c r="E110" s="18">
        <v>1600.0</v>
      </c>
      <c r="F110" s="25">
        <v>0.0</v>
      </c>
      <c r="G110" s="25">
        <v>0.0</v>
      </c>
      <c r="H110" s="25">
        <v>0.0</v>
      </c>
      <c r="I110" s="26">
        <v>233.3333333333333</v>
      </c>
      <c r="J110" s="25">
        <v>0.0</v>
      </c>
      <c r="K110" s="25">
        <v>0.0</v>
      </c>
      <c r="L110" s="25">
        <v>0.0</v>
      </c>
      <c r="M110" s="25">
        <v>0.0</v>
      </c>
      <c r="N110" s="25">
        <v>0.0</v>
      </c>
      <c r="O110" s="25">
        <v>0.0</v>
      </c>
      <c r="P110" s="25">
        <v>0.0</v>
      </c>
      <c r="Q110" s="25">
        <v>23.333333333333332</v>
      </c>
      <c r="R110" s="25">
        <v>0.0</v>
      </c>
      <c r="S110" s="25">
        <v>0.0</v>
      </c>
      <c r="T110" s="25">
        <v>0.0</v>
      </c>
      <c r="U110" s="25">
        <v>0.0</v>
      </c>
      <c r="V110" s="25">
        <v>0.0</v>
      </c>
      <c r="W110" s="25">
        <v>0.0</v>
      </c>
      <c r="X110" s="25">
        <v>0.0</v>
      </c>
      <c r="Y110" s="25">
        <v>0.0</v>
      </c>
      <c r="Z110" s="25">
        <v>0.0</v>
      </c>
      <c r="AA110" s="25">
        <v>0.0</v>
      </c>
      <c r="AB110" s="25">
        <v>0.0</v>
      </c>
      <c r="AC110" s="25">
        <v>0.0</v>
      </c>
      <c r="AD110" s="25">
        <v>448.0</v>
      </c>
      <c r="AE110" s="25">
        <v>896.0</v>
      </c>
      <c r="AF110" s="25">
        <v>0.0</v>
      </c>
      <c r="AG110" s="25">
        <v>80.0</v>
      </c>
      <c r="AH110" s="25">
        <v>0.0</v>
      </c>
      <c r="AI110" s="25">
        <v>56.0</v>
      </c>
      <c r="AJ110" s="25">
        <v>20.0</v>
      </c>
      <c r="AK110" s="25">
        <v>0.0</v>
      </c>
      <c r="AL110" s="25">
        <v>0.0</v>
      </c>
      <c r="AM110" s="25">
        <v>0.0</v>
      </c>
      <c r="AN110" s="25">
        <v>100.0</v>
      </c>
      <c r="AO110" s="21">
        <f t="shared" si="1"/>
        <v>1856.666667</v>
      </c>
      <c r="AP110" s="35">
        <v>1856.6666666666665</v>
      </c>
      <c r="AQ110" s="36">
        <v>1856.6666666666665</v>
      </c>
      <c r="AR110" s="37">
        <f t="shared" si="2"/>
        <v>0</v>
      </c>
      <c r="AS110" s="23">
        <f t="shared" si="3"/>
        <v>0</v>
      </c>
    </row>
    <row r="111" ht="15.75" customHeight="1">
      <c r="A111" s="16">
        <v>107.0</v>
      </c>
      <c r="B111" s="17" t="s">
        <v>176</v>
      </c>
      <c r="C111" s="17" t="s">
        <v>147</v>
      </c>
      <c r="D111" s="17" t="s">
        <v>124</v>
      </c>
      <c r="E111" s="18">
        <v>1600.0</v>
      </c>
      <c r="F111" s="25">
        <v>0.0</v>
      </c>
      <c r="G111" s="25">
        <v>0.0</v>
      </c>
      <c r="H111" s="25">
        <v>0.0</v>
      </c>
      <c r="I111" s="26">
        <v>179.18</v>
      </c>
      <c r="J111" s="25">
        <v>0.0</v>
      </c>
      <c r="K111" s="25">
        <v>0.0</v>
      </c>
      <c r="L111" s="25">
        <v>0.0</v>
      </c>
      <c r="M111" s="25">
        <v>0.0</v>
      </c>
      <c r="N111" s="25">
        <v>0.0</v>
      </c>
      <c r="O111" s="25">
        <v>0.0</v>
      </c>
      <c r="P111" s="25">
        <v>0.0</v>
      </c>
      <c r="Q111" s="25">
        <v>0.0</v>
      </c>
      <c r="R111" s="25">
        <v>0.0</v>
      </c>
      <c r="S111" s="25">
        <v>0.0</v>
      </c>
      <c r="T111" s="25">
        <v>0.0</v>
      </c>
      <c r="U111" s="25">
        <v>0.0</v>
      </c>
      <c r="V111" s="25">
        <v>0.0</v>
      </c>
      <c r="W111" s="25">
        <v>0.0</v>
      </c>
      <c r="X111" s="25">
        <v>0.0</v>
      </c>
      <c r="Y111" s="25">
        <v>0.0</v>
      </c>
      <c r="Z111" s="25">
        <v>0.0</v>
      </c>
      <c r="AA111" s="25">
        <v>0.0</v>
      </c>
      <c r="AB111" s="25">
        <v>0.0</v>
      </c>
      <c r="AC111" s="25">
        <v>0.0</v>
      </c>
      <c r="AD111" s="25">
        <v>392.0</v>
      </c>
      <c r="AE111" s="25">
        <v>784.0</v>
      </c>
      <c r="AF111" s="25">
        <v>117.33</v>
      </c>
      <c r="AG111" s="25">
        <v>190.0</v>
      </c>
      <c r="AH111" s="25">
        <v>30.0</v>
      </c>
      <c r="AI111" s="25">
        <v>346.0</v>
      </c>
      <c r="AJ111" s="25">
        <v>100.0</v>
      </c>
      <c r="AK111" s="25">
        <v>0.0</v>
      </c>
      <c r="AL111" s="25">
        <v>0.0</v>
      </c>
      <c r="AM111" s="25">
        <v>0.0</v>
      </c>
      <c r="AN111" s="25">
        <v>100.0</v>
      </c>
      <c r="AO111" s="21">
        <f t="shared" si="1"/>
        <v>2238.51</v>
      </c>
      <c r="AP111" s="35">
        <v>2238.51</v>
      </c>
      <c r="AQ111" s="36">
        <v>2238.51</v>
      </c>
      <c r="AR111" s="37">
        <f t="shared" si="2"/>
        <v>0</v>
      </c>
      <c r="AS111" s="23">
        <f t="shared" si="3"/>
        <v>0</v>
      </c>
    </row>
    <row r="112" ht="15.75" customHeight="1">
      <c r="A112" s="16">
        <v>108.0</v>
      </c>
      <c r="B112" s="17" t="s">
        <v>177</v>
      </c>
      <c r="C112" s="17" t="s">
        <v>147</v>
      </c>
      <c r="D112" s="17" t="s">
        <v>124</v>
      </c>
      <c r="E112" s="18">
        <v>1600.0</v>
      </c>
      <c r="F112" s="25">
        <v>0.0</v>
      </c>
      <c r="G112" s="25">
        <v>0.0</v>
      </c>
      <c r="H112" s="25">
        <v>0.0</v>
      </c>
      <c r="I112" s="26">
        <v>0.0</v>
      </c>
      <c r="J112" s="25">
        <v>0.0</v>
      </c>
      <c r="K112" s="25">
        <v>0.0</v>
      </c>
      <c r="L112" s="25">
        <v>0.0</v>
      </c>
      <c r="M112" s="25">
        <v>0.0</v>
      </c>
      <c r="N112" s="25">
        <v>100.0</v>
      </c>
      <c r="O112" s="25">
        <v>500.0</v>
      </c>
      <c r="P112" s="25">
        <v>0.0</v>
      </c>
      <c r="Q112" s="25">
        <v>0.0</v>
      </c>
      <c r="R112" s="25">
        <v>0.0</v>
      </c>
      <c r="S112" s="25">
        <v>0.0</v>
      </c>
      <c r="T112" s="25">
        <v>0.0</v>
      </c>
      <c r="U112" s="25">
        <v>0.0</v>
      </c>
      <c r="V112" s="25">
        <v>0.0</v>
      </c>
      <c r="W112" s="25">
        <v>0.0</v>
      </c>
      <c r="X112" s="25">
        <v>0.0</v>
      </c>
      <c r="Y112" s="25">
        <v>0.0</v>
      </c>
      <c r="Z112" s="25">
        <v>0.0</v>
      </c>
      <c r="AA112" s="25">
        <v>0.0</v>
      </c>
      <c r="AB112" s="25">
        <v>0.0</v>
      </c>
      <c r="AC112" s="25">
        <v>0.0</v>
      </c>
      <c r="AD112" s="25">
        <v>364.0</v>
      </c>
      <c r="AE112" s="25">
        <v>728.0</v>
      </c>
      <c r="AF112" s="25">
        <v>103.0</v>
      </c>
      <c r="AG112" s="25">
        <v>60.0</v>
      </c>
      <c r="AH112" s="25">
        <v>30.0</v>
      </c>
      <c r="AI112" s="25">
        <v>346.0</v>
      </c>
      <c r="AJ112" s="25">
        <v>0.0</v>
      </c>
      <c r="AK112" s="25">
        <v>0.0</v>
      </c>
      <c r="AL112" s="25">
        <v>0.0</v>
      </c>
      <c r="AM112" s="25">
        <v>0.0</v>
      </c>
      <c r="AN112" s="25">
        <v>100.0</v>
      </c>
      <c r="AO112" s="21">
        <f t="shared" si="1"/>
        <v>2331</v>
      </c>
      <c r="AP112" s="35">
        <v>2331.0</v>
      </c>
      <c r="AQ112" s="36">
        <v>2331.0</v>
      </c>
      <c r="AR112" s="37">
        <f t="shared" si="2"/>
        <v>0</v>
      </c>
      <c r="AS112" s="23">
        <f t="shared" si="3"/>
        <v>0</v>
      </c>
    </row>
    <row r="113" ht="15.75" customHeight="1">
      <c r="A113" s="16">
        <v>109.0</v>
      </c>
      <c r="B113" s="17" t="s">
        <v>178</v>
      </c>
      <c r="C113" s="17" t="s">
        <v>147</v>
      </c>
      <c r="D113" s="17" t="s">
        <v>124</v>
      </c>
      <c r="E113" s="18">
        <v>1600.0</v>
      </c>
      <c r="F113" s="25">
        <v>0.0</v>
      </c>
      <c r="G113" s="25">
        <v>0.0</v>
      </c>
      <c r="H113" s="25">
        <v>0.0</v>
      </c>
      <c r="I113" s="26">
        <v>0.0</v>
      </c>
      <c r="J113" s="25">
        <v>0.0</v>
      </c>
      <c r="K113" s="25">
        <v>0.0</v>
      </c>
      <c r="L113" s="25">
        <v>0.0</v>
      </c>
      <c r="M113" s="25">
        <v>0.0</v>
      </c>
      <c r="N113" s="25">
        <v>0.0</v>
      </c>
      <c r="O113" s="25">
        <v>0.0</v>
      </c>
      <c r="P113" s="25">
        <v>0.0</v>
      </c>
      <c r="Q113" s="25">
        <v>0.0</v>
      </c>
      <c r="R113" s="25">
        <v>0.0</v>
      </c>
      <c r="S113" s="25">
        <v>0.0</v>
      </c>
      <c r="T113" s="25">
        <v>0.0</v>
      </c>
      <c r="U113" s="25">
        <v>0.0</v>
      </c>
      <c r="V113" s="25">
        <v>0.0</v>
      </c>
      <c r="W113" s="25">
        <v>0.0</v>
      </c>
      <c r="X113" s="25">
        <v>0.0</v>
      </c>
      <c r="Y113" s="25">
        <v>0.0</v>
      </c>
      <c r="Z113" s="25">
        <v>0.0</v>
      </c>
      <c r="AA113" s="25">
        <v>0.0</v>
      </c>
      <c r="AB113" s="25">
        <v>0.0</v>
      </c>
      <c r="AC113" s="25">
        <v>0.0</v>
      </c>
      <c r="AD113" s="25">
        <v>0.0</v>
      </c>
      <c r="AE113" s="25">
        <v>0.0</v>
      </c>
      <c r="AF113" s="25">
        <v>0.0</v>
      </c>
      <c r="AG113" s="25">
        <v>0.0</v>
      </c>
      <c r="AH113" s="25">
        <v>0.0</v>
      </c>
      <c r="AI113" s="25">
        <v>0.0</v>
      </c>
      <c r="AJ113" s="25">
        <v>0.0</v>
      </c>
      <c r="AK113" s="25">
        <v>0.0</v>
      </c>
      <c r="AL113" s="25">
        <v>0.0</v>
      </c>
      <c r="AM113" s="25">
        <v>0.0</v>
      </c>
      <c r="AN113" s="25">
        <v>0.0</v>
      </c>
      <c r="AO113" s="21">
        <f t="shared" si="1"/>
        <v>0</v>
      </c>
      <c r="AP113" s="35">
        <v>0.0</v>
      </c>
      <c r="AQ113" s="41">
        <v>0.0</v>
      </c>
      <c r="AR113" s="37">
        <f t="shared" si="2"/>
        <v>0</v>
      </c>
      <c r="AS113" s="23">
        <f t="shared" si="3"/>
        <v>0</v>
      </c>
    </row>
    <row r="114" ht="15.75" customHeight="1">
      <c r="A114" s="16">
        <v>110.0</v>
      </c>
      <c r="B114" s="17" t="s">
        <v>179</v>
      </c>
      <c r="C114" s="17" t="s">
        <v>147</v>
      </c>
      <c r="D114" s="17" t="s">
        <v>124</v>
      </c>
      <c r="E114" s="18">
        <v>1600.0</v>
      </c>
      <c r="F114" s="25">
        <v>0.0</v>
      </c>
      <c r="G114" s="25">
        <v>0.0</v>
      </c>
      <c r="H114" s="25">
        <v>0.0</v>
      </c>
      <c r="I114" s="26">
        <v>0.0</v>
      </c>
      <c r="J114" s="25">
        <v>0.0</v>
      </c>
      <c r="K114" s="25">
        <v>0.0</v>
      </c>
      <c r="L114" s="25">
        <v>0.0</v>
      </c>
      <c r="M114" s="25">
        <v>0.0</v>
      </c>
      <c r="N114" s="25">
        <v>0.0</v>
      </c>
      <c r="O114" s="25">
        <v>0.0</v>
      </c>
      <c r="P114" s="25">
        <v>0.0</v>
      </c>
      <c r="Q114" s="25">
        <v>0.0</v>
      </c>
      <c r="R114" s="25">
        <v>0.0</v>
      </c>
      <c r="S114" s="25">
        <v>0.0</v>
      </c>
      <c r="T114" s="25">
        <v>0.0</v>
      </c>
      <c r="U114" s="25">
        <v>0.0</v>
      </c>
      <c r="V114" s="25">
        <v>0.0</v>
      </c>
      <c r="W114" s="25">
        <v>0.0</v>
      </c>
      <c r="X114" s="25">
        <v>0.0</v>
      </c>
      <c r="Y114" s="25">
        <v>0.0</v>
      </c>
      <c r="Z114" s="25">
        <v>0.0</v>
      </c>
      <c r="AA114" s="25">
        <v>0.0</v>
      </c>
      <c r="AB114" s="25">
        <v>0.0</v>
      </c>
      <c r="AC114" s="25">
        <v>0.0</v>
      </c>
      <c r="AD114" s="25">
        <v>364.0</v>
      </c>
      <c r="AE114" s="25">
        <v>728.0</v>
      </c>
      <c r="AF114" s="25">
        <v>123.0</v>
      </c>
      <c r="AG114" s="25">
        <v>80.0</v>
      </c>
      <c r="AH114" s="25">
        <v>30.0</v>
      </c>
      <c r="AI114" s="25">
        <v>56.0</v>
      </c>
      <c r="AJ114" s="25">
        <v>0.0</v>
      </c>
      <c r="AK114" s="25">
        <v>0.0</v>
      </c>
      <c r="AL114" s="25">
        <v>0.0</v>
      </c>
      <c r="AM114" s="25">
        <v>0.0</v>
      </c>
      <c r="AN114" s="25">
        <v>220.0</v>
      </c>
      <c r="AO114" s="21">
        <f t="shared" si="1"/>
        <v>1601</v>
      </c>
      <c r="AP114" s="35">
        <v>1601.0</v>
      </c>
      <c r="AQ114" s="39">
        <v>1601.0</v>
      </c>
      <c r="AR114" s="37">
        <f t="shared" si="2"/>
        <v>0</v>
      </c>
      <c r="AS114" s="23">
        <f t="shared" si="3"/>
        <v>0</v>
      </c>
    </row>
    <row r="115" ht="15.75" customHeight="1">
      <c r="A115" s="16">
        <v>111.0</v>
      </c>
      <c r="B115" s="17" t="s">
        <v>180</v>
      </c>
      <c r="C115" s="17" t="s">
        <v>147</v>
      </c>
      <c r="D115" s="17" t="s">
        <v>124</v>
      </c>
      <c r="E115" s="18">
        <v>1600.0</v>
      </c>
      <c r="F115" s="25">
        <v>0.0</v>
      </c>
      <c r="G115" s="25">
        <v>0.0</v>
      </c>
      <c r="H115" s="25">
        <v>0.0</v>
      </c>
      <c r="I115" s="26">
        <v>0.0</v>
      </c>
      <c r="J115" s="25">
        <v>0.0</v>
      </c>
      <c r="K115" s="25">
        <v>0.0</v>
      </c>
      <c r="L115" s="25">
        <v>0.0</v>
      </c>
      <c r="M115" s="25">
        <v>0.0</v>
      </c>
      <c r="N115" s="25">
        <v>50.0</v>
      </c>
      <c r="O115" s="25">
        <v>0.0</v>
      </c>
      <c r="P115" s="25">
        <v>0.0</v>
      </c>
      <c r="Q115" s="25">
        <v>0.0</v>
      </c>
      <c r="R115" s="25">
        <v>0.0</v>
      </c>
      <c r="S115" s="25">
        <v>0.0</v>
      </c>
      <c r="T115" s="25">
        <v>0.0</v>
      </c>
      <c r="U115" s="25">
        <v>0.0</v>
      </c>
      <c r="V115" s="25">
        <v>0.0</v>
      </c>
      <c r="W115" s="25">
        <v>0.0</v>
      </c>
      <c r="X115" s="25">
        <v>0.0</v>
      </c>
      <c r="Y115" s="25">
        <v>0.0</v>
      </c>
      <c r="Z115" s="25">
        <v>0.0</v>
      </c>
      <c r="AA115" s="25">
        <v>0.0</v>
      </c>
      <c r="AB115" s="25">
        <v>0.0</v>
      </c>
      <c r="AC115" s="25">
        <v>0.0</v>
      </c>
      <c r="AD115" s="25">
        <v>364.0</v>
      </c>
      <c r="AE115" s="25">
        <v>728.0</v>
      </c>
      <c r="AF115" s="25">
        <v>159.94</v>
      </c>
      <c r="AG115" s="25">
        <v>40.0</v>
      </c>
      <c r="AH115" s="25">
        <v>30.0</v>
      </c>
      <c r="AI115" s="25">
        <v>56.0</v>
      </c>
      <c r="AJ115" s="25">
        <v>30.0</v>
      </c>
      <c r="AK115" s="25">
        <v>0.0</v>
      </c>
      <c r="AL115" s="25">
        <v>50.0</v>
      </c>
      <c r="AM115" s="25">
        <v>0.0</v>
      </c>
      <c r="AN115" s="25">
        <v>130.0</v>
      </c>
      <c r="AO115" s="21">
        <f t="shared" si="1"/>
        <v>1637.94</v>
      </c>
      <c r="AP115" s="35">
        <v>1637.94</v>
      </c>
      <c r="AQ115" s="36">
        <v>1637.94</v>
      </c>
      <c r="AR115" s="37">
        <f t="shared" si="2"/>
        <v>0</v>
      </c>
      <c r="AS115" s="23">
        <f t="shared" si="3"/>
        <v>0</v>
      </c>
    </row>
    <row r="116" ht="15.75" customHeight="1">
      <c r="A116" s="16">
        <v>112.0</v>
      </c>
      <c r="B116" s="17" t="s">
        <v>181</v>
      </c>
      <c r="C116" s="17" t="s">
        <v>182</v>
      </c>
      <c r="D116" s="17" t="s">
        <v>95</v>
      </c>
      <c r="E116" s="42">
        <v>1600.0</v>
      </c>
      <c r="F116" s="43">
        <v>0.0</v>
      </c>
      <c r="G116" s="43">
        <v>0.0</v>
      </c>
      <c r="H116" s="43">
        <v>0.0</v>
      </c>
      <c r="I116" s="43">
        <v>0.0</v>
      </c>
      <c r="J116" s="43">
        <v>0.0</v>
      </c>
      <c r="K116" s="43">
        <v>0.0</v>
      </c>
      <c r="L116" s="43">
        <v>0.0</v>
      </c>
      <c r="M116" s="43">
        <v>0.0</v>
      </c>
      <c r="N116" s="43">
        <v>0.0</v>
      </c>
      <c r="O116" s="43">
        <v>0.0</v>
      </c>
      <c r="P116" s="43">
        <v>0.0</v>
      </c>
      <c r="Q116" s="43">
        <v>0.0</v>
      </c>
      <c r="R116" s="43">
        <v>0.0</v>
      </c>
      <c r="S116" s="43">
        <v>0.0</v>
      </c>
      <c r="T116" s="43">
        <v>0.0</v>
      </c>
      <c r="U116" s="43">
        <v>0.0</v>
      </c>
      <c r="V116" s="43">
        <v>0.0</v>
      </c>
      <c r="W116" s="43">
        <v>0.0</v>
      </c>
      <c r="X116" s="43">
        <v>0.0</v>
      </c>
      <c r="Y116" s="43">
        <v>0.0</v>
      </c>
      <c r="Z116" s="43">
        <v>0.0</v>
      </c>
      <c r="AA116" s="43">
        <v>0.0</v>
      </c>
      <c r="AB116" s="43">
        <v>0.0</v>
      </c>
      <c r="AC116" s="43">
        <v>0.0</v>
      </c>
      <c r="AD116" s="43">
        <v>0.0</v>
      </c>
      <c r="AE116" s="43">
        <v>0.0</v>
      </c>
      <c r="AF116" s="43">
        <v>0.0</v>
      </c>
      <c r="AG116" s="43">
        <v>0.0</v>
      </c>
      <c r="AH116" s="43">
        <v>0.0</v>
      </c>
      <c r="AI116" s="43">
        <v>0.0</v>
      </c>
      <c r="AJ116" s="43">
        <v>0.0</v>
      </c>
      <c r="AK116" s="43">
        <v>0.0</v>
      </c>
      <c r="AL116" s="43">
        <v>0.0</v>
      </c>
      <c r="AM116" s="43">
        <v>0.0</v>
      </c>
      <c r="AN116" s="43">
        <v>0.0</v>
      </c>
      <c r="AO116" s="21">
        <f t="shared" si="1"/>
        <v>0</v>
      </c>
      <c r="AP116" s="22">
        <v>0.0</v>
      </c>
      <c r="AQ116" s="22">
        <v>0.0</v>
      </c>
      <c r="AR116" s="23">
        <f t="shared" si="2"/>
        <v>0</v>
      </c>
      <c r="AS116" s="23">
        <f t="shared" si="3"/>
        <v>0</v>
      </c>
    </row>
    <row r="117" ht="15.75" customHeight="1">
      <c r="A117" s="16">
        <v>113.0</v>
      </c>
      <c r="B117" s="17" t="s">
        <v>183</v>
      </c>
      <c r="C117" s="17" t="s">
        <v>147</v>
      </c>
      <c r="D117" s="17" t="s">
        <v>110</v>
      </c>
      <c r="E117" s="32">
        <v>1600.0</v>
      </c>
      <c r="F117" s="33">
        <v>0.0</v>
      </c>
      <c r="G117" s="33">
        <v>0.0</v>
      </c>
      <c r="H117" s="33">
        <v>0.0</v>
      </c>
      <c r="I117" s="33">
        <v>0.0</v>
      </c>
      <c r="J117" s="33">
        <v>0.0</v>
      </c>
      <c r="K117" s="33">
        <v>0.0</v>
      </c>
      <c r="L117" s="33">
        <v>0.0</v>
      </c>
      <c r="M117" s="33">
        <v>0.0</v>
      </c>
      <c r="N117" s="33">
        <v>0.0</v>
      </c>
      <c r="O117" s="33">
        <v>0.0</v>
      </c>
      <c r="P117" s="33">
        <v>0.0</v>
      </c>
      <c r="Q117" s="33">
        <v>0.0</v>
      </c>
      <c r="R117" s="33">
        <v>0.0</v>
      </c>
      <c r="S117" s="33">
        <v>0.0</v>
      </c>
      <c r="T117" s="33">
        <v>0.0</v>
      </c>
      <c r="U117" s="33">
        <v>0.0</v>
      </c>
      <c r="V117" s="33">
        <v>0.0</v>
      </c>
      <c r="W117" s="33">
        <v>0.0</v>
      </c>
      <c r="X117" s="33">
        <v>0.0</v>
      </c>
      <c r="Y117" s="33">
        <v>0.0</v>
      </c>
      <c r="Z117" s="33">
        <v>0.0</v>
      </c>
      <c r="AA117" s="33">
        <v>0.0</v>
      </c>
      <c r="AB117" s="33">
        <v>0.0</v>
      </c>
      <c r="AC117" s="33">
        <v>0.0</v>
      </c>
      <c r="AD117" s="33">
        <v>0.0</v>
      </c>
      <c r="AE117" s="33">
        <v>0.0</v>
      </c>
      <c r="AF117" s="33">
        <v>0.0</v>
      </c>
      <c r="AG117" s="33">
        <v>0.0</v>
      </c>
      <c r="AH117" s="33">
        <v>0.0</v>
      </c>
      <c r="AI117" s="33">
        <v>0.0</v>
      </c>
      <c r="AJ117" s="33">
        <v>0.0</v>
      </c>
      <c r="AK117" s="33">
        <v>0.0</v>
      </c>
      <c r="AL117" s="33">
        <v>0.0</v>
      </c>
      <c r="AM117" s="33">
        <v>0.0</v>
      </c>
      <c r="AN117" s="33">
        <v>0.0</v>
      </c>
      <c r="AO117" s="21">
        <f t="shared" si="1"/>
        <v>0</v>
      </c>
      <c r="AP117" s="35">
        <v>0.0</v>
      </c>
      <c r="AQ117" s="35">
        <v>0.0</v>
      </c>
      <c r="AR117" s="37">
        <f t="shared" si="2"/>
        <v>0</v>
      </c>
      <c r="AS117" s="23">
        <f t="shared" si="3"/>
        <v>0</v>
      </c>
    </row>
    <row r="118" ht="15.75" customHeight="1">
      <c r="A118" s="16">
        <v>114.0</v>
      </c>
      <c r="B118" s="17" t="s">
        <v>184</v>
      </c>
      <c r="C118" s="17" t="s">
        <v>147</v>
      </c>
      <c r="D118" s="17" t="s">
        <v>110</v>
      </c>
      <c r="E118" s="32">
        <v>1600.0</v>
      </c>
      <c r="F118" s="33">
        <v>0.0</v>
      </c>
      <c r="G118" s="33">
        <v>0.0</v>
      </c>
      <c r="H118" s="33">
        <v>0.0</v>
      </c>
      <c r="I118" s="33">
        <v>0.0</v>
      </c>
      <c r="J118" s="33">
        <v>0.0</v>
      </c>
      <c r="K118" s="33">
        <v>0.0</v>
      </c>
      <c r="L118" s="33">
        <v>0.0</v>
      </c>
      <c r="M118" s="33">
        <v>0.0</v>
      </c>
      <c r="N118" s="33">
        <v>0.0</v>
      </c>
      <c r="O118" s="33">
        <v>0.0</v>
      </c>
      <c r="P118" s="33">
        <v>0.0</v>
      </c>
      <c r="Q118" s="33">
        <v>0.0</v>
      </c>
      <c r="R118" s="33">
        <v>0.0</v>
      </c>
      <c r="S118" s="33">
        <v>0.0</v>
      </c>
      <c r="T118" s="33">
        <v>0.0</v>
      </c>
      <c r="U118" s="33">
        <v>0.0</v>
      </c>
      <c r="V118" s="33">
        <v>0.0</v>
      </c>
      <c r="W118" s="33">
        <v>0.0</v>
      </c>
      <c r="X118" s="33">
        <v>0.0</v>
      </c>
      <c r="Y118" s="33">
        <v>0.0</v>
      </c>
      <c r="Z118" s="33">
        <v>0.0</v>
      </c>
      <c r="AA118" s="33">
        <v>0.0</v>
      </c>
      <c r="AB118" s="33">
        <v>0.0</v>
      </c>
      <c r="AC118" s="33">
        <v>0.0</v>
      </c>
      <c r="AD118" s="33">
        <v>0.0</v>
      </c>
      <c r="AE118" s="33">
        <v>0.0</v>
      </c>
      <c r="AF118" s="33">
        <v>0.0</v>
      </c>
      <c r="AG118" s="33">
        <v>0.0</v>
      </c>
      <c r="AH118" s="33">
        <v>0.0</v>
      </c>
      <c r="AI118" s="33">
        <v>0.0</v>
      </c>
      <c r="AJ118" s="33">
        <v>0.0</v>
      </c>
      <c r="AK118" s="33">
        <v>0.0</v>
      </c>
      <c r="AL118" s="33">
        <v>0.0</v>
      </c>
      <c r="AM118" s="33">
        <v>0.0</v>
      </c>
      <c r="AN118" s="33">
        <v>0.0</v>
      </c>
      <c r="AO118" s="21">
        <f t="shared" si="1"/>
        <v>0</v>
      </c>
      <c r="AP118" s="35">
        <v>0.0</v>
      </c>
      <c r="AQ118" s="35">
        <v>0.0</v>
      </c>
      <c r="AR118" s="37">
        <f t="shared" si="2"/>
        <v>0</v>
      </c>
      <c r="AS118" s="23">
        <f t="shared" si="3"/>
        <v>0</v>
      </c>
    </row>
    <row r="119" ht="45.0" customHeight="1">
      <c r="A119" s="44" t="s">
        <v>185</v>
      </c>
      <c r="B119" s="45"/>
      <c r="C119" s="45"/>
      <c r="D119" s="45"/>
      <c r="E119" s="46">
        <f t="shared" ref="E119:AN119" si="4">SUM(E5:E118)</f>
        <v>182400</v>
      </c>
      <c r="F119" s="47">
        <f t="shared" si="4"/>
        <v>47912.97238</v>
      </c>
      <c r="G119" s="47">
        <f t="shared" si="4"/>
        <v>56.67</v>
      </c>
      <c r="H119" s="47">
        <f t="shared" si="4"/>
        <v>1000</v>
      </c>
      <c r="I119" s="47">
        <f t="shared" si="4"/>
        <v>37165.14351</v>
      </c>
      <c r="J119" s="47">
        <f t="shared" si="4"/>
        <v>0</v>
      </c>
      <c r="K119" s="47">
        <f t="shared" si="4"/>
        <v>1400</v>
      </c>
      <c r="L119" s="47">
        <f t="shared" si="4"/>
        <v>0</v>
      </c>
      <c r="M119" s="47">
        <f t="shared" si="4"/>
        <v>0</v>
      </c>
      <c r="N119" s="47">
        <f t="shared" si="4"/>
        <v>5112.656667</v>
      </c>
      <c r="O119" s="47">
        <f t="shared" si="4"/>
        <v>6343.233333</v>
      </c>
      <c r="P119" s="47">
        <f t="shared" si="4"/>
        <v>600</v>
      </c>
      <c r="Q119" s="47">
        <f t="shared" si="4"/>
        <v>5909.862381</v>
      </c>
      <c r="R119" s="47">
        <f t="shared" si="4"/>
        <v>29930</v>
      </c>
      <c r="S119" s="47">
        <f t="shared" si="4"/>
        <v>10220.99667</v>
      </c>
      <c r="T119" s="47">
        <f t="shared" si="4"/>
        <v>0</v>
      </c>
      <c r="U119" s="47">
        <f t="shared" si="4"/>
        <v>0</v>
      </c>
      <c r="V119" s="47">
        <f t="shared" si="4"/>
        <v>100</v>
      </c>
      <c r="W119" s="47">
        <f t="shared" si="4"/>
        <v>0</v>
      </c>
      <c r="X119" s="47">
        <f t="shared" si="4"/>
        <v>1000</v>
      </c>
      <c r="Y119" s="47">
        <f t="shared" si="4"/>
        <v>4400</v>
      </c>
      <c r="Z119" s="47">
        <f t="shared" si="4"/>
        <v>6489.993333</v>
      </c>
      <c r="AA119" s="47">
        <f t="shared" si="4"/>
        <v>0</v>
      </c>
      <c r="AB119" s="47">
        <f t="shared" si="4"/>
        <v>700</v>
      </c>
      <c r="AC119" s="47">
        <f t="shared" si="4"/>
        <v>240</v>
      </c>
      <c r="AD119" s="47">
        <f t="shared" si="4"/>
        <v>34194.16</v>
      </c>
      <c r="AE119" s="47">
        <f t="shared" si="4"/>
        <v>68388.32</v>
      </c>
      <c r="AF119" s="47">
        <f t="shared" si="4"/>
        <v>15231.58412</v>
      </c>
      <c r="AG119" s="47">
        <f t="shared" si="4"/>
        <v>13940</v>
      </c>
      <c r="AH119" s="47">
        <f t="shared" si="4"/>
        <v>10076</v>
      </c>
      <c r="AI119" s="47">
        <f t="shared" si="4"/>
        <v>28304</v>
      </c>
      <c r="AJ119" s="47">
        <f t="shared" si="4"/>
        <v>7263</v>
      </c>
      <c r="AK119" s="47">
        <f t="shared" si="4"/>
        <v>520</v>
      </c>
      <c r="AL119" s="47">
        <f t="shared" si="4"/>
        <v>2600</v>
      </c>
      <c r="AM119" s="47">
        <f t="shared" si="4"/>
        <v>1146</v>
      </c>
      <c r="AN119" s="47">
        <f t="shared" si="4"/>
        <v>10781</v>
      </c>
      <c r="AO119" s="21">
        <f t="shared" si="1"/>
        <v>351025.5924</v>
      </c>
      <c r="AP119" s="48"/>
      <c r="AQ119" s="48"/>
      <c r="AR119" s="48"/>
      <c r="AS119" s="48"/>
    </row>
    <row r="120" ht="45.0" customHeight="1">
      <c r="A120" s="44" t="s">
        <v>186</v>
      </c>
      <c r="B120" s="45"/>
      <c r="C120" s="45"/>
      <c r="D120" s="45"/>
      <c r="E120" s="45"/>
      <c r="F120" s="47">
        <f>'IC01'!V156</f>
        <v>47912.97238</v>
      </c>
      <c r="G120" s="47">
        <f>'IC02'!L13</f>
        <v>56.67</v>
      </c>
      <c r="H120" s="47">
        <f>'IC03'!L16</f>
        <v>1000</v>
      </c>
      <c r="I120" s="47">
        <f>'IC04'!K1666</f>
        <v>37165.14351</v>
      </c>
      <c r="J120" s="47">
        <f>'IC05'!L15</f>
        <v>0</v>
      </c>
      <c r="K120" s="47">
        <f>'IC06'!I14</f>
        <v>1400</v>
      </c>
      <c r="L120" s="47">
        <f>'IC07'!H12</f>
        <v>0</v>
      </c>
      <c r="M120" s="47">
        <f>'IC08'!I16</f>
        <v>0</v>
      </c>
      <c r="N120" s="47">
        <f>'IC09'!N122</f>
        <v>5112.656667</v>
      </c>
      <c r="O120" s="47">
        <f>'IC10'!M38</f>
        <v>6343.233333</v>
      </c>
      <c r="P120" s="47">
        <f>'IC11'!J18</f>
        <v>600</v>
      </c>
      <c r="Q120" s="47">
        <f>'IC12'!K803</f>
        <v>5909.862381</v>
      </c>
      <c r="R120" s="47">
        <f>'IC13'!I505</f>
        <v>29930</v>
      </c>
      <c r="S120" s="47">
        <f>'IC14'!O157</f>
        <v>10220.99667</v>
      </c>
      <c r="T120" s="47">
        <f>'IC15'!I12</f>
        <v>0</v>
      </c>
      <c r="U120" s="47">
        <f>'IC16'!H13</f>
        <v>0</v>
      </c>
      <c r="V120" s="47">
        <f>'IC17'!I15</f>
        <v>100</v>
      </c>
      <c r="W120" s="47">
        <f>'ID01'!M14</f>
        <v>0</v>
      </c>
      <c r="X120" s="47">
        <f>'ID02'!L20</f>
        <v>1000</v>
      </c>
      <c r="Y120" s="47">
        <f>'ID03'!H42</f>
        <v>4400</v>
      </c>
      <c r="Z120" s="47">
        <f>'ID04'!H70</f>
        <v>6489.993333</v>
      </c>
      <c r="AA120" s="47">
        <f>'ID05'!H15</f>
        <v>0</v>
      </c>
      <c r="AB120" s="47">
        <f>'ID06'!F19</f>
        <v>700</v>
      </c>
      <c r="AC120" s="47">
        <f>'ID07'!F20</f>
        <v>240</v>
      </c>
      <c r="AD120" s="47">
        <f>'ID08'!E141</f>
        <v>34194.16</v>
      </c>
      <c r="AE120" s="47">
        <f>'ID09'!E132</f>
        <v>68388.32</v>
      </c>
      <c r="AF120" s="47">
        <f>'ID10'!F1643</f>
        <v>15231.58412</v>
      </c>
      <c r="AG120" s="47">
        <f>'ID11'!E659</f>
        <v>13940</v>
      </c>
      <c r="AH120" s="47">
        <f>'ID12'!E286</f>
        <v>10076</v>
      </c>
      <c r="AI120" s="47">
        <f>'ID13'!E234</f>
        <v>28304</v>
      </c>
      <c r="AJ120" s="47">
        <f>'ID14'!E318</f>
        <v>7263</v>
      </c>
      <c r="AK120" s="47">
        <f>'ID15'!L17</f>
        <v>520</v>
      </c>
      <c r="AL120" s="47">
        <f>'ID16'!E61</f>
        <v>2600</v>
      </c>
      <c r="AM120" s="47">
        <f>'ID17'!M19</f>
        <v>1146</v>
      </c>
      <c r="AN120" s="47">
        <f>'ID18'!E243</f>
        <v>10781</v>
      </c>
      <c r="AO120" s="21">
        <f t="shared" si="1"/>
        <v>351025.5924</v>
      </c>
      <c r="AP120" s="48"/>
      <c r="AQ120" s="48"/>
      <c r="AR120" s="48"/>
      <c r="AS120" s="48"/>
    </row>
    <row r="121" ht="45.0" customHeight="1">
      <c r="A121" s="49" t="s">
        <v>187</v>
      </c>
      <c r="B121" s="50"/>
      <c r="C121" s="50"/>
      <c r="D121" s="50"/>
      <c r="E121" s="50"/>
      <c r="F121" s="51">
        <f t="shared" ref="F121:AN121" si="5">F119-F120</f>
        <v>0</v>
      </c>
      <c r="G121" s="51">
        <f t="shared" si="5"/>
        <v>0</v>
      </c>
      <c r="H121" s="51">
        <f t="shared" si="5"/>
        <v>0</v>
      </c>
      <c r="I121" s="52">
        <f t="shared" si="5"/>
        <v>0</v>
      </c>
      <c r="J121" s="51">
        <f t="shared" si="5"/>
        <v>0</v>
      </c>
      <c r="K121" s="51">
        <f t="shared" si="5"/>
        <v>0</v>
      </c>
      <c r="L121" s="51">
        <f t="shared" si="5"/>
        <v>0</v>
      </c>
      <c r="M121" s="51">
        <f t="shared" si="5"/>
        <v>0</v>
      </c>
      <c r="N121" s="51">
        <f t="shared" si="5"/>
        <v>0</v>
      </c>
      <c r="O121" s="51">
        <f t="shared" si="5"/>
        <v>0</v>
      </c>
      <c r="P121" s="51">
        <f t="shared" si="5"/>
        <v>0</v>
      </c>
      <c r="Q121" s="51">
        <f t="shared" si="5"/>
        <v>0</v>
      </c>
      <c r="R121" s="51">
        <f t="shared" si="5"/>
        <v>0</v>
      </c>
      <c r="S121" s="51">
        <f t="shared" si="5"/>
        <v>0</v>
      </c>
      <c r="T121" s="51">
        <f t="shared" si="5"/>
        <v>0</v>
      </c>
      <c r="U121" s="51">
        <f t="shared" si="5"/>
        <v>0</v>
      </c>
      <c r="V121" s="51">
        <f t="shared" si="5"/>
        <v>0</v>
      </c>
      <c r="W121" s="51">
        <f t="shared" si="5"/>
        <v>0</v>
      </c>
      <c r="X121" s="51">
        <f t="shared" si="5"/>
        <v>0</v>
      </c>
      <c r="Y121" s="51">
        <f t="shared" si="5"/>
        <v>0</v>
      </c>
      <c r="Z121" s="51">
        <f t="shared" si="5"/>
        <v>0</v>
      </c>
      <c r="AA121" s="51">
        <f t="shared" si="5"/>
        <v>0</v>
      </c>
      <c r="AB121" s="51">
        <f t="shared" si="5"/>
        <v>0</v>
      </c>
      <c r="AC121" s="51">
        <f t="shared" si="5"/>
        <v>0</v>
      </c>
      <c r="AD121" s="51">
        <f t="shared" si="5"/>
        <v>0</v>
      </c>
      <c r="AE121" s="51">
        <f t="shared" si="5"/>
        <v>0</v>
      </c>
      <c r="AF121" s="51">
        <f t="shared" si="5"/>
        <v>0</v>
      </c>
      <c r="AG121" s="51">
        <f t="shared" si="5"/>
        <v>0</v>
      </c>
      <c r="AH121" s="51">
        <f t="shared" si="5"/>
        <v>0</v>
      </c>
      <c r="AI121" s="51">
        <f t="shared" si="5"/>
        <v>0</v>
      </c>
      <c r="AJ121" s="51">
        <f t="shared" si="5"/>
        <v>0</v>
      </c>
      <c r="AK121" s="51">
        <f t="shared" si="5"/>
        <v>0</v>
      </c>
      <c r="AL121" s="51">
        <f t="shared" si="5"/>
        <v>0</v>
      </c>
      <c r="AM121" s="51">
        <f t="shared" si="5"/>
        <v>0</v>
      </c>
      <c r="AN121" s="51">
        <f t="shared" si="5"/>
        <v>0</v>
      </c>
      <c r="AO121" s="51">
        <f t="shared" si="1"/>
        <v>0</v>
      </c>
      <c r="AP121" s="53" t="s">
        <v>188</v>
      </c>
      <c r="AQ121" s="54"/>
      <c r="AR121" s="54"/>
      <c r="AS121" s="54"/>
    </row>
    <row r="122" ht="15.75" customHeight="1">
      <c r="A122" s="1"/>
      <c r="B122" s="1"/>
      <c r="C122" s="1"/>
      <c r="D122" s="1"/>
      <c r="E122" s="1"/>
      <c r="F122" s="2"/>
      <c r="G122" s="1"/>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row>
    <row r="123" ht="53.25" customHeight="1">
      <c r="A123" s="1"/>
      <c r="B123" s="55" t="s">
        <v>189</v>
      </c>
      <c r="C123" s="55"/>
      <c r="D123" s="56">
        <v>114.0</v>
      </c>
      <c r="E123" s="1"/>
      <c r="F123" s="2"/>
      <c r="G123" s="1"/>
      <c r="H123" s="3"/>
      <c r="I123" s="57"/>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row>
    <row r="124" ht="53.25" customHeight="1">
      <c r="A124" s="1"/>
      <c r="B124" s="58" t="s">
        <v>190</v>
      </c>
      <c r="C124" s="58"/>
      <c r="D124" s="45">
        <f>COUNTA(D5:D118)</f>
        <v>114</v>
      </c>
      <c r="E124" s="1"/>
      <c r="F124" s="2"/>
      <c r="G124" s="1"/>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row>
    <row r="125" ht="53.25" customHeight="1">
      <c r="A125" s="1"/>
      <c r="B125" s="59" t="s">
        <v>191</v>
      </c>
      <c r="C125" s="59"/>
      <c r="D125" s="60">
        <f>D123-D124</f>
        <v>0</v>
      </c>
      <c r="E125" s="9" t="s">
        <v>192</v>
      </c>
      <c r="F125" s="2"/>
      <c r="G125" s="1"/>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row>
    <row r="126" ht="15.75" customHeight="1">
      <c r="A126" s="1"/>
      <c r="B126" s="1"/>
      <c r="C126" s="1"/>
      <c r="D126" s="1"/>
      <c r="E126" s="1"/>
      <c r="F126" s="2"/>
      <c r="G126" s="1"/>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row>
    <row r="127" ht="15.75" customHeight="1">
      <c r="A127" s="1"/>
      <c r="B127" s="1"/>
      <c r="C127" s="1"/>
      <c r="D127" s="1"/>
      <c r="E127" s="1"/>
      <c r="F127" s="2"/>
      <c r="G127" s="1"/>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row>
    <row r="128" ht="15.75" customHeight="1">
      <c r="A128" s="1"/>
      <c r="B128" s="1"/>
      <c r="C128" s="1"/>
      <c r="D128" s="1"/>
      <c r="E128" s="1"/>
      <c r="F128" s="2"/>
      <c r="G128" s="1"/>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row>
    <row r="129" ht="15.75" customHeight="1">
      <c r="A129" s="1"/>
      <c r="B129" s="1"/>
      <c r="C129" s="1"/>
      <c r="D129" s="1"/>
      <c r="E129" s="1"/>
      <c r="F129" s="2"/>
      <c r="G129" s="1"/>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row>
    <row r="130" ht="15.75" customHeight="1">
      <c r="A130" s="1"/>
      <c r="B130" s="1"/>
      <c r="C130" s="1"/>
      <c r="D130" s="1"/>
      <c r="E130" s="1"/>
      <c r="F130" s="2"/>
      <c r="G130" s="1"/>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row>
    <row r="131" ht="15.75" customHeight="1">
      <c r="A131" s="1"/>
      <c r="B131" s="1"/>
      <c r="C131" s="1"/>
      <c r="D131" s="1"/>
      <c r="E131" s="1"/>
      <c r="F131" s="2"/>
      <c r="G131" s="1"/>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row>
    <row r="132" ht="15.75" customHeight="1">
      <c r="A132" s="1"/>
      <c r="B132" s="1"/>
      <c r="C132" s="1"/>
      <c r="D132" s="1"/>
      <c r="E132" s="1"/>
      <c r="F132" s="2"/>
      <c r="G132" s="1"/>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row>
    <row r="133" ht="15.75" customHeight="1">
      <c r="A133" s="1"/>
      <c r="B133" s="1"/>
      <c r="C133" s="1"/>
      <c r="D133" s="1"/>
      <c r="E133" s="1"/>
      <c r="F133" s="2"/>
      <c r="G133" s="1"/>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row>
    <row r="134" ht="15.75" customHeight="1">
      <c r="A134" s="1"/>
      <c r="B134" s="1"/>
      <c r="C134" s="1"/>
      <c r="D134" s="1"/>
      <c r="E134" s="1"/>
      <c r="F134" s="2"/>
      <c r="G134" s="1"/>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row>
    <row r="135" ht="15.75" customHeight="1">
      <c r="A135" s="1"/>
      <c r="B135" s="1"/>
      <c r="C135" s="1"/>
      <c r="D135" s="1"/>
      <c r="E135" s="1"/>
      <c r="F135" s="2"/>
      <c r="G135" s="1"/>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row>
    <row r="136" ht="15.75" customHeight="1">
      <c r="A136" s="1"/>
      <c r="B136" s="1"/>
      <c r="C136" s="1"/>
      <c r="D136" s="1"/>
      <c r="E136" s="1"/>
      <c r="F136" s="2"/>
      <c r="G136" s="1"/>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row>
    <row r="137" ht="15.75" customHeight="1">
      <c r="A137" s="1"/>
      <c r="B137" s="1"/>
      <c r="C137" s="1"/>
      <c r="D137" s="1"/>
      <c r="E137" s="1"/>
      <c r="F137" s="2"/>
      <c r="G137" s="1"/>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row>
    <row r="138" ht="15.75" customHeight="1">
      <c r="A138" s="1"/>
      <c r="B138" s="1"/>
      <c r="C138" s="1"/>
      <c r="D138" s="1"/>
      <c r="E138" s="1"/>
      <c r="F138" s="2"/>
      <c r="G138" s="1"/>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row>
    <row r="139" ht="15.75" customHeight="1">
      <c r="A139" s="1"/>
      <c r="B139" s="1"/>
      <c r="C139" s="1"/>
      <c r="D139" s="1"/>
      <c r="E139" s="1"/>
      <c r="F139" s="2"/>
      <c r="G139" s="1"/>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row>
    <row r="140" ht="15.75" customHeight="1">
      <c r="A140" s="1"/>
      <c r="B140" s="1"/>
      <c r="C140" s="1"/>
      <c r="D140" s="1"/>
      <c r="E140" s="1"/>
      <c r="F140" s="2"/>
      <c r="G140" s="1"/>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row>
    <row r="141" ht="15.75" customHeight="1">
      <c r="A141" s="1"/>
      <c r="B141" s="1"/>
      <c r="C141" s="1"/>
      <c r="D141" s="1"/>
      <c r="E141" s="1"/>
      <c r="F141" s="2"/>
      <c r="G141" s="1"/>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row>
    <row r="142" ht="15.75" customHeight="1">
      <c r="A142" s="1"/>
      <c r="B142" s="1"/>
      <c r="C142" s="1"/>
      <c r="D142" s="1"/>
      <c r="E142" s="1"/>
      <c r="F142" s="2"/>
      <c r="G142" s="1"/>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row>
    <row r="143" ht="15.75" customHeight="1">
      <c r="A143" s="1"/>
      <c r="B143" s="1"/>
      <c r="C143" s="1"/>
      <c r="D143" s="1"/>
      <c r="E143" s="1"/>
      <c r="F143" s="2"/>
      <c r="G143" s="1"/>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row>
    <row r="144" ht="15.75" customHeight="1">
      <c r="A144" s="1"/>
      <c r="B144" s="1"/>
      <c r="C144" s="1"/>
      <c r="D144" s="1"/>
      <c r="E144" s="1"/>
      <c r="F144" s="2"/>
      <c r="G144" s="1"/>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row>
    <row r="145" ht="15.75" customHeight="1">
      <c r="A145" s="1"/>
      <c r="B145" s="1"/>
      <c r="C145" s="1"/>
      <c r="D145" s="1"/>
      <c r="E145" s="1"/>
      <c r="F145" s="2"/>
      <c r="G145" s="1"/>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row>
    <row r="146" ht="15.75" customHeight="1">
      <c r="A146" s="1"/>
      <c r="B146" s="1"/>
      <c r="C146" s="1"/>
      <c r="D146" s="1"/>
      <c r="E146" s="1"/>
      <c r="F146" s="2"/>
      <c r="G146" s="1"/>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row>
    <row r="147" ht="15.75" customHeight="1">
      <c r="A147" s="1"/>
      <c r="B147" s="1"/>
      <c r="C147" s="1"/>
      <c r="D147" s="1"/>
      <c r="E147" s="1"/>
      <c r="F147" s="2"/>
      <c r="G147" s="1"/>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row>
    <row r="148" ht="15.75" customHeight="1">
      <c r="A148" s="1"/>
      <c r="B148" s="1"/>
      <c r="C148" s="1"/>
      <c r="D148" s="1"/>
      <c r="E148" s="1"/>
      <c r="F148" s="2"/>
      <c r="G148" s="1"/>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row>
    <row r="149" ht="15.75" customHeight="1">
      <c r="A149" s="1"/>
      <c r="B149" s="1"/>
      <c r="C149" s="1"/>
      <c r="D149" s="1"/>
      <c r="E149" s="1"/>
      <c r="F149" s="2"/>
      <c r="G149" s="1"/>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row>
    <row r="150" ht="15.75" customHeight="1">
      <c r="A150" s="1"/>
      <c r="B150" s="1"/>
      <c r="C150" s="1"/>
      <c r="D150" s="1"/>
      <c r="E150" s="1"/>
      <c r="F150" s="2"/>
      <c r="G150" s="1"/>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row>
    <row r="151" ht="15.75" customHeight="1">
      <c r="A151" s="1"/>
      <c r="B151" s="1"/>
      <c r="C151" s="1"/>
      <c r="D151" s="1"/>
      <c r="E151" s="1"/>
      <c r="F151" s="2"/>
      <c r="G151" s="1"/>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row>
    <row r="152" ht="15.75" customHeight="1">
      <c r="A152" s="1"/>
      <c r="B152" s="1"/>
      <c r="C152" s="1"/>
      <c r="D152" s="1"/>
      <c r="E152" s="1"/>
      <c r="F152" s="2"/>
      <c r="G152" s="1"/>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row>
    <row r="153" ht="15.75" customHeight="1">
      <c r="A153" s="1"/>
      <c r="B153" s="1"/>
      <c r="C153" s="1"/>
      <c r="D153" s="1"/>
      <c r="E153" s="1"/>
      <c r="F153" s="2"/>
      <c r="G153" s="1"/>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row>
    <row r="154" ht="15.75" customHeight="1">
      <c r="A154" s="1"/>
      <c r="B154" s="1"/>
      <c r="C154" s="1"/>
      <c r="D154" s="1"/>
      <c r="E154" s="1"/>
      <c r="F154" s="2"/>
      <c r="G154" s="1"/>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row>
    <row r="155" ht="15.75" customHeight="1">
      <c r="A155" s="1"/>
      <c r="B155" s="1"/>
      <c r="C155" s="1"/>
      <c r="D155" s="1"/>
      <c r="E155" s="1"/>
      <c r="F155" s="2"/>
      <c r="G155" s="1"/>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row>
    <row r="156" ht="15.75" customHeight="1">
      <c r="A156" s="1"/>
      <c r="B156" s="1"/>
      <c r="C156" s="1"/>
      <c r="D156" s="1"/>
      <c r="E156" s="1"/>
      <c r="F156" s="2"/>
      <c r="G156" s="1"/>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row>
    <row r="157" ht="15.75" customHeight="1">
      <c r="A157" s="1"/>
      <c r="B157" s="1"/>
      <c r="C157" s="1"/>
      <c r="D157" s="1"/>
      <c r="E157" s="1"/>
      <c r="F157" s="2"/>
      <c r="G157" s="1"/>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row>
    <row r="158" ht="15.75" customHeight="1">
      <c r="A158" s="1"/>
      <c r="B158" s="1"/>
      <c r="C158" s="1"/>
      <c r="D158" s="1"/>
      <c r="E158" s="1"/>
      <c r="F158" s="2"/>
      <c r="G158" s="1"/>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row>
    <row r="159" ht="15.75" customHeight="1">
      <c r="A159" s="1"/>
      <c r="B159" s="1"/>
      <c r="C159" s="1"/>
      <c r="D159" s="1"/>
      <c r="E159" s="1"/>
      <c r="F159" s="2"/>
      <c r="G159" s="1"/>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row>
    <row r="160" ht="15.75" customHeight="1">
      <c r="A160" s="1"/>
      <c r="B160" s="1"/>
      <c r="C160" s="1"/>
      <c r="D160" s="1"/>
      <c r="E160" s="1"/>
      <c r="F160" s="2"/>
      <c r="G160" s="1"/>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row>
    <row r="161" ht="15.75" customHeight="1">
      <c r="A161" s="1"/>
      <c r="B161" s="1"/>
      <c r="C161" s="1"/>
      <c r="D161" s="1"/>
      <c r="E161" s="1"/>
      <c r="F161" s="2"/>
      <c r="G161" s="1"/>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row>
    <row r="162" ht="15.75" customHeight="1">
      <c r="A162" s="1"/>
      <c r="B162" s="1"/>
      <c r="C162" s="1"/>
      <c r="D162" s="1"/>
      <c r="E162" s="1"/>
      <c r="F162" s="2"/>
      <c r="G162" s="1"/>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row>
    <row r="163" ht="15.75" customHeight="1">
      <c r="A163" s="1"/>
      <c r="B163" s="1"/>
      <c r="C163" s="1"/>
      <c r="D163" s="1"/>
      <c r="E163" s="1"/>
      <c r="F163" s="2"/>
      <c r="G163" s="1"/>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row>
    <row r="164" ht="15.75" customHeight="1">
      <c r="A164" s="1"/>
      <c r="B164" s="1"/>
      <c r="C164" s="1"/>
      <c r="D164" s="1"/>
      <c r="E164" s="1"/>
      <c r="F164" s="2"/>
      <c r="G164" s="1"/>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row>
    <row r="165" ht="15.75" customHeight="1">
      <c r="A165" s="1"/>
      <c r="B165" s="1"/>
      <c r="C165" s="1"/>
      <c r="D165" s="1"/>
      <c r="E165" s="1"/>
      <c r="F165" s="2"/>
      <c r="G165" s="1"/>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row>
    <row r="166" ht="15.75" customHeight="1">
      <c r="A166" s="1"/>
      <c r="B166" s="1"/>
      <c r="C166" s="1"/>
      <c r="D166" s="1"/>
      <c r="E166" s="1"/>
      <c r="F166" s="2"/>
      <c r="G166" s="1"/>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row>
    <row r="167" ht="15.75" customHeight="1">
      <c r="A167" s="1"/>
      <c r="B167" s="1"/>
      <c r="C167" s="1"/>
      <c r="D167" s="1"/>
      <c r="E167" s="1"/>
      <c r="F167" s="2"/>
      <c r="G167" s="1"/>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row>
    <row r="168" ht="15.75" customHeight="1">
      <c r="A168" s="1"/>
      <c r="B168" s="1"/>
      <c r="C168" s="1"/>
      <c r="D168" s="1"/>
      <c r="E168" s="1"/>
      <c r="F168" s="2"/>
      <c r="G168" s="1"/>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row>
    <row r="169" ht="15.75" customHeight="1">
      <c r="A169" s="1"/>
      <c r="B169" s="1"/>
      <c r="C169" s="1"/>
      <c r="D169" s="1"/>
      <c r="E169" s="1"/>
      <c r="F169" s="2"/>
      <c r="G169" s="1"/>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row>
    <row r="170" ht="15.75" customHeight="1">
      <c r="A170" s="1"/>
      <c r="B170" s="1"/>
      <c r="C170" s="1"/>
      <c r="D170" s="1"/>
      <c r="E170" s="1"/>
      <c r="F170" s="2"/>
      <c r="G170" s="1"/>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row>
    <row r="171" ht="15.75" customHeight="1">
      <c r="A171" s="1"/>
      <c r="B171" s="1"/>
      <c r="C171" s="1"/>
      <c r="D171" s="1"/>
      <c r="E171" s="1"/>
      <c r="F171" s="2"/>
      <c r="G171" s="1"/>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row>
    <row r="172" ht="15.75" customHeight="1">
      <c r="A172" s="1"/>
      <c r="B172" s="1"/>
      <c r="C172" s="1"/>
      <c r="D172" s="1"/>
      <c r="E172" s="1"/>
      <c r="F172" s="2"/>
      <c r="G172" s="1"/>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row>
    <row r="173" ht="15.75" customHeight="1">
      <c r="A173" s="1"/>
      <c r="B173" s="1"/>
      <c r="C173" s="1"/>
      <c r="D173" s="1"/>
      <c r="E173" s="1"/>
      <c r="F173" s="2"/>
      <c r="G173" s="1"/>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row>
    <row r="174" ht="15.75" customHeight="1">
      <c r="A174" s="1"/>
      <c r="B174" s="1"/>
      <c r="C174" s="1"/>
      <c r="D174" s="1"/>
      <c r="E174" s="1"/>
      <c r="F174" s="2"/>
      <c r="G174" s="1"/>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row>
    <row r="175" ht="15.75" customHeight="1">
      <c r="A175" s="1"/>
      <c r="B175" s="1"/>
      <c r="C175" s="1"/>
      <c r="D175" s="1"/>
      <c r="E175" s="1"/>
      <c r="F175" s="2"/>
      <c r="G175" s="1"/>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row>
    <row r="176" ht="15.75" customHeight="1">
      <c r="A176" s="1"/>
      <c r="B176" s="1"/>
      <c r="C176" s="1"/>
      <c r="D176" s="1"/>
      <c r="E176" s="1"/>
      <c r="F176" s="2"/>
      <c r="G176" s="1"/>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row>
    <row r="177" ht="15.75" customHeight="1">
      <c r="A177" s="1"/>
      <c r="B177" s="1"/>
      <c r="C177" s="1"/>
      <c r="D177" s="1"/>
      <c r="E177" s="1"/>
      <c r="F177" s="2"/>
      <c r="G177" s="1"/>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row>
    <row r="178" ht="15.75" customHeight="1">
      <c r="A178" s="1"/>
      <c r="B178" s="1"/>
      <c r="C178" s="1"/>
      <c r="D178" s="1"/>
      <c r="E178" s="1"/>
      <c r="F178" s="2"/>
      <c r="G178" s="1"/>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row>
    <row r="179" ht="15.75" customHeight="1">
      <c r="A179" s="1"/>
      <c r="B179" s="1"/>
      <c r="C179" s="1"/>
      <c r="D179" s="1"/>
      <c r="E179" s="1"/>
      <c r="F179" s="2"/>
      <c r="G179" s="1"/>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row>
    <row r="180" ht="15.75" customHeight="1">
      <c r="A180" s="1"/>
      <c r="B180" s="1"/>
      <c r="C180" s="1"/>
      <c r="D180" s="1"/>
      <c r="E180" s="1"/>
      <c r="F180" s="2"/>
      <c r="G180" s="1"/>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row>
    <row r="181" ht="15.75" customHeight="1">
      <c r="A181" s="1"/>
      <c r="B181" s="1"/>
      <c r="C181" s="1"/>
      <c r="D181" s="1"/>
      <c r="E181" s="1"/>
      <c r="F181" s="2"/>
      <c r="G181" s="1"/>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row>
    <row r="182" ht="15.75" customHeight="1">
      <c r="A182" s="1"/>
      <c r="B182" s="1"/>
      <c r="C182" s="1"/>
      <c r="D182" s="1"/>
      <c r="E182" s="1"/>
      <c r="F182" s="2"/>
      <c r="G182" s="1"/>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row>
    <row r="183" ht="15.75" customHeight="1">
      <c r="A183" s="1"/>
      <c r="B183" s="1"/>
      <c r="C183" s="1"/>
      <c r="D183" s="1"/>
      <c r="E183" s="1"/>
      <c r="F183" s="2"/>
      <c r="G183" s="1"/>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row>
    <row r="184" ht="15.75" customHeight="1">
      <c r="A184" s="1"/>
      <c r="B184" s="1"/>
      <c r="C184" s="1"/>
      <c r="D184" s="1"/>
      <c r="E184" s="1"/>
      <c r="F184" s="2"/>
      <c r="G184" s="1"/>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row>
    <row r="185" ht="15.75" customHeight="1">
      <c r="A185" s="1"/>
      <c r="B185" s="1"/>
      <c r="C185" s="1"/>
      <c r="D185" s="1"/>
      <c r="E185" s="1"/>
      <c r="F185" s="2"/>
      <c r="G185" s="1"/>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row>
    <row r="186" ht="15.75" customHeight="1">
      <c r="A186" s="1"/>
      <c r="B186" s="1"/>
      <c r="C186" s="1"/>
      <c r="D186" s="1"/>
      <c r="E186" s="1"/>
      <c r="F186" s="2"/>
      <c r="G186" s="1"/>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row>
    <row r="187" ht="15.75" customHeight="1">
      <c r="A187" s="1"/>
      <c r="B187" s="1"/>
      <c r="C187" s="1"/>
      <c r="D187" s="1"/>
      <c r="E187" s="1"/>
      <c r="F187" s="2"/>
      <c r="G187" s="1"/>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row>
    <row r="188" ht="15.75" customHeight="1">
      <c r="A188" s="1"/>
      <c r="B188" s="1"/>
      <c r="C188" s="1"/>
      <c r="D188" s="1"/>
      <c r="E188" s="1"/>
      <c r="F188" s="2"/>
      <c r="G188" s="1"/>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row>
    <row r="189" ht="15.75" customHeight="1">
      <c r="A189" s="1"/>
      <c r="B189" s="1"/>
      <c r="C189" s="1"/>
      <c r="D189" s="1"/>
      <c r="E189" s="1"/>
      <c r="F189" s="2"/>
      <c r="G189" s="1"/>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row>
    <row r="190" ht="15.75" customHeight="1">
      <c r="A190" s="1"/>
      <c r="B190" s="1"/>
      <c r="C190" s="1"/>
      <c r="D190" s="1"/>
      <c r="E190" s="1"/>
      <c r="F190" s="2"/>
      <c r="G190" s="1"/>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row>
    <row r="191" ht="15.75" customHeight="1">
      <c r="A191" s="1"/>
      <c r="B191" s="1"/>
      <c r="C191" s="1"/>
      <c r="D191" s="1"/>
      <c r="E191" s="1"/>
      <c r="F191" s="2"/>
      <c r="G191" s="1"/>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row>
    <row r="192" ht="15.75" customHeight="1">
      <c r="A192" s="1"/>
      <c r="B192" s="1"/>
      <c r="C192" s="1"/>
      <c r="D192" s="1"/>
      <c r="E192" s="1"/>
      <c r="F192" s="2"/>
      <c r="G192" s="1"/>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row>
    <row r="193" ht="15.75" customHeight="1">
      <c r="A193" s="1"/>
      <c r="B193" s="1"/>
      <c r="C193" s="1"/>
      <c r="D193" s="1"/>
      <c r="E193" s="1"/>
      <c r="F193" s="2"/>
      <c r="G193" s="1"/>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row>
    <row r="194" ht="15.75" customHeight="1">
      <c r="A194" s="1"/>
      <c r="B194" s="1"/>
      <c r="C194" s="1"/>
      <c r="D194" s="1"/>
      <c r="E194" s="1"/>
      <c r="F194" s="2"/>
      <c r="G194" s="1"/>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row>
    <row r="195" ht="15.75" customHeight="1">
      <c r="A195" s="1"/>
      <c r="B195" s="1"/>
      <c r="C195" s="1"/>
      <c r="D195" s="1"/>
      <c r="E195" s="1"/>
      <c r="F195" s="2"/>
      <c r="G195" s="1"/>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row>
    <row r="196" ht="15.75" customHeight="1">
      <c r="A196" s="1"/>
      <c r="B196" s="1"/>
      <c r="C196" s="1"/>
      <c r="D196" s="1"/>
      <c r="E196" s="1"/>
      <c r="F196" s="2"/>
      <c r="G196" s="1"/>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row>
    <row r="197" ht="15.75" customHeight="1">
      <c r="A197" s="1"/>
      <c r="B197" s="1"/>
      <c r="C197" s="1"/>
      <c r="D197" s="1"/>
      <c r="E197" s="1"/>
      <c r="F197" s="2"/>
      <c r="G197" s="1"/>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row>
    <row r="198" ht="15.75" customHeight="1">
      <c r="A198" s="1"/>
      <c r="B198" s="1"/>
      <c r="C198" s="1"/>
      <c r="D198" s="1"/>
      <c r="E198" s="1"/>
      <c r="F198" s="2"/>
      <c r="G198" s="1"/>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row>
    <row r="199" ht="15.75" customHeight="1">
      <c r="A199" s="1"/>
      <c r="B199" s="1"/>
      <c r="C199" s="1"/>
      <c r="D199" s="1"/>
      <c r="E199" s="1"/>
      <c r="F199" s="2"/>
      <c r="G199" s="1"/>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row>
    <row r="200" ht="15.75" customHeight="1">
      <c r="A200" s="1"/>
      <c r="B200" s="1"/>
      <c r="C200" s="1"/>
      <c r="D200" s="1"/>
      <c r="E200" s="1"/>
      <c r="F200" s="2"/>
      <c r="G200" s="1"/>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row>
    <row r="201" ht="15.75" customHeight="1">
      <c r="A201" s="1"/>
      <c r="B201" s="1"/>
      <c r="C201" s="1"/>
      <c r="D201" s="1"/>
      <c r="E201" s="1"/>
      <c r="F201" s="2"/>
      <c r="G201" s="1"/>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row>
    <row r="202" ht="15.75" customHeight="1">
      <c r="A202" s="1"/>
      <c r="B202" s="1"/>
      <c r="C202" s="1"/>
      <c r="D202" s="1"/>
      <c r="E202" s="1"/>
      <c r="F202" s="2"/>
      <c r="G202" s="1"/>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row>
    <row r="203" ht="15.75" customHeight="1">
      <c r="A203" s="1"/>
      <c r="B203" s="1"/>
      <c r="C203" s="1"/>
      <c r="D203" s="1"/>
      <c r="E203" s="1"/>
      <c r="F203" s="2"/>
      <c r="G203" s="1"/>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row>
    <row r="204" ht="15.75" customHeight="1">
      <c r="A204" s="1"/>
      <c r="B204" s="1"/>
      <c r="C204" s="1"/>
      <c r="D204" s="1"/>
      <c r="E204" s="1"/>
      <c r="F204" s="2"/>
      <c r="G204" s="1"/>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row>
    <row r="205" ht="15.75" customHeight="1">
      <c r="A205" s="1"/>
      <c r="B205" s="1"/>
      <c r="C205" s="1"/>
      <c r="D205" s="1"/>
      <c r="E205" s="1"/>
      <c r="F205" s="2"/>
      <c r="G205" s="1"/>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row>
    <row r="206" ht="15.75" customHeight="1">
      <c r="A206" s="1"/>
      <c r="B206" s="1"/>
      <c r="C206" s="1"/>
      <c r="D206" s="1"/>
      <c r="E206" s="1"/>
      <c r="F206" s="2"/>
      <c r="G206" s="1"/>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row>
    <row r="207" ht="15.75" customHeight="1">
      <c r="A207" s="1"/>
      <c r="B207" s="1"/>
      <c r="C207" s="1"/>
      <c r="D207" s="1"/>
      <c r="E207" s="1"/>
      <c r="F207" s="2"/>
      <c r="G207" s="1"/>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row>
    <row r="208" ht="15.75" customHeight="1">
      <c r="A208" s="1"/>
      <c r="B208" s="1"/>
      <c r="C208" s="1"/>
      <c r="D208" s="1"/>
      <c r="E208" s="1"/>
      <c r="F208" s="2"/>
      <c r="G208" s="1"/>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row>
    <row r="209" ht="15.75" customHeight="1">
      <c r="A209" s="1"/>
      <c r="B209" s="1"/>
      <c r="C209" s="1"/>
      <c r="D209" s="1"/>
      <c r="E209" s="1"/>
      <c r="F209" s="2"/>
      <c r="G209" s="1"/>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row>
    <row r="210" ht="15.75" customHeight="1">
      <c r="A210" s="1"/>
      <c r="B210" s="1"/>
      <c r="C210" s="1"/>
      <c r="D210" s="1"/>
      <c r="E210" s="1"/>
      <c r="F210" s="2"/>
      <c r="G210" s="1"/>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row>
    <row r="211" ht="15.75" customHeight="1">
      <c r="A211" s="1"/>
      <c r="B211" s="1"/>
      <c r="C211" s="1"/>
      <c r="D211" s="1"/>
      <c r="E211" s="1"/>
      <c r="F211" s="2"/>
      <c r="G211" s="1"/>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row>
    <row r="212" ht="15.75" customHeight="1">
      <c r="A212" s="1"/>
      <c r="B212" s="1"/>
      <c r="C212" s="1"/>
      <c r="D212" s="1"/>
      <c r="E212" s="1"/>
      <c r="F212" s="2"/>
      <c r="G212" s="1"/>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row>
    <row r="213" ht="15.75" customHeight="1">
      <c r="A213" s="1"/>
      <c r="B213" s="1"/>
      <c r="C213" s="1"/>
      <c r="D213" s="1"/>
      <c r="E213" s="1"/>
      <c r="F213" s="2"/>
      <c r="G213" s="1"/>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row>
    <row r="214" ht="15.75" customHeight="1">
      <c r="A214" s="1"/>
      <c r="B214" s="1"/>
      <c r="C214" s="1"/>
      <c r="D214" s="1"/>
      <c r="E214" s="1"/>
      <c r="F214" s="2"/>
      <c r="G214" s="1"/>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row>
    <row r="215" ht="15.75" customHeight="1">
      <c r="A215" s="1"/>
      <c r="B215" s="1"/>
      <c r="C215" s="1"/>
      <c r="D215" s="1"/>
      <c r="E215" s="1"/>
      <c r="F215" s="2"/>
      <c r="G215" s="1"/>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row>
    <row r="216" ht="15.75" customHeight="1">
      <c r="A216" s="1"/>
      <c r="B216" s="1"/>
      <c r="C216" s="1"/>
      <c r="D216" s="1"/>
      <c r="E216" s="1"/>
      <c r="F216" s="2"/>
      <c r="G216" s="1"/>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row>
    <row r="217" ht="15.75" customHeight="1">
      <c r="A217" s="1"/>
      <c r="B217" s="1"/>
      <c r="C217" s="1"/>
      <c r="D217" s="1"/>
      <c r="E217" s="1"/>
      <c r="F217" s="2"/>
      <c r="G217" s="1"/>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row>
    <row r="218" ht="15.75" customHeight="1">
      <c r="A218" s="1"/>
      <c r="B218" s="1"/>
      <c r="C218" s="1"/>
      <c r="D218" s="1"/>
      <c r="E218" s="1"/>
      <c r="F218" s="2"/>
      <c r="G218" s="1"/>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row>
    <row r="219" ht="15.75" customHeight="1">
      <c r="A219" s="1"/>
      <c r="B219" s="1"/>
      <c r="C219" s="1"/>
      <c r="D219" s="1"/>
      <c r="E219" s="1"/>
      <c r="F219" s="2"/>
      <c r="G219" s="1"/>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row>
    <row r="220" ht="15.75" customHeight="1">
      <c r="A220" s="1"/>
      <c r="B220" s="1"/>
      <c r="C220" s="1"/>
      <c r="D220" s="1"/>
      <c r="E220" s="1"/>
      <c r="F220" s="2"/>
      <c r="G220" s="1"/>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row>
    <row r="221" ht="15.75" customHeight="1">
      <c r="A221" s="1"/>
      <c r="B221" s="1"/>
      <c r="C221" s="1"/>
      <c r="D221" s="1"/>
      <c r="E221" s="1"/>
      <c r="F221" s="2"/>
      <c r="G221" s="1"/>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row>
    <row r="222" ht="15.75" customHeight="1">
      <c r="A222" s="1"/>
      <c r="B222" s="1"/>
      <c r="C222" s="1"/>
      <c r="D222" s="1"/>
      <c r="E222" s="1"/>
      <c r="F222" s="2"/>
      <c r="G222" s="1"/>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row>
    <row r="223" ht="15.75" customHeight="1">
      <c r="A223" s="1"/>
      <c r="B223" s="1"/>
      <c r="C223" s="1"/>
      <c r="D223" s="1"/>
      <c r="E223" s="1"/>
      <c r="F223" s="2"/>
      <c r="G223" s="1"/>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row>
    <row r="224" ht="15.75" customHeight="1">
      <c r="A224" s="1"/>
      <c r="B224" s="1"/>
      <c r="C224" s="1"/>
      <c r="D224" s="1"/>
      <c r="E224" s="1"/>
      <c r="F224" s="2"/>
      <c r="G224" s="1"/>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row>
    <row r="225" ht="15.75" customHeight="1">
      <c r="A225" s="1"/>
      <c r="B225" s="1"/>
      <c r="C225" s="1"/>
      <c r="D225" s="1"/>
      <c r="E225" s="1"/>
      <c r="F225" s="2"/>
      <c r="G225" s="1"/>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row>
    <row r="226" ht="15.75" customHeight="1">
      <c r="A226" s="1"/>
      <c r="B226" s="1"/>
      <c r="C226" s="1"/>
      <c r="D226" s="1"/>
      <c r="E226" s="1"/>
      <c r="F226" s="2"/>
      <c r="G226" s="1"/>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row>
    <row r="227" ht="15.75" customHeight="1">
      <c r="A227" s="1"/>
      <c r="B227" s="1"/>
      <c r="C227" s="1"/>
      <c r="D227" s="1"/>
      <c r="E227" s="1"/>
      <c r="F227" s="2"/>
      <c r="G227" s="1"/>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row>
    <row r="228" ht="15.75" customHeight="1">
      <c r="A228" s="1"/>
      <c r="B228" s="1"/>
      <c r="C228" s="1"/>
      <c r="D228" s="1"/>
      <c r="E228" s="1"/>
      <c r="F228" s="2"/>
      <c r="G228" s="1"/>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row>
    <row r="229" ht="15.75" customHeight="1">
      <c r="A229" s="1"/>
      <c r="B229" s="1"/>
      <c r="C229" s="1"/>
      <c r="D229" s="1"/>
      <c r="E229" s="1"/>
      <c r="F229" s="2"/>
      <c r="G229" s="1"/>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row>
    <row r="230" ht="15.75" customHeight="1">
      <c r="A230" s="1"/>
      <c r="B230" s="1"/>
      <c r="C230" s="1"/>
      <c r="D230" s="1"/>
      <c r="E230" s="1"/>
      <c r="F230" s="2"/>
      <c r="G230" s="1"/>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row>
    <row r="231" ht="15.75" customHeight="1">
      <c r="A231" s="1"/>
      <c r="B231" s="1"/>
      <c r="C231" s="1"/>
      <c r="D231" s="1"/>
      <c r="E231" s="1"/>
      <c r="F231" s="2"/>
      <c r="G231" s="1"/>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row>
    <row r="232" ht="15.75" customHeight="1">
      <c r="A232" s="1"/>
      <c r="B232" s="1"/>
      <c r="C232" s="1"/>
      <c r="D232" s="1"/>
      <c r="E232" s="1"/>
      <c r="F232" s="2"/>
      <c r="G232" s="1"/>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row>
    <row r="233" ht="15.75" customHeight="1">
      <c r="A233" s="1"/>
      <c r="B233" s="1"/>
      <c r="C233" s="1"/>
      <c r="D233" s="1"/>
      <c r="E233" s="1"/>
      <c r="F233" s="2"/>
      <c r="G233" s="1"/>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row>
    <row r="234" ht="15.75" customHeight="1">
      <c r="A234" s="1"/>
      <c r="B234" s="1"/>
      <c r="C234" s="1"/>
      <c r="D234" s="1"/>
      <c r="E234" s="1"/>
      <c r="F234" s="2"/>
      <c r="G234" s="1"/>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row>
    <row r="235" ht="15.75" customHeight="1">
      <c r="A235" s="1"/>
      <c r="B235" s="1"/>
      <c r="C235" s="1"/>
      <c r="D235" s="1"/>
      <c r="E235" s="1"/>
      <c r="F235" s="2"/>
      <c r="G235" s="1"/>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row>
    <row r="236" ht="15.75" customHeight="1">
      <c r="A236" s="1"/>
      <c r="B236" s="1"/>
      <c r="C236" s="1"/>
      <c r="D236" s="1"/>
      <c r="E236" s="1"/>
      <c r="F236" s="2"/>
      <c r="G236" s="1"/>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row>
    <row r="237" ht="15.75" customHeight="1">
      <c r="A237" s="1"/>
      <c r="B237" s="1"/>
      <c r="C237" s="1"/>
      <c r="D237" s="1"/>
      <c r="E237" s="1"/>
      <c r="F237" s="2"/>
      <c r="G237" s="1"/>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row>
    <row r="238" ht="15.75" customHeight="1">
      <c r="A238" s="1"/>
      <c r="B238" s="1"/>
      <c r="C238" s="1"/>
      <c r="D238" s="1"/>
      <c r="E238" s="1"/>
      <c r="F238" s="2"/>
      <c r="G238" s="1"/>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row>
    <row r="239" ht="15.75" customHeight="1">
      <c r="A239" s="1"/>
      <c r="B239" s="1"/>
      <c r="C239" s="1"/>
      <c r="D239" s="1"/>
      <c r="E239" s="1"/>
      <c r="F239" s="2"/>
      <c r="G239" s="1"/>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row>
    <row r="240" ht="15.75" customHeight="1">
      <c r="A240" s="1"/>
      <c r="B240" s="1"/>
      <c r="C240" s="1"/>
      <c r="D240" s="1"/>
      <c r="E240" s="1"/>
      <c r="F240" s="2"/>
      <c r="G240" s="1"/>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row>
    <row r="241" ht="15.75" customHeight="1">
      <c r="A241" s="1"/>
      <c r="B241" s="1"/>
      <c r="C241" s="1"/>
      <c r="D241" s="1"/>
      <c r="E241" s="1"/>
      <c r="F241" s="2"/>
      <c r="G241" s="1"/>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row>
    <row r="242" ht="15.75" customHeight="1">
      <c r="A242" s="1"/>
      <c r="B242" s="1"/>
      <c r="C242" s="1"/>
      <c r="D242" s="1"/>
      <c r="E242" s="1"/>
      <c r="F242" s="2"/>
      <c r="G242" s="1"/>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row>
    <row r="243" ht="15.75" customHeight="1">
      <c r="A243" s="1"/>
      <c r="B243" s="1"/>
      <c r="C243" s="1"/>
      <c r="D243" s="1"/>
      <c r="E243" s="1"/>
      <c r="F243" s="2"/>
      <c r="G243" s="1"/>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row>
    <row r="244" ht="15.75" customHeight="1">
      <c r="A244" s="1"/>
      <c r="B244" s="1"/>
      <c r="C244" s="1"/>
      <c r="D244" s="1"/>
      <c r="E244" s="1"/>
      <c r="F244" s="2"/>
      <c r="G244" s="1"/>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row>
    <row r="245" ht="15.75" customHeight="1">
      <c r="A245" s="1"/>
      <c r="B245" s="1"/>
      <c r="C245" s="1"/>
      <c r="D245" s="1"/>
      <c r="E245" s="1"/>
      <c r="F245" s="2"/>
      <c r="G245" s="1"/>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row>
    <row r="246" ht="15.75" customHeight="1">
      <c r="A246" s="1"/>
      <c r="B246" s="1"/>
      <c r="C246" s="1"/>
      <c r="D246" s="1"/>
      <c r="E246" s="1"/>
      <c r="F246" s="2"/>
      <c r="G246" s="1"/>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row>
    <row r="247" ht="15.75" customHeight="1">
      <c r="A247" s="1"/>
      <c r="B247" s="1"/>
      <c r="C247" s="1"/>
      <c r="D247" s="1"/>
      <c r="E247" s="1"/>
      <c r="F247" s="2"/>
      <c r="G247" s="1"/>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row>
    <row r="248" ht="15.75" customHeight="1">
      <c r="A248" s="1"/>
      <c r="B248" s="1"/>
      <c r="C248" s="1"/>
      <c r="D248" s="1"/>
      <c r="E248" s="1"/>
      <c r="F248" s="2"/>
      <c r="G248" s="1"/>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row>
    <row r="249" ht="15.75" customHeight="1">
      <c r="A249" s="1"/>
      <c r="B249" s="1"/>
      <c r="C249" s="1"/>
      <c r="D249" s="1"/>
      <c r="E249" s="1"/>
      <c r="F249" s="2"/>
      <c r="G249" s="1"/>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row>
    <row r="250" ht="15.75" customHeight="1">
      <c r="A250" s="1"/>
      <c r="B250" s="1"/>
      <c r="C250" s="1"/>
      <c r="D250" s="1"/>
      <c r="E250" s="1"/>
      <c r="F250" s="2"/>
      <c r="G250" s="1"/>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row>
    <row r="251" ht="15.75" customHeight="1">
      <c r="A251" s="1"/>
      <c r="B251" s="1"/>
      <c r="C251" s="1"/>
      <c r="D251" s="1"/>
      <c r="E251" s="1"/>
      <c r="F251" s="2"/>
      <c r="G251" s="1"/>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row>
    <row r="252" ht="15.75" customHeight="1">
      <c r="A252" s="1"/>
      <c r="B252" s="1"/>
      <c r="C252" s="1"/>
      <c r="D252" s="1"/>
      <c r="E252" s="1"/>
      <c r="F252" s="2"/>
      <c r="G252" s="1"/>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row>
    <row r="253" ht="15.75" customHeight="1">
      <c r="A253" s="1"/>
      <c r="B253" s="1"/>
      <c r="C253" s="1"/>
      <c r="D253" s="1"/>
      <c r="E253" s="1"/>
      <c r="F253" s="2"/>
      <c r="G253" s="1"/>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row>
    <row r="254" ht="15.75" customHeight="1">
      <c r="A254" s="1"/>
      <c r="B254" s="1"/>
      <c r="C254" s="1"/>
      <c r="D254" s="1"/>
      <c r="E254" s="1"/>
      <c r="F254" s="2"/>
      <c r="G254" s="1"/>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row>
    <row r="255" ht="15.75" customHeight="1">
      <c r="A255" s="1"/>
      <c r="B255" s="1"/>
      <c r="C255" s="1"/>
      <c r="D255" s="1"/>
      <c r="E255" s="1"/>
      <c r="F255" s="2"/>
      <c r="G255" s="1"/>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row>
    <row r="256" ht="15.75" customHeight="1">
      <c r="A256" s="1"/>
      <c r="B256" s="1"/>
      <c r="C256" s="1"/>
      <c r="D256" s="1"/>
      <c r="E256" s="1"/>
      <c r="F256" s="2"/>
      <c r="G256" s="1"/>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row>
    <row r="257" ht="15.75" customHeight="1">
      <c r="A257" s="1"/>
      <c r="B257" s="1"/>
      <c r="C257" s="1"/>
      <c r="D257" s="1"/>
      <c r="E257" s="1"/>
      <c r="F257" s="2"/>
      <c r="G257" s="1"/>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row>
    <row r="258" ht="15.75" customHeight="1">
      <c r="A258" s="1"/>
      <c r="B258" s="1"/>
      <c r="C258" s="1"/>
      <c r="D258" s="1"/>
      <c r="E258" s="1"/>
      <c r="F258" s="2"/>
      <c r="G258" s="1"/>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row>
    <row r="259" ht="15.75" customHeight="1">
      <c r="A259" s="1"/>
      <c r="B259" s="1"/>
      <c r="C259" s="1"/>
      <c r="D259" s="1"/>
      <c r="E259" s="1"/>
      <c r="F259" s="2"/>
      <c r="G259" s="1"/>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row>
    <row r="260" ht="15.75" customHeight="1">
      <c r="A260" s="1"/>
      <c r="B260" s="1"/>
      <c r="C260" s="1"/>
      <c r="D260" s="1"/>
      <c r="E260" s="1"/>
      <c r="F260" s="2"/>
      <c r="G260" s="1"/>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row>
    <row r="261" ht="15.75" customHeight="1">
      <c r="A261" s="1"/>
      <c r="B261" s="1"/>
      <c r="C261" s="1"/>
      <c r="D261" s="1"/>
      <c r="E261" s="1"/>
      <c r="F261" s="2"/>
      <c r="G261" s="1"/>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row>
    <row r="262" ht="15.75" customHeight="1">
      <c r="A262" s="1"/>
      <c r="B262" s="1"/>
      <c r="C262" s="1"/>
      <c r="D262" s="1"/>
      <c r="E262" s="1"/>
      <c r="F262" s="2"/>
      <c r="G262" s="1"/>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row>
    <row r="263" ht="15.75" customHeight="1">
      <c r="A263" s="1"/>
      <c r="B263" s="1"/>
      <c r="C263" s="1"/>
      <c r="D263" s="1"/>
      <c r="E263" s="1"/>
      <c r="F263" s="2"/>
      <c r="G263" s="1"/>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row>
    <row r="264" ht="15.75" customHeight="1">
      <c r="A264" s="1"/>
      <c r="B264" s="1"/>
      <c r="C264" s="1"/>
      <c r="D264" s="1"/>
      <c r="E264" s="1"/>
      <c r="F264" s="2"/>
      <c r="G264" s="1"/>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row>
    <row r="265" ht="15.75" customHeight="1">
      <c r="A265" s="1"/>
      <c r="B265" s="1"/>
      <c r="C265" s="1"/>
      <c r="D265" s="1"/>
      <c r="E265" s="1"/>
      <c r="F265" s="2"/>
      <c r="G265" s="1"/>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row>
    <row r="266" ht="15.75" customHeight="1">
      <c r="A266" s="1"/>
      <c r="B266" s="1"/>
      <c r="C266" s="1"/>
      <c r="D266" s="1"/>
      <c r="E266" s="1"/>
      <c r="F266" s="2"/>
      <c r="G266" s="1"/>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row>
    <row r="267" ht="15.75" customHeight="1">
      <c r="A267" s="1"/>
      <c r="B267" s="1"/>
      <c r="C267" s="1"/>
      <c r="D267" s="1"/>
      <c r="E267" s="1"/>
      <c r="F267" s="2"/>
      <c r="G267" s="1"/>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row>
    <row r="268" ht="15.75" customHeight="1">
      <c r="A268" s="1"/>
      <c r="B268" s="1"/>
      <c r="C268" s="1"/>
      <c r="D268" s="1"/>
      <c r="E268" s="1"/>
      <c r="F268" s="2"/>
      <c r="G268" s="1"/>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row>
    <row r="269" ht="15.75" customHeight="1">
      <c r="A269" s="1"/>
      <c r="B269" s="1"/>
      <c r="C269" s="1"/>
      <c r="D269" s="1"/>
      <c r="E269" s="1"/>
      <c r="F269" s="2"/>
      <c r="G269" s="1"/>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row>
    <row r="270" ht="15.75" customHeight="1">
      <c r="A270" s="1"/>
      <c r="B270" s="1"/>
      <c r="C270" s="1"/>
      <c r="D270" s="1"/>
      <c r="E270" s="1"/>
      <c r="F270" s="2"/>
      <c r="G270" s="1"/>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row>
    <row r="271" ht="15.75" customHeight="1">
      <c r="A271" s="1"/>
      <c r="B271" s="1"/>
      <c r="C271" s="1"/>
      <c r="D271" s="1"/>
      <c r="E271" s="1"/>
      <c r="F271" s="2"/>
      <c r="G271" s="1"/>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row>
    <row r="272" ht="15.75" customHeight="1">
      <c r="A272" s="1"/>
      <c r="B272" s="1"/>
      <c r="C272" s="1"/>
      <c r="D272" s="1"/>
      <c r="E272" s="1"/>
      <c r="F272" s="2"/>
      <c r="G272" s="1"/>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row>
    <row r="273" ht="15.75" customHeight="1">
      <c r="A273" s="1"/>
      <c r="B273" s="1"/>
      <c r="C273" s="1"/>
      <c r="D273" s="1"/>
      <c r="E273" s="1"/>
      <c r="F273" s="2"/>
      <c r="G273" s="1"/>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row>
    <row r="274" ht="15.75" customHeight="1">
      <c r="A274" s="1"/>
      <c r="B274" s="1"/>
      <c r="C274" s="1"/>
      <c r="D274" s="1"/>
      <c r="E274" s="1"/>
      <c r="F274" s="2"/>
      <c r="G274" s="1"/>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row>
    <row r="275" ht="15.75" customHeight="1">
      <c r="A275" s="1"/>
      <c r="B275" s="1"/>
      <c r="C275" s="1"/>
      <c r="D275" s="1"/>
      <c r="E275" s="1"/>
      <c r="F275" s="2"/>
      <c r="G275" s="1"/>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row>
    <row r="276" ht="15.75" customHeight="1">
      <c r="A276" s="1"/>
      <c r="B276" s="1"/>
      <c r="C276" s="1"/>
      <c r="D276" s="1"/>
      <c r="E276" s="1"/>
      <c r="F276" s="2"/>
      <c r="G276" s="1"/>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row>
    <row r="277" ht="15.75" customHeight="1">
      <c r="A277" s="1"/>
      <c r="B277" s="1"/>
      <c r="C277" s="1"/>
      <c r="D277" s="1"/>
      <c r="E277" s="1"/>
      <c r="F277" s="2"/>
      <c r="G277" s="1"/>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row>
    <row r="278" ht="15.75" customHeight="1">
      <c r="A278" s="1"/>
      <c r="B278" s="1"/>
      <c r="C278" s="1"/>
      <c r="D278" s="1"/>
      <c r="E278" s="1"/>
      <c r="F278" s="2"/>
      <c r="G278" s="1"/>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row>
    <row r="279" ht="15.75" customHeight="1">
      <c r="A279" s="1"/>
      <c r="B279" s="1"/>
      <c r="C279" s="1"/>
      <c r="D279" s="1"/>
      <c r="E279" s="1"/>
      <c r="F279" s="2"/>
      <c r="G279" s="1"/>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row>
    <row r="280" ht="15.75" customHeight="1">
      <c r="A280" s="1"/>
      <c r="B280" s="1"/>
      <c r="C280" s="1"/>
      <c r="D280" s="1"/>
      <c r="E280" s="1"/>
      <c r="F280" s="2"/>
      <c r="G280" s="1"/>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row>
    <row r="281" ht="15.75" customHeight="1">
      <c r="A281" s="1"/>
      <c r="B281" s="1"/>
      <c r="C281" s="1"/>
      <c r="D281" s="1"/>
      <c r="E281" s="1"/>
      <c r="F281" s="2"/>
      <c r="G281" s="1"/>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row>
    <row r="282" ht="15.75" customHeight="1">
      <c r="A282" s="1"/>
      <c r="B282" s="1"/>
      <c r="C282" s="1"/>
      <c r="D282" s="1"/>
      <c r="E282" s="1"/>
      <c r="F282" s="2"/>
      <c r="G282" s="1"/>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row>
    <row r="283" ht="15.75" customHeight="1">
      <c r="A283" s="1"/>
      <c r="B283" s="1"/>
      <c r="C283" s="1"/>
      <c r="D283" s="1"/>
      <c r="E283" s="1"/>
      <c r="F283" s="2"/>
      <c r="G283" s="1"/>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row>
    <row r="284" ht="15.75" customHeight="1">
      <c r="A284" s="1"/>
      <c r="B284" s="1"/>
      <c r="C284" s="1"/>
      <c r="D284" s="1"/>
      <c r="E284" s="1"/>
      <c r="F284" s="2"/>
      <c r="G284" s="1"/>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row>
    <row r="285" ht="15.75" customHeight="1">
      <c r="A285" s="1"/>
      <c r="B285" s="1"/>
      <c r="C285" s="1"/>
      <c r="D285" s="1"/>
      <c r="E285" s="1"/>
      <c r="F285" s="2"/>
      <c r="G285" s="1"/>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row>
    <row r="286" ht="15.75" customHeight="1">
      <c r="A286" s="1"/>
      <c r="B286" s="1"/>
      <c r="C286" s="1"/>
      <c r="D286" s="1"/>
      <c r="E286" s="1"/>
      <c r="F286" s="2"/>
      <c r="G286" s="1"/>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row>
    <row r="287" ht="15.75" customHeight="1">
      <c r="A287" s="1"/>
      <c r="B287" s="1"/>
      <c r="C287" s="1"/>
      <c r="D287" s="1"/>
      <c r="E287" s="1"/>
      <c r="F287" s="2"/>
      <c r="G287" s="1"/>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row>
    <row r="288" ht="15.75" customHeight="1">
      <c r="A288" s="1"/>
      <c r="B288" s="1"/>
      <c r="C288" s="1"/>
      <c r="D288" s="1"/>
      <c r="E288" s="1"/>
      <c r="F288" s="2"/>
      <c r="G288" s="1"/>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row>
    <row r="289" ht="15.75" customHeight="1">
      <c r="A289" s="1"/>
      <c r="B289" s="1"/>
      <c r="C289" s="1"/>
      <c r="D289" s="1"/>
      <c r="E289" s="1"/>
      <c r="F289" s="2"/>
      <c r="G289" s="1"/>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row>
    <row r="290" ht="15.75" customHeight="1">
      <c r="A290" s="1"/>
      <c r="B290" s="1"/>
      <c r="C290" s="1"/>
      <c r="D290" s="1"/>
      <c r="E290" s="1"/>
      <c r="F290" s="2"/>
      <c r="G290" s="1"/>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row>
    <row r="291" ht="15.75" customHeight="1">
      <c r="A291" s="1"/>
      <c r="B291" s="1"/>
      <c r="C291" s="1"/>
      <c r="D291" s="1"/>
      <c r="E291" s="1"/>
      <c r="F291" s="2"/>
      <c r="G291" s="1"/>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row>
    <row r="292" ht="15.75" customHeight="1">
      <c r="A292" s="1"/>
      <c r="B292" s="1"/>
      <c r="C292" s="1"/>
      <c r="D292" s="1"/>
      <c r="E292" s="1"/>
      <c r="F292" s="2"/>
      <c r="G292" s="1"/>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row>
    <row r="293" ht="15.75" customHeight="1">
      <c r="A293" s="1"/>
      <c r="B293" s="1"/>
      <c r="C293" s="1"/>
      <c r="D293" s="1"/>
      <c r="E293" s="1"/>
      <c r="F293" s="2"/>
      <c r="G293" s="1"/>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row>
    <row r="294" ht="15.75" customHeight="1">
      <c r="A294" s="1"/>
      <c r="B294" s="1"/>
      <c r="C294" s="1"/>
      <c r="D294" s="1"/>
      <c r="E294" s="1"/>
      <c r="F294" s="2"/>
      <c r="G294" s="1"/>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row>
    <row r="295" ht="15.75" customHeight="1">
      <c r="A295" s="1"/>
      <c r="B295" s="1"/>
      <c r="C295" s="1"/>
      <c r="D295" s="1"/>
      <c r="E295" s="1"/>
      <c r="F295" s="2"/>
      <c r="G295" s="1"/>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row>
    <row r="296" ht="15.75" customHeight="1">
      <c r="A296" s="1"/>
      <c r="B296" s="1"/>
      <c r="C296" s="1"/>
      <c r="D296" s="1"/>
      <c r="E296" s="1"/>
      <c r="F296" s="2"/>
      <c r="G296" s="1"/>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row>
    <row r="297" ht="15.75" customHeight="1">
      <c r="A297" s="1"/>
      <c r="B297" s="1"/>
      <c r="C297" s="1"/>
      <c r="D297" s="1"/>
      <c r="E297" s="1"/>
      <c r="F297" s="2"/>
      <c r="G297" s="1"/>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row>
    <row r="298" ht="15.75" customHeight="1">
      <c r="A298" s="1"/>
      <c r="B298" s="1"/>
      <c r="C298" s="1"/>
      <c r="D298" s="1"/>
      <c r="E298" s="1"/>
      <c r="F298" s="2"/>
      <c r="G298" s="1"/>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row>
    <row r="299" ht="15.75" customHeight="1">
      <c r="A299" s="1"/>
      <c r="B299" s="1"/>
      <c r="C299" s="1"/>
      <c r="D299" s="1"/>
      <c r="E299" s="1"/>
      <c r="F299" s="2"/>
      <c r="G299" s="1"/>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row>
    <row r="300" ht="15.75" customHeight="1">
      <c r="A300" s="1"/>
      <c r="B300" s="1"/>
      <c r="C300" s="1"/>
      <c r="D300" s="1"/>
      <c r="E300" s="1"/>
      <c r="F300" s="2"/>
      <c r="G300" s="1"/>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row>
    <row r="301" ht="15.75" customHeight="1">
      <c r="A301" s="1"/>
      <c r="B301" s="1"/>
      <c r="C301" s="1"/>
      <c r="D301" s="1"/>
      <c r="E301" s="1"/>
      <c r="F301" s="2"/>
      <c r="G301" s="1"/>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row>
    <row r="302" ht="15.75" customHeight="1">
      <c r="A302" s="1"/>
      <c r="B302" s="1"/>
      <c r="C302" s="1"/>
      <c r="D302" s="1"/>
      <c r="E302" s="1"/>
      <c r="F302" s="2"/>
      <c r="G302" s="1"/>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row>
    <row r="303" ht="15.75" customHeight="1">
      <c r="A303" s="1"/>
      <c r="B303" s="1"/>
      <c r="C303" s="1"/>
      <c r="D303" s="1"/>
      <c r="E303" s="1"/>
      <c r="F303" s="2"/>
      <c r="G303" s="1"/>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row>
    <row r="304" ht="15.75" customHeight="1">
      <c r="A304" s="1"/>
      <c r="B304" s="1"/>
      <c r="C304" s="1"/>
      <c r="D304" s="1"/>
      <c r="E304" s="1"/>
      <c r="F304" s="2"/>
      <c r="G304" s="1"/>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row>
    <row r="305" ht="15.75" customHeight="1">
      <c r="A305" s="1"/>
      <c r="B305" s="1"/>
      <c r="C305" s="1"/>
      <c r="D305" s="1"/>
      <c r="E305" s="1"/>
      <c r="F305" s="2"/>
      <c r="G305" s="1"/>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row>
    <row r="306" ht="15.75" customHeight="1">
      <c r="A306" s="1"/>
      <c r="B306" s="1"/>
      <c r="C306" s="1"/>
      <c r="D306" s="1"/>
      <c r="E306" s="1"/>
      <c r="F306" s="2"/>
      <c r="G306" s="1"/>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row>
    <row r="307" ht="15.75" customHeight="1">
      <c r="A307" s="1"/>
      <c r="B307" s="1"/>
      <c r="C307" s="1"/>
      <c r="D307" s="1"/>
      <c r="E307" s="1"/>
      <c r="F307" s="2"/>
      <c r="G307" s="1"/>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row>
    <row r="308" ht="15.75" customHeight="1">
      <c r="A308" s="1"/>
      <c r="B308" s="1"/>
      <c r="C308" s="1"/>
      <c r="D308" s="1"/>
      <c r="E308" s="1"/>
      <c r="F308" s="2"/>
      <c r="G308" s="1"/>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row>
    <row r="309" ht="15.75" customHeight="1">
      <c r="A309" s="1"/>
      <c r="B309" s="1"/>
      <c r="C309" s="1"/>
      <c r="D309" s="1"/>
      <c r="E309" s="1"/>
      <c r="F309" s="2"/>
      <c r="G309" s="1"/>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row>
    <row r="310" ht="15.75" customHeight="1">
      <c r="A310" s="1"/>
      <c r="B310" s="1"/>
      <c r="C310" s="1"/>
      <c r="D310" s="1"/>
      <c r="E310" s="1"/>
      <c r="F310" s="2"/>
      <c r="G310" s="1"/>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row>
    <row r="311" ht="15.75" customHeight="1">
      <c r="A311" s="1"/>
      <c r="B311" s="1"/>
      <c r="C311" s="1"/>
      <c r="D311" s="1"/>
      <c r="E311" s="1"/>
      <c r="F311" s="2"/>
      <c r="G311" s="1"/>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row>
    <row r="312" ht="15.75" customHeight="1">
      <c r="A312" s="1"/>
      <c r="B312" s="1"/>
      <c r="C312" s="1"/>
      <c r="D312" s="1"/>
      <c r="E312" s="1"/>
      <c r="F312" s="2"/>
      <c r="G312" s="1"/>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row>
    <row r="313" ht="15.75" customHeight="1">
      <c r="A313" s="1"/>
      <c r="B313" s="1"/>
      <c r="C313" s="1"/>
      <c r="D313" s="1"/>
      <c r="E313" s="1"/>
      <c r="F313" s="2"/>
      <c r="G313" s="1"/>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row>
    <row r="314" ht="15.75" customHeight="1">
      <c r="A314" s="1"/>
      <c r="B314" s="1"/>
      <c r="C314" s="1"/>
      <c r="D314" s="1"/>
      <c r="E314" s="1"/>
      <c r="F314" s="2"/>
      <c r="G314" s="1"/>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row>
    <row r="315" ht="15.75" customHeight="1">
      <c r="A315" s="1"/>
      <c r="B315" s="1"/>
      <c r="C315" s="1"/>
      <c r="D315" s="1"/>
      <c r="E315" s="1"/>
      <c r="F315" s="2"/>
      <c r="G315" s="1"/>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row>
    <row r="316" ht="15.75" customHeight="1">
      <c r="A316" s="1"/>
      <c r="B316" s="1"/>
      <c r="C316" s="1"/>
      <c r="D316" s="1"/>
      <c r="E316" s="1"/>
      <c r="F316" s="2"/>
      <c r="G316" s="1"/>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row>
    <row r="317" ht="15.75" customHeight="1">
      <c r="A317" s="1"/>
      <c r="B317" s="1"/>
      <c r="C317" s="1"/>
      <c r="D317" s="1"/>
      <c r="E317" s="1"/>
      <c r="F317" s="2"/>
      <c r="G317" s="1"/>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row>
    <row r="318" ht="15.75" customHeight="1">
      <c r="A318" s="1"/>
      <c r="B318" s="1"/>
      <c r="C318" s="1"/>
      <c r="D318" s="1"/>
      <c r="E318" s="1"/>
      <c r="F318" s="2"/>
      <c r="G318" s="1"/>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row>
    <row r="319" ht="15.75" customHeight="1">
      <c r="A319" s="1"/>
      <c r="B319" s="1"/>
      <c r="C319" s="1"/>
      <c r="D319" s="1"/>
      <c r="E319" s="1"/>
      <c r="F319" s="2"/>
      <c r="G319" s="1"/>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row>
    <row r="320" ht="15.75" customHeight="1">
      <c r="A320" s="1"/>
      <c r="B320" s="1"/>
      <c r="C320" s="1"/>
      <c r="D320" s="1"/>
      <c r="E320" s="1"/>
      <c r="F320" s="2"/>
      <c r="G320" s="1"/>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row>
    <row r="321" ht="15.75" customHeight="1">
      <c r="A321" s="1"/>
      <c r="B321" s="1"/>
      <c r="C321" s="1"/>
      <c r="D321" s="1"/>
      <c r="E321" s="1"/>
      <c r="F321" s="2"/>
      <c r="G321" s="1"/>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row>
    <row r="322" ht="15.75" customHeight="1">
      <c r="A322" s="1"/>
      <c r="B322" s="1"/>
      <c r="C322" s="1"/>
      <c r="D322" s="1"/>
      <c r="E322" s="1"/>
      <c r="F322" s="2"/>
      <c r="G322" s="1"/>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row>
    <row r="323" ht="15.75" customHeight="1">
      <c r="A323" s="1"/>
      <c r="B323" s="1"/>
      <c r="C323" s="1"/>
      <c r="D323" s="1"/>
      <c r="E323" s="1"/>
      <c r="F323" s="2"/>
      <c r="G323" s="1"/>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row>
    <row r="324" ht="15.75" customHeight="1">
      <c r="A324" s="1"/>
      <c r="B324" s="1"/>
      <c r="C324" s="1"/>
      <c r="D324" s="1"/>
      <c r="E324" s="1"/>
      <c r="F324" s="2"/>
      <c r="G324" s="1"/>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row>
    <row r="325" ht="15.75" customHeight="1">
      <c r="A325" s="1"/>
      <c r="B325" s="1"/>
      <c r="C325" s="1"/>
      <c r="D325" s="1"/>
      <c r="E325" s="1"/>
      <c r="F325" s="2"/>
      <c r="G325" s="1"/>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row>
    <row r="326" ht="15.75" customHeight="1">
      <c r="A326" s="1"/>
      <c r="B326" s="1"/>
      <c r="C326" s="1"/>
      <c r="D326" s="1"/>
      <c r="E326" s="1"/>
      <c r="F326" s="2"/>
      <c r="G326" s="1"/>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row>
    <row r="327" ht="15.75" customHeight="1">
      <c r="A327" s="1"/>
      <c r="B327" s="1"/>
      <c r="C327" s="1"/>
      <c r="D327" s="1"/>
      <c r="E327" s="1"/>
      <c r="F327" s="2"/>
      <c r="G327" s="1"/>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row>
    <row r="328" ht="15.75" customHeight="1">
      <c r="A328" s="1"/>
      <c r="B328" s="1"/>
      <c r="C328" s="1"/>
      <c r="D328" s="1"/>
      <c r="E328" s="1"/>
      <c r="F328" s="2"/>
      <c r="G328" s="1"/>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row>
    <row r="329" ht="15.75" customHeight="1">
      <c r="A329" s="1"/>
      <c r="B329" s="1"/>
      <c r="C329" s="1"/>
      <c r="D329" s="1"/>
      <c r="E329" s="1"/>
      <c r="F329" s="2"/>
      <c r="G329" s="1"/>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row>
    <row r="330" ht="15.75" customHeight="1">
      <c r="A330" s="1"/>
      <c r="B330" s="1"/>
      <c r="C330" s="1"/>
      <c r="D330" s="1"/>
      <c r="E330" s="1"/>
      <c r="F330" s="2"/>
      <c r="G330" s="1"/>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row>
    <row r="331" ht="15.75" customHeight="1">
      <c r="A331" s="1"/>
      <c r="B331" s="1"/>
      <c r="C331" s="1"/>
      <c r="D331" s="1"/>
      <c r="E331" s="1"/>
      <c r="F331" s="2"/>
      <c r="G331" s="1"/>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row>
    <row r="332" ht="15.75" customHeight="1">
      <c r="A332" s="1"/>
      <c r="B332" s="1"/>
      <c r="C332" s="1"/>
      <c r="D332" s="1"/>
      <c r="E332" s="1"/>
      <c r="F332" s="2"/>
      <c r="G332" s="1"/>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row>
    <row r="333" ht="15.75" customHeight="1">
      <c r="A333" s="1"/>
      <c r="B333" s="1"/>
      <c r="C333" s="1"/>
      <c r="D333" s="1"/>
      <c r="E333" s="1"/>
      <c r="F333" s="2"/>
      <c r="G333" s="1"/>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row>
    <row r="334" ht="15.75" customHeight="1">
      <c r="A334" s="1"/>
      <c r="B334" s="1"/>
      <c r="C334" s="1"/>
      <c r="D334" s="1"/>
      <c r="E334" s="1"/>
      <c r="F334" s="2"/>
      <c r="G334" s="1"/>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row>
    <row r="335" ht="15.75" customHeight="1">
      <c r="A335" s="1"/>
      <c r="B335" s="1"/>
      <c r="C335" s="1"/>
      <c r="D335" s="1"/>
      <c r="E335" s="1"/>
      <c r="F335" s="2"/>
      <c r="G335" s="1"/>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row>
    <row r="336" ht="15.75" customHeight="1">
      <c r="A336" s="1"/>
      <c r="B336" s="1"/>
      <c r="C336" s="1"/>
      <c r="D336" s="1"/>
      <c r="E336" s="1"/>
      <c r="F336" s="2"/>
      <c r="G336" s="1"/>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row>
    <row r="337" ht="15.75" customHeight="1">
      <c r="A337" s="1"/>
      <c r="B337" s="1"/>
      <c r="C337" s="1"/>
      <c r="D337" s="1"/>
      <c r="E337" s="1"/>
      <c r="F337" s="2"/>
      <c r="G337" s="1"/>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row>
    <row r="338" ht="15.75" customHeight="1">
      <c r="A338" s="1"/>
      <c r="B338" s="1"/>
      <c r="C338" s="1"/>
      <c r="D338" s="1"/>
      <c r="E338" s="1"/>
      <c r="F338" s="2"/>
      <c r="G338" s="1"/>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row>
    <row r="339" ht="15.75" customHeight="1">
      <c r="A339" s="1"/>
      <c r="B339" s="1"/>
      <c r="C339" s="1"/>
      <c r="D339" s="1"/>
      <c r="E339" s="1"/>
      <c r="F339" s="2"/>
      <c r="G339" s="1"/>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row>
    <row r="340" ht="15.75" customHeight="1">
      <c r="A340" s="1"/>
      <c r="B340" s="1"/>
      <c r="C340" s="1"/>
      <c r="D340" s="1"/>
      <c r="E340" s="1"/>
      <c r="F340" s="2"/>
      <c r="G340" s="1"/>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row>
    <row r="341" ht="15.75" customHeight="1">
      <c r="A341" s="1"/>
      <c r="B341" s="1"/>
      <c r="C341" s="1"/>
      <c r="D341" s="1"/>
      <c r="E341" s="1"/>
      <c r="F341" s="2"/>
      <c r="G341" s="1"/>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row>
    <row r="342" ht="15.75" customHeight="1">
      <c r="A342" s="1"/>
      <c r="B342" s="1"/>
      <c r="C342" s="1"/>
      <c r="D342" s="1"/>
      <c r="E342" s="1"/>
      <c r="F342" s="2"/>
      <c r="G342" s="1"/>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row>
    <row r="343" ht="15.75" customHeight="1">
      <c r="A343" s="1"/>
      <c r="B343" s="1"/>
      <c r="C343" s="1"/>
      <c r="D343" s="1"/>
      <c r="E343" s="1"/>
      <c r="F343" s="2"/>
      <c r="G343" s="1"/>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row>
    <row r="344" ht="15.75" customHeight="1">
      <c r="A344" s="1"/>
      <c r="B344" s="1"/>
      <c r="C344" s="1"/>
      <c r="D344" s="1"/>
      <c r="E344" s="1"/>
      <c r="F344" s="2"/>
      <c r="G344" s="1"/>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row>
    <row r="345" ht="15.75" customHeight="1">
      <c r="A345" s="1"/>
      <c r="B345" s="1"/>
      <c r="C345" s="1"/>
      <c r="D345" s="1"/>
      <c r="E345" s="1"/>
      <c r="F345" s="2"/>
      <c r="G345" s="1"/>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row>
    <row r="346" ht="15.75" customHeight="1">
      <c r="A346" s="1"/>
      <c r="B346" s="1"/>
      <c r="C346" s="1"/>
      <c r="D346" s="1"/>
      <c r="E346" s="1"/>
      <c r="F346" s="2"/>
      <c r="G346" s="1"/>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row>
    <row r="347" ht="15.75" customHeight="1">
      <c r="A347" s="1"/>
      <c r="B347" s="1"/>
      <c r="C347" s="1"/>
      <c r="D347" s="1"/>
      <c r="E347" s="1"/>
      <c r="F347" s="2"/>
      <c r="G347" s="1"/>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row>
    <row r="348" ht="15.75" customHeight="1">
      <c r="A348" s="1"/>
      <c r="B348" s="1"/>
      <c r="C348" s="1"/>
      <c r="D348" s="1"/>
      <c r="E348" s="1"/>
      <c r="F348" s="2"/>
      <c r="G348" s="1"/>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row>
    <row r="349" ht="15.75" customHeight="1">
      <c r="A349" s="1"/>
      <c r="B349" s="1"/>
      <c r="C349" s="1"/>
      <c r="D349" s="1"/>
      <c r="E349" s="1"/>
      <c r="F349" s="2"/>
      <c r="G349" s="1"/>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row>
    <row r="350" ht="15.75" customHeight="1">
      <c r="A350" s="1"/>
      <c r="B350" s="1"/>
      <c r="C350" s="1"/>
      <c r="D350" s="1"/>
      <c r="E350" s="1"/>
      <c r="F350" s="2"/>
      <c r="G350" s="1"/>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row>
    <row r="351" ht="15.75" customHeight="1">
      <c r="A351" s="1"/>
      <c r="B351" s="1"/>
      <c r="C351" s="1"/>
      <c r="D351" s="1"/>
      <c r="E351" s="1"/>
      <c r="F351" s="2"/>
      <c r="G351" s="1"/>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row>
    <row r="352" ht="15.75" customHeight="1">
      <c r="A352" s="1"/>
      <c r="B352" s="1"/>
      <c r="C352" s="1"/>
      <c r="D352" s="1"/>
      <c r="E352" s="1"/>
      <c r="F352" s="2"/>
      <c r="G352" s="1"/>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row>
    <row r="353" ht="15.75" customHeight="1">
      <c r="A353" s="1"/>
      <c r="B353" s="1"/>
      <c r="C353" s="1"/>
      <c r="D353" s="1"/>
      <c r="E353" s="1"/>
      <c r="F353" s="2"/>
      <c r="G353" s="1"/>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row>
    <row r="354" ht="15.75" customHeight="1">
      <c r="A354" s="1"/>
      <c r="B354" s="1"/>
      <c r="C354" s="1"/>
      <c r="D354" s="1"/>
      <c r="E354" s="1"/>
      <c r="F354" s="2"/>
      <c r="G354" s="1"/>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row>
    <row r="355" ht="15.75" customHeight="1">
      <c r="A355" s="1"/>
      <c r="B355" s="1"/>
      <c r="C355" s="1"/>
      <c r="D355" s="1"/>
      <c r="E355" s="1"/>
      <c r="F355" s="2"/>
      <c r="G355" s="1"/>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row>
    <row r="356" ht="15.75" customHeight="1">
      <c r="A356" s="1"/>
      <c r="B356" s="1"/>
      <c r="C356" s="1"/>
      <c r="D356" s="1"/>
      <c r="E356" s="1"/>
      <c r="F356" s="2"/>
      <c r="G356" s="1"/>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row>
    <row r="357" ht="15.75" customHeight="1">
      <c r="A357" s="1"/>
      <c r="B357" s="1"/>
      <c r="C357" s="1"/>
      <c r="D357" s="1"/>
      <c r="E357" s="1"/>
      <c r="F357" s="2"/>
      <c r="G357" s="1"/>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row>
    <row r="358" ht="15.75" customHeight="1">
      <c r="A358" s="1"/>
      <c r="B358" s="1"/>
      <c r="C358" s="1"/>
      <c r="D358" s="1"/>
      <c r="E358" s="1"/>
      <c r="F358" s="2"/>
      <c r="G358" s="1"/>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row>
    <row r="359" ht="15.75" customHeight="1">
      <c r="A359" s="1"/>
      <c r="B359" s="1"/>
      <c r="C359" s="1"/>
      <c r="D359" s="1"/>
      <c r="E359" s="1"/>
      <c r="F359" s="2"/>
      <c r="G359" s="1"/>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row>
    <row r="360" ht="15.75" customHeight="1">
      <c r="A360" s="1"/>
      <c r="B360" s="1"/>
      <c r="C360" s="1"/>
      <c r="D360" s="1"/>
      <c r="E360" s="1"/>
      <c r="F360" s="2"/>
      <c r="G360" s="1"/>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row>
    <row r="361" ht="15.75" customHeight="1">
      <c r="A361" s="1"/>
      <c r="B361" s="1"/>
      <c r="C361" s="1"/>
      <c r="D361" s="1"/>
      <c r="E361" s="1"/>
      <c r="F361" s="2"/>
      <c r="G361" s="1"/>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row>
    <row r="362" ht="15.75" customHeight="1">
      <c r="A362" s="1"/>
      <c r="B362" s="1"/>
      <c r="C362" s="1"/>
      <c r="D362" s="1"/>
      <c r="E362" s="1"/>
      <c r="F362" s="2"/>
      <c r="G362" s="1"/>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row>
    <row r="363" ht="15.75" customHeight="1">
      <c r="A363" s="1"/>
      <c r="B363" s="1"/>
      <c r="C363" s="1"/>
      <c r="D363" s="1"/>
      <c r="E363" s="1"/>
      <c r="F363" s="2"/>
      <c r="G363" s="1"/>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row>
    <row r="364" ht="15.75" customHeight="1">
      <c r="A364" s="1"/>
      <c r="B364" s="1"/>
      <c r="C364" s="1"/>
      <c r="D364" s="1"/>
      <c r="E364" s="1"/>
      <c r="F364" s="2"/>
      <c r="G364" s="1"/>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row>
    <row r="365" ht="15.75" customHeight="1">
      <c r="A365" s="1"/>
      <c r="B365" s="1"/>
      <c r="C365" s="1"/>
      <c r="D365" s="1"/>
      <c r="E365" s="1"/>
      <c r="F365" s="2"/>
      <c r="G365" s="1"/>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row>
    <row r="366" ht="15.75" customHeight="1">
      <c r="A366" s="1"/>
      <c r="B366" s="1"/>
      <c r="C366" s="1"/>
      <c r="D366" s="1"/>
      <c r="E366" s="1"/>
      <c r="F366" s="2"/>
      <c r="G366" s="1"/>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row>
    <row r="367" ht="15.75" customHeight="1">
      <c r="A367" s="1"/>
      <c r="B367" s="1"/>
      <c r="C367" s="1"/>
      <c r="D367" s="1"/>
      <c r="E367" s="1"/>
      <c r="F367" s="2"/>
      <c r="G367" s="1"/>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row>
    <row r="368" ht="15.75" customHeight="1">
      <c r="A368" s="1"/>
      <c r="B368" s="1"/>
      <c r="C368" s="1"/>
      <c r="D368" s="1"/>
      <c r="E368" s="1"/>
      <c r="F368" s="2"/>
      <c r="G368" s="1"/>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row>
    <row r="369" ht="15.75" customHeight="1">
      <c r="A369" s="1"/>
      <c r="B369" s="1"/>
      <c r="C369" s="1"/>
      <c r="D369" s="1"/>
      <c r="E369" s="1"/>
      <c r="F369" s="2"/>
      <c r="G369" s="1"/>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row>
    <row r="370" ht="15.75" customHeight="1">
      <c r="A370" s="1"/>
      <c r="B370" s="1"/>
      <c r="C370" s="1"/>
      <c r="D370" s="1"/>
      <c r="E370" s="1"/>
      <c r="F370" s="2"/>
      <c r="G370" s="1"/>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row>
    <row r="371" ht="15.75" customHeight="1">
      <c r="A371" s="1"/>
      <c r="B371" s="1"/>
      <c r="C371" s="1"/>
      <c r="D371" s="1"/>
      <c r="E371" s="1"/>
      <c r="F371" s="2"/>
      <c r="G371" s="1"/>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row>
    <row r="372" ht="15.75" customHeight="1">
      <c r="A372" s="1"/>
      <c r="B372" s="1"/>
      <c r="C372" s="1"/>
      <c r="D372" s="1"/>
      <c r="E372" s="1"/>
      <c r="F372" s="2"/>
      <c r="G372" s="1"/>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row>
    <row r="373" ht="15.75" customHeight="1">
      <c r="A373" s="1"/>
      <c r="B373" s="1"/>
      <c r="C373" s="1"/>
      <c r="D373" s="1"/>
      <c r="E373" s="1"/>
      <c r="F373" s="2"/>
      <c r="G373" s="1"/>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row>
    <row r="374" ht="15.75" customHeight="1">
      <c r="A374" s="1"/>
      <c r="B374" s="1"/>
      <c r="C374" s="1"/>
      <c r="D374" s="1"/>
      <c r="E374" s="1"/>
      <c r="F374" s="2"/>
      <c r="G374" s="1"/>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row>
    <row r="375" ht="15.75" customHeight="1">
      <c r="A375" s="1"/>
      <c r="B375" s="1"/>
      <c r="C375" s="1"/>
      <c r="D375" s="1"/>
      <c r="E375" s="1"/>
      <c r="F375" s="2"/>
      <c r="G375" s="1"/>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row>
    <row r="376" ht="15.75" customHeight="1">
      <c r="A376" s="1"/>
      <c r="B376" s="1"/>
      <c r="C376" s="1"/>
      <c r="D376" s="1"/>
      <c r="E376" s="1"/>
      <c r="F376" s="2"/>
      <c r="G376" s="1"/>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row>
    <row r="377" ht="15.75" customHeight="1">
      <c r="A377" s="1"/>
      <c r="B377" s="1"/>
      <c r="C377" s="1"/>
      <c r="D377" s="1"/>
      <c r="E377" s="1"/>
      <c r="F377" s="2"/>
      <c r="G377" s="1"/>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row>
    <row r="378" ht="15.75" customHeight="1">
      <c r="A378" s="1"/>
      <c r="B378" s="1"/>
      <c r="C378" s="1"/>
      <c r="D378" s="1"/>
      <c r="E378" s="1"/>
      <c r="F378" s="2"/>
      <c r="G378" s="1"/>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row>
    <row r="379" ht="15.75" customHeight="1">
      <c r="A379" s="1"/>
      <c r="B379" s="1"/>
      <c r="C379" s="1"/>
      <c r="D379" s="1"/>
      <c r="E379" s="1"/>
      <c r="F379" s="2"/>
      <c r="G379" s="1"/>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row>
    <row r="380" ht="15.75" customHeight="1">
      <c r="A380" s="1"/>
      <c r="B380" s="1"/>
      <c r="C380" s="1"/>
      <c r="D380" s="1"/>
      <c r="E380" s="1"/>
      <c r="F380" s="2"/>
      <c r="G380" s="1"/>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row>
    <row r="381" ht="15.75" customHeight="1">
      <c r="A381" s="1"/>
      <c r="B381" s="1"/>
      <c r="C381" s="1"/>
      <c r="D381" s="1"/>
      <c r="E381" s="1"/>
      <c r="F381" s="2"/>
      <c r="G381" s="1"/>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row>
    <row r="382" ht="15.75" customHeight="1">
      <c r="A382" s="1"/>
      <c r="B382" s="1"/>
      <c r="C382" s="1"/>
      <c r="D382" s="1"/>
      <c r="E382" s="1"/>
      <c r="F382" s="2"/>
      <c r="G382" s="1"/>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row>
    <row r="383" ht="15.75" customHeight="1">
      <c r="A383" s="1"/>
      <c r="B383" s="1"/>
      <c r="C383" s="1"/>
      <c r="D383" s="1"/>
      <c r="E383" s="1"/>
      <c r="F383" s="2"/>
      <c r="G383" s="1"/>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row>
    <row r="384" ht="15.75" customHeight="1">
      <c r="A384" s="1"/>
      <c r="B384" s="1"/>
      <c r="C384" s="1"/>
      <c r="D384" s="1"/>
      <c r="E384" s="1"/>
      <c r="F384" s="2"/>
      <c r="G384" s="1"/>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row>
    <row r="385" ht="15.75" customHeight="1">
      <c r="A385" s="1"/>
      <c r="B385" s="1"/>
      <c r="C385" s="1"/>
      <c r="D385" s="1"/>
      <c r="E385" s="1"/>
      <c r="F385" s="2"/>
      <c r="G385" s="1"/>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row>
    <row r="386" ht="15.75" customHeight="1">
      <c r="A386" s="1"/>
      <c r="B386" s="1"/>
      <c r="C386" s="1"/>
      <c r="D386" s="1"/>
      <c r="E386" s="1"/>
      <c r="F386" s="2"/>
      <c r="G386" s="1"/>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row>
    <row r="387" ht="15.75" customHeight="1">
      <c r="A387" s="1"/>
      <c r="B387" s="1"/>
      <c r="C387" s="1"/>
      <c r="D387" s="1"/>
      <c r="E387" s="1"/>
      <c r="F387" s="2"/>
      <c r="G387" s="1"/>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row>
    <row r="388" ht="15.75" customHeight="1">
      <c r="A388" s="1"/>
      <c r="B388" s="1"/>
      <c r="C388" s="1"/>
      <c r="D388" s="1"/>
      <c r="E388" s="1"/>
      <c r="F388" s="2"/>
      <c r="G388" s="1"/>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row>
    <row r="389" ht="15.75" customHeight="1">
      <c r="A389" s="1"/>
      <c r="B389" s="1"/>
      <c r="C389" s="1"/>
      <c r="D389" s="1"/>
      <c r="E389" s="1"/>
      <c r="F389" s="2"/>
      <c r="G389" s="1"/>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row>
    <row r="390" ht="15.75" customHeight="1">
      <c r="A390" s="1"/>
      <c r="B390" s="1"/>
      <c r="C390" s="1"/>
      <c r="D390" s="1"/>
      <c r="E390" s="1"/>
      <c r="F390" s="2"/>
      <c r="G390" s="1"/>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row>
    <row r="391" ht="15.75" customHeight="1">
      <c r="A391" s="1"/>
      <c r="B391" s="1"/>
      <c r="C391" s="1"/>
      <c r="D391" s="1"/>
      <c r="E391" s="1"/>
      <c r="F391" s="2"/>
      <c r="G391" s="1"/>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row>
    <row r="392" ht="15.75" customHeight="1">
      <c r="A392" s="1"/>
      <c r="B392" s="1"/>
      <c r="C392" s="1"/>
      <c r="D392" s="1"/>
      <c r="E392" s="1"/>
      <c r="F392" s="2"/>
      <c r="G392" s="1"/>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row>
    <row r="393" ht="15.75" customHeight="1">
      <c r="A393" s="1"/>
      <c r="B393" s="1"/>
      <c r="C393" s="1"/>
      <c r="D393" s="1"/>
      <c r="E393" s="1"/>
      <c r="F393" s="2"/>
      <c r="G393" s="1"/>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row>
    <row r="394" ht="15.75" customHeight="1">
      <c r="A394" s="1"/>
      <c r="B394" s="1"/>
      <c r="C394" s="1"/>
      <c r="D394" s="1"/>
      <c r="E394" s="1"/>
      <c r="F394" s="2"/>
      <c r="G394" s="1"/>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row>
    <row r="395" ht="15.75" customHeight="1">
      <c r="A395" s="1"/>
      <c r="B395" s="1"/>
      <c r="C395" s="1"/>
      <c r="D395" s="1"/>
      <c r="E395" s="1"/>
      <c r="F395" s="2"/>
      <c r="G395" s="1"/>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row>
    <row r="396" ht="15.75" customHeight="1">
      <c r="A396" s="1"/>
      <c r="B396" s="1"/>
      <c r="C396" s="1"/>
      <c r="D396" s="1"/>
      <c r="E396" s="1"/>
      <c r="F396" s="2"/>
      <c r="G396" s="1"/>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row>
    <row r="397" ht="15.75" customHeight="1">
      <c r="A397" s="1"/>
      <c r="B397" s="1"/>
      <c r="C397" s="1"/>
      <c r="D397" s="1"/>
      <c r="E397" s="1"/>
      <c r="F397" s="2"/>
      <c r="G397" s="1"/>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row>
    <row r="398" ht="15.75" customHeight="1">
      <c r="A398" s="1"/>
      <c r="B398" s="1"/>
      <c r="C398" s="1"/>
      <c r="D398" s="1"/>
      <c r="E398" s="1"/>
      <c r="F398" s="2"/>
      <c r="G398" s="1"/>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row>
    <row r="399" ht="15.75" customHeight="1">
      <c r="A399" s="1"/>
      <c r="B399" s="1"/>
      <c r="C399" s="1"/>
      <c r="D399" s="1"/>
      <c r="E399" s="1"/>
      <c r="F399" s="2"/>
      <c r="G399" s="1"/>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row>
    <row r="400" ht="15.75" customHeight="1">
      <c r="A400" s="1"/>
      <c r="B400" s="1"/>
      <c r="C400" s="1"/>
      <c r="D400" s="1"/>
      <c r="E400" s="1"/>
      <c r="F400" s="2"/>
      <c r="G400" s="1"/>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row>
    <row r="401" ht="15.75" customHeight="1">
      <c r="A401" s="1"/>
      <c r="B401" s="1"/>
      <c r="C401" s="1"/>
      <c r="D401" s="1"/>
      <c r="E401" s="1"/>
      <c r="F401" s="2"/>
      <c r="G401" s="1"/>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row>
    <row r="402" ht="15.75" customHeight="1">
      <c r="A402" s="1"/>
      <c r="B402" s="1"/>
      <c r="C402" s="1"/>
      <c r="D402" s="1"/>
      <c r="E402" s="1"/>
      <c r="F402" s="2"/>
      <c r="G402" s="1"/>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row>
    <row r="403" ht="15.75" customHeight="1">
      <c r="A403" s="1"/>
      <c r="B403" s="1"/>
      <c r="C403" s="1"/>
      <c r="D403" s="1"/>
      <c r="E403" s="1"/>
      <c r="F403" s="2"/>
      <c r="G403" s="1"/>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row>
    <row r="404" ht="15.75" customHeight="1">
      <c r="A404" s="1"/>
      <c r="B404" s="1"/>
      <c r="C404" s="1"/>
      <c r="D404" s="1"/>
      <c r="E404" s="1"/>
      <c r="F404" s="2"/>
      <c r="G404" s="1"/>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row>
    <row r="405" ht="15.75" customHeight="1">
      <c r="A405" s="1"/>
      <c r="B405" s="1"/>
      <c r="C405" s="1"/>
      <c r="D405" s="1"/>
      <c r="E405" s="1"/>
      <c r="F405" s="2"/>
      <c r="G405" s="1"/>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row>
    <row r="406" ht="15.75" customHeight="1">
      <c r="A406" s="1"/>
      <c r="B406" s="1"/>
      <c r="C406" s="1"/>
      <c r="D406" s="1"/>
      <c r="E406" s="1"/>
      <c r="F406" s="2"/>
      <c r="G406" s="1"/>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row>
    <row r="407" ht="15.75" customHeight="1">
      <c r="A407" s="1"/>
      <c r="B407" s="1"/>
      <c r="C407" s="1"/>
      <c r="D407" s="1"/>
      <c r="E407" s="1"/>
      <c r="F407" s="2"/>
      <c r="G407" s="1"/>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row>
    <row r="408" ht="15.75" customHeight="1">
      <c r="A408" s="1"/>
      <c r="B408" s="1"/>
      <c r="C408" s="1"/>
      <c r="D408" s="1"/>
      <c r="E408" s="1"/>
      <c r="F408" s="2"/>
      <c r="G408" s="1"/>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row>
    <row r="409" ht="15.75" customHeight="1">
      <c r="A409" s="1"/>
      <c r="B409" s="1"/>
      <c r="C409" s="1"/>
      <c r="D409" s="1"/>
      <c r="E409" s="1"/>
      <c r="F409" s="2"/>
      <c r="G409" s="1"/>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row>
    <row r="410" ht="15.75" customHeight="1">
      <c r="A410" s="1"/>
      <c r="B410" s="1"/>
      <c r="C410" s="1"/>
      <c r="D410" s="1"/>
      <c r="E410" s="1"/>
      <c r="F410" s="2"/>
      <c r="G410" s="1"/>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row>
    <row r="411" ht="15.75" customHeight="1">
      <c r="A411" s="1"/>
      <c r="B411" s="1"/>
      <c r="C411" s="1"/>
      <c r="D411" s="1"/>
      <c r="E411" s="1"/>
      <c r="F411" s="2"/>
      <c r="G411" s="1"/>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row>
    <row r="412" ht="15.75" customHeight="1">
      <c r="A412" s="1"/>
      <c r="B412" s="1"/>
      <c r="C412" s="1"/>
      <c r="D412" s="1"/>
      <c r="E412" s="1"/>
      <c r="F412" s="2"/>
      <c r="G412" s="1"/>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row>
    <row r="413" ht="15.75" customHeight="1">
      <c r="A413" s="1"/>
      <c r="B413" s="1"/>
      <c r="C413" s="1"/>
      <c r="D413" s="1"/>
      <c r="E413" s="1"/>
      <c r="F413" s="2"/>
      <c r="G413" s="1"/>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row>
    <row r="414" ht="15.75" customHeight="1">
      <c r="A414" s="1"/>
      <c r="B414" s="1"/>
      <c r="C414" s="1"/>
      <c r="D414" s="1"/>
      <c r="E414" s="1"/>
      <c r="F414" s="2"/>
      <c r="G414" s="1"/>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row>
    <row r="415" ht="15.75" customHeight="1">
      <c r="A415" s="1"/>
      <c r="B415" s="1"/>
      <c r="C415" s="1"/>
      <c r="D415" s="1"/>
      <c r="E415" s="1"/>
      <c r="F415" s="2"/>
      <c r="G415" s="1"/>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row>
    <row r="416" ht="15.75" customHeight="1">
      <c r="A416" s="1"/>
      <c r="B416" s="1"/>
      <c r="C416" s="1"/>
      <c r="D416" s="1"/>
      <c r="E416" s="1"/>
      <c r="F416" s="2"/>
      <c r="G416" s="1"/>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row>
    <row r="417" ht="15.75" customHeight="1">
      <c r="A417" s="1"/>
      <c r="B417" s="1"/>
      <c r="C417" s="1"/>
      <c r="D417" s="1"/>
      <c r="E417" s="1"/>
      <c r="F417" s="2"/>
      <c r="G417" s="1"/>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row>
    <row r="418" ht="15.75" customHeight="1">
      <c r="A418" s="1"/>
      <c r="B418" s="1"/>
      <c r="C418" s="1"/>
      <c r="D418" s="1"/>
      <c r="E418" s="1"/>
      <c r="F418" s="2"/>
      <c r="G418" s="1"/>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row>
    <row r="419" ht="15.75" customHeight="1">
      <c r="A419" s="1"/>
      <c r="B419" s="1"/>
      <c r="C419" s="1"/>
      <c r="D419" s="1"/>
      <c r="E419" s="1"/>
      <c r="F419" s="2"/>
      <c r="G419" s="1"/>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row>
    <row r="420" ht="15.75" customHeight="1">
      <c r="A420" s="1"/>
      <c r="B420" s="1"/>
      <c r="C420" s="1"/>
      <c r="D420" s="1"/>
      <c r="E420" s="1"/>
      <c r="F420" s="2"/>
      <c r="G420" s="1"/>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row>
    <row r="421" ht="15.75" customHeight="1">
      <c r="A421" s="1"/>
      <c r="B421" s="1"/>
      <c r="C421" s="1"/>
      <c r="D421" s="1"/>
      <c r="E421" s="1"/>
      <c r="F421" s="2"/>
      <c r="G421" s="1"/>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row>
    <row r="422" ht="15.75" customHeight="1">
      <c r="A422" s="1"/>
      <c r="B422" s="1"/>
      <c r="C422" s="1"/>
      <c r="D422" s="1"/>
      <c r="E422" s="1"/>
      <c r="F422" s="2"/>
      <c r="G422" s="1"/>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row>
    <row r="423" ht="15.75" customHeight="1">
      <c r="A423" s="1"/>
      <c r="B423" s="1"/>
      <c r="C423" s="1"/>
      <c r="D423" s="1"/>
      <c r="E423" s="1"/>
      <c r="F423" s="2"/>
      <c r="G423" s="1"/>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row>
    <row r="424" ht="15.75" customHeight="1">
      <c r="A424" s="1"/>
      <c r="B424" s="1"/>
      <c r="C424" s="1"/>
      <c r="D424" s="1"/>
      <c r="E424" s="1"/>
      <c r="F424" s="2"/>
      <c r="G424" s="1"/>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row>
    <row r="425" ht="15.75" customHeight="1">
      <c r="A425" s="1"/>
      <c r="B425" s="1"/>
      <c r="C425" s="1"/>
      <c r="D425" s="1"/>
      <c r="E425" s="1"/>
      <c r="F425" s="2"/>
      <c r="G425" s="1"/>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row>
    <row r="426" ht="15.75" customHeight="1">
      <c r="A426" s="1"/>
      <c r="B426" s="1"/>
      <c r="C426" s="1"/>
      <c r="D426" s="1"/>
      <c r="E426" s="1"/>
      <c r="F426" s="2"/>
      <c r="G426" s="1"/>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row>
    <row r="427" ht="15.75" customHeight="1">
      <c r="A427" s="1"/>
      <c r="B427" s="1"/>
      <c r="C427" s="1"/>
      <c r="D427" s="1"/>
      <c r="E427" s="1"/>
      <c r="F427" s="2"/>
      <c r="G427" s="1"/>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row>
    <row r="428" ht="15.75" customHeight="1">
      <c r="A428" s="1"/>
      <c r="B428" s="1"/>
      <c r="C428" s="1"/>
      <c r="D428" s="1"/>
      <c r="E428" s="1"/>
      <c r="F428" s="2"/>
      <c r="G428" s="1"/>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row>
    <row r="429" ht="15.75" customHeight="1">
      <c r="A429" s="1"/>
      <c r="B429" s="1"/>
      <c r="C429" s="1"/>
      <c r="D429" s="1"/>
      <c r="E429" s="1"/>
      <c r="F429" s="2"/>
      <c r="G429" s="1"/>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row>
    <row r="430" ht="15.75" customHeight="1">
      <c r="A430" s="1"/>
      <c r="B430" s="1"/>
      <c r="C430" s="1"/>
      <c r="D430" s="1"/>
      <c r="E430" s="1"/>
      <c r="F430" s="2"/>
      <c r="G430" s="1"/>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row>
    <row r="431" ht="15.75" customHeight="1">
      <c r="A431" s="1"/>
      <c r="B431" s="1"/>
      <c r="C431" s="1"/>
      <c r="D431" s="1"/>
      <c r="E431" s="1"/>
      <c r="F431" s="2"/>
      <c r="G431" s="1"/>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row>
    <row r="432" ht="15.75" customHeight="1">
      <c r="A432" s="1"/>
      <c r="B432" s="1"/>
      <c r="C432" s="1"/>
      <c r="D432" s="1"/>
      <c r="E432" s="1"/>
      <c r="F432" s="2"/>
      <c r="G432" s="1"/>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row>
    <row r="433" ht="15.75" customHeight="1">
      <c r="A433" s="1"/>
      <c r="B433" s="1"/>
      <c r="C433" s="1"/>
      <c r="D433" s="1"/>
      <c r="E433" s="1"/>
      <c r="F433" s="2"/>
      <c r="G433" s="1"/>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row>
    <row r="434" ht="15.75" customHeight="1">
      <c r="A434" s="1"/>
      <c r="B434" s="1"/>
      <c r="C434" s="1"/>
      <c r="D434" s="1"/>
      <c r="E434" s="1"/>
      <c r="F434" s="2"/>
      <c r="G434" s="1"/>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row>
    <row r="435" ht="15.75" customHeight="1">
      <c r="A435" s="1"/>
      <c r="B435" s="1"/>
      <c r="C435" s="1"/>
      <c r="D435" s="1"/>
      <c r="E435" s="1"/>
      <c r="F435" s="2"/>
      <c r="G435" s="1"/>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row>
    <row r="436" ht="15.75" customHeight="1">
      <c r="A436" s="1"/>
      <c r="B436" s="1"/>
      <c r="C436" s="1"/>
      <c r="D436" s="1"/>
      <c r="E436" s="1"/>
      <c r="F436" s="2"/>
      <c r="G436" s="1"/>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row>
    <row r="437" ht="15.75" customHeight="1">
      <c r="A437" s="1"/>
      <c r="B437" s="1"/>
      <c r="C437" s="1"/>
      <c r="D437" s="1"/>
      <c r="E437" s="1"/>
      <c r="F437" s="2"/>
      <c r="G437" s="1"/>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row>
    <row r="438" ht="15.75" customHeight="1">
      <c r="A438" s="1"/>
      <c r="B438" s="1"/>
      <c r="C438" s="1"/>
      <c r="D438" s="1"/>
      <c r="E438" s="1"/>
      <c r="F438" s="2"/>
      <c r="G438" s="1"/>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row>
    <row r="439" ht="15.75" customHeight="1">
      <c r="A439" s="1"/>
      <c r="B439" s="1"/>
      <c r="C439" s="1"/>
      <c r="D439" s="1"/>
      <c r="E439" s="1"/>
      <c r="F439" s="2"/>
      <c r="G439" s="1"/>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row>
    <row r="440" ht="15.75" customHeight="1">
      <c r="A440" s="1"/>
      <c r="B440" s="1"/>
      <c r="C440" s="1"/>
      <c r="D440" s="1"/>
      <c r="E440" s="1"/>
      <c r="F440" s="2"/>
      <c r="G440" s="1"/>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row>
    <row r="441" ht="15.75" customHeight="1">
      <c r="A441" s="1"/>
      <c r="B441" s="1"/>
      <c r="C441" s="1"/>
      <c r="D441" s="1"/>
      <c r="E441" s="1"/>
      <c r="F441" s="2"/>
      <c r="G441" s="1"/>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row>
    <row r="442" ht="15.75" customHeight="1">
      <c r="A442" s="1"/>
      <c r="B442" s="1"/>
      <c r="C442" s="1"/>
      <c r="D442" s="1"/>
      <c r="E442" s="1"/>
      <c r="F442" s="2"/>
      <c r="G442" s="1"/>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row>
    <row r="443" ht="15.75" customHeight="1">
      <c r="A443" s="1"/>
      <c r="B443" s="1"/>
      <c r="C443" s="1"/>
      <c r="D443" s="1"/>
      <c r="E443" s="1"/>
      <c r="F443" s="2"/>
      <c r="G443" s="1"/>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row>
    <row r="444" ht="15.75" customHeight="1">
      <c r="A444" s="1"/>
      <c r="B444" s="1"/>
      <c r="C444" s="1"/>
      <c r="D444" s="1"/>
      <c r="E444" s="1"/>
      <c r="F444" s="2"/>
      <c r="G444" s="1"/>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row>
    <row r="445" ht="15.75" customHeight="1">
      <c r="A445" s="1"/>
      <c r="B445" s="1"/>
      <c r="C445" s="1"/>
      <c r="D445" s="1"/>
      <c r="E445" s="1"/>
      <c r="F445" s="2"/>
      <c r="G445" s="1"/>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row>
    <row r="446" ht="15.75" customHeight="1">
      <c r="A446" s="1"/>
      <c r="B446" s="1"/>
      <c r="C446" s="1"/>
      <c r="D446" s="1"/>
      <c r="E446" s="1"/>
      <c r="F446" s="2"/>
      <c r="G446" s="1"/>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row>
    <row r="447" ht="15.75" customHeight="1">
      <c r="A447" s="1"/>
      <c r="B447" s="1"/>
      <c r="C447" s="1"/>
      <c r="D447" s="1"/>
      <c r="E447" s="1"/>
      <c r="F447" s="2"/>
      <c r="G447" s="1"/>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row>
    <row r="448" ht="15.75" customHeight="1">
      <c r="A448" s="1"/>
      <c r="B448" s="1"/>
      <c r="C448" s="1"/>
      <c r="D448" s="1"/>
      <c r="E448" s="1"/>
      <c r="F448" s="2"/>
      <c r="G448" s="1"/>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row>
    <row r="449" ht="15.75" customHeight="1">
      <c r="A449" s="1"/>
      <c r="B449" s="1"/>
      <c r="C449" s="1"/>
      <c r="D449" s="1"/>
      <c r="E449" s="1"/>
      <c r="F449" s="2"/>
      <c r="G449" s="1"/>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row>
    <row r="450" ht="15.75" customHeight="1">
      <c r="A450" s="1"/>
      <c r="B450" s="1"/>
      <c r="C450" s="1"/>
      <c r="D450" s="1"/>
      <c r="E450" s="1"/>
      <c r="F450" s="2"/>
      <c r="G450" s="1"/>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row>
    <row r="451" ht="15.75" customHeight="1">
      <c r="A451" s="1"/>
      <c r="B451" s="1"/>
      <c r="C451" s="1"/>
      <c r="D451" s="1"/>
      <c r="E451" s="1"/>
      <c r="F451" s="2"/>
      <c r="G451" s="1"/>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row>
    <row r="452" ht="15.75" customHeight="1">
      <c r="A452" s="1"/>
      <c r="B452" s="1"/>
      <c r="C452" s="1"/>
      <c r="D452" s="1"/>
      <c r="E452" s="1"/>
      <c r="F452" s="2"/>
      <c r="G452" s="1"/>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row>
    <row r="453" ht="15.75" customHeight="1">
      <c r="A453" s="1"/>
      <c r="B453" s="1"/>
      <c r="C453" s="1"/>
      <c r="D453" s="1"/>
      <c r="E453" s="1"/>
      <c r="F453" s="2"/>
      <c r="G453" s="1"/>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row>
    <row r="454" ht="15.75" customHeight="1">
      <c r="A454" s="1"/>
      <c r="B454" s="1"/>
      <c r="C454" s="1"/>
      <c r="D454" s="1"/>
      <c r="E454" s="1"/>
      <c r="F454" s="2"/>
      <c r="G454" s="1"/>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row>
    <row r="455" ht="15.75" customHeight="1">
      <c r="A455" s="1"/>
      <c r="B455" s="1"/>
      <c r="C455" s="1"/>
      <c r="D455" s="1"/>
      <c r="E455" s="1"/>
      <c r="F455" s="2"/>
      <c r="G455" s="1"/>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row>
    <row r="456" ht="15.75" customHeight="1">
      <c r="A456" s="1"/>
      <c r="B456" s="1"/>
      <c r="C456" s="1"/>
      <c r="D456" s="1"/>
      <c r="E456" s="1"/>
      <c r="F456" s="2"/>
      <c r="G456" s="1"/>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row>
    <row r="457" ht="15.75" customHeight="1">
      <c r="A457" s="1"/>
      <c r="B457" s="1"/>
      <c r="C457" s="1"/>
      <c r="D457" s="1"/>
      <c r="E457" s="1"/>
      <c r="F457" s="2"/>
      <c r="G457" s="1"/>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row>
    <row r="458" ht="15.75" customHeight="1">
      <c r="A458" s="1"/>
      <c r="B458" s="1"/>
      <c r="C458" s="1"/>
      <c r="D458" s="1"/>
      <c r="E458" s="1"/>
      <c r="F458" s="2"/>
      <c r="G458" s="1"/>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row>
    <row r="459" ht="15.75" customHeight="1">
      <c r="A459" s="1"/>
      <c r="B459" s="1"/>
      <c r="C459" s="1"/>
      <c r="D459" s="1"/>
      <c r="E459" s="1"/>
      <c r="F459" s="2"/>
      <c r="G459" s="1"/>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row>
    <row r="460" ht="15.75" customHeight="1">
      <c r="A460" s="1"/>
      <c r="B460" s="1"/>
      <c r="C460" s="1"/>
      <c r="D460" s="1"/>
      <c r="E460" s="1"/>
      <c r="F460" s="2"/>
      <c r="G460" s="1"/>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row>
    <row r="461" ht="15.75" customHeight="1">
      <c r="A461" s="1"/>
      <c r="B461" s="1"/>
      <c r="C461" s="1"/>
      <c r="D461" s="1"/>
      <c r="E461" s="1"/>
      <c r="F461" s="2"/>
      <c r="G461" s="1"/>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row>
    <row r="462" ht="15.75" customHeight="1">
      <c r="A462" s="1"/>
      <c r="B462" s="1"/>
      <c r="C462" s="1"/>
      <c r="D462" s="1"/>
      <c r="E462" s="1"/>
      <c r="F462" s="2"/>
      <c r="G462" s="1"/>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row>
    <row r="463" ht="15.75" customHeight="1">
      <c r="A463" s="1"/>
      <c r="B463" s="1"/>
      <c r="C463" s="1"/>
      <c r="D463" s="1"/>
      <c r="E463" s="1"/>
      <c r="F463" s="2"/>
      <c r="G463" s="1"/>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row>
    <row r="464" ht="15.75" customHeight="1">
      <c r="A464" s="1"/>
      <c r="B464" s="1"/>
      <c r="C464" s="1"/>
      <c r="D464" s="1"/>
      <c r="E464" s="1"/>
      <c r="F464" s="2"/>
      <c r="G464" s="1"/>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row>
    <row r="465" ht="15.75" customHeight="1">
      <c r="A465" s="1"/>
      <c r="B465" s="1"/>
      <c r="C465" s="1"/>
      <c r="D465" s="1"/>
      <c r="E465" s="1"/>
      <c r="F465" s="2"/>
      <c r="G465" s="1"/>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row>
    <row r="466" ht="15.75" customHeight="1">
      <c r="A466" s="1"/>
      <c r="B466" s="1"/>
      <c r="C466" s="1"/>
      <c r="D466" s="1"/>
      <c r="E466" s="1"/>
      <c r="F466" s="2"/>
      <c r="G466" s="1"/>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row>
    <row r="467" ht="15.75" customHeight="1">
      <c r="A467" s="1"/>
      <c r="B467" s="1"/>
      <c r="C467" s="1"/>
      <c r="D467" s="1"/>
      <c r="E467" s="1"/>
      <c r="F467" s="2"/>
      <c r="G467" s="1"/>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row>
    <row r="468" ht="15.75" customHeight="1">
      <c r="A468" s="1"/>
      <c r="B468" s="1"/>
      <c r="C468" s="1"/>
      <c r="D468" s="1"/>
      <c r="E468" s="1"/>
      <c r="F468" s="2"/>
      <c r="G468" s="1"/>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row>
    <row r="469" ht="15.75" customHeight="1">
      <c r="A469" s="1"/>
      <c r="B469" s="1"/>
      <c r="C469" s="1"/>
      <c r="D469" s="1"/>
      <c r="E469" s="1"/>
      <c r="F469" s="2"/>
      <c r="G469" s="1"/>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row>
    <row r="470" ht="15.75" customHeight="1">
      <c r="A470" s="1"/>
      <c r="B470" s="1"/>
      <c r="C470" s="1"/>
      <c r="D470" s="1"/>
      <c r="E470" s="1"/>
      <c r="F470" s="2"/>
      <c r="G470" s="1"/>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row>
    <row r="471" ht="15.75" customHeight="1">
      <c r="A471" s="1"/>
      <c r="B471" s="1"/>
      <c r="C471" s="1"/>
      <c r="D471" s="1"/>
      <c r="E471" s="1"/>
      <c r="F471" s="2"/>
      <c r="G471" s="1"/>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row>
    <row r="472" ht="15.75" customHeight="1">
      <c r="A472" s="1"/>
      <c r="B472" s="1"/>
      <c r="C472" s="1"/>
      <c r="D472" s="1"/>
      <c r="E472" s="1"/>
      <c r="F472" s="2"/>
      <c r="G472" s="1"/>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row>
    <row r="473" ht="15.75" customHeight="1">
      <c r="A473" s="1"/>
      <c r="B473" s="1"/>
      <c r="C473" s="1"/>
      <c r="D473" s="1"/>
      <c r="E473" s="1"/>
      <c r="F473" s="2"/>
      <c r="G473" s="1"/>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row>
    <row r="474" ht="15.75" customHeight="1">
      <c r="A474" s="1"/>
      <c r="B474" s="1"/>
      <c r="C474" s="1"/>
      <c r="D474" s="1"/>
      <c r="E474" s="1"/>
      <c r="F474" s="2"/>
      <c r="G474" s="1"/>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row>
    <row r="475" ht="15.75" customHeight="1">
      <c r="A475" s="1"/>
      <c r="B475" s="1"/>
      <c r="C475" s="1"/>
      <c r="D475" s="1"/>
      <c r="E475" s="1"/>
      <c r="F475" s="2"/>
      <c r="G475" s="1"/>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row>
    <row r="476" ht="15.75" customHeight="1">
      <c r="A476" s="1"/>
      <c r="B476" s="1"/>
      <c r="C476" s="1"/>
      <c r="D476" s="1"/>
      <c r="E476" s="1"/>
      <c r="F476" s="2"/>
      <c r="G476" s="1"/>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row>
    <row r="477" ht="15.75" customHeight="1">
      <c r="A477" s="1"/>
      <c r="B477" s="1"/>
      <c r="C477" s="1"/>
      <c r="D477" s="1"/>
      <c r="E477" s="1"/>
      <c r="F477" s="2"/>
      <c r="G477" s="1"/>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row>
    <row r="478" ht="15.75" customHeight="1">
      <c r="A478" s="1"/>
      <c r="B478" s="1"/>
      <c r="C478" s="1"/>
      <c r="D478" s="1"/>
      <c r="E478" s="1"/>
      <c r="F478" s="2"/>
      <c r="G478" s="1"/>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row>
    <row r="479" ht="15.75" customHeight="1">
      <c r="A479" s="1"/>
      <c r="B479" s="1"/>
      <c r="C479" s="1"/>
      <c r="D479" s="1"/>
      <c r="E479" s="1"/>
      <c r="F479" s="2"/>
      <c r="G479" s="1"/>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row>
    <row r="480" ht="15.75" customHeight="1">
      <c r="A480" s="1"/>
      <c r="B480" s="1"/>
      <c r="C480" s="1"/>
      <c r="D480" s="1"/>
      <c r="E480" s="1"/>
      <c r="F480" s="2"/>
      <c r="G480" s="1"/>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row>
    <row r="481" ht="15.75" customHeight="1">
      <c r="A481" s="1"/>
      <c r="B481" s="1"/>
      <c r="C481" s="1"/>
      <c r="D481" s="1"/>
      <c r="E481" s="1"/>
      <c r="F481" s="2"/>
      <c r="G481" s="1"/>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row>
    <row r="482" ht="15.75" customHeight="1">
      <c r="A482" s="1"/>
      <c r="B482" s="1"/>
      <c r="C482" s="1"/>
      <c r="D482" s="1"/>
      <c r="E482" s="1"/>
      <c r="F482" s="2"/>
      <c r="G482" s="1"/>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row>
    <row r="483" ht="15.75" customHeight="1">
      <c r="A483" s="1"/>
      <c r="B483" s="1"/>
      <c r="C483" s="1"/>
      <c r="D483" s="1"/>
      <c r="E483" s="1"/>
      <c r="F483" s="2"/>
      <c r="G483" s="1"/>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row>
    <row r="484" ht="15.75" customHeight="1">
      <c r="A484" s="1"/>
      <c r="B484" s="1"/>
      <c r="C484" s="1"/>
      <c r="D484" s="1"/>
      <c r="E484" s="1"/>
      <c r="F484" s="2"/>
      <c r="G484" s="1"/>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row>
    <row r="485" ht="15.75" customHeight="1">
      <c r="A485" s="1"/>
      <c r="B485" s="1"/>
      <c r="C485" s="1"/>
      <c r="D485" s="1"/>
      <c r="E485" s="1"/>
      <c r="F485" s="2"/>
      <c r="G485" s="1"/>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row>
    <row r="486" ht="15.75" customHeight="1">
      <c r="A486" s="1"/>
      <c r="B486" s="1"/>
      <c r="C486" s="1"/>
      <c r="D486" s="1"/>
      <c r="E486" s="1"/>
      <c r="F486" s="2"/>
      <c r="G486" s="1"/>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row>
    <row r="487" ht="15.75" customHeight="1">
      <c r="A487" s="1"/>
      <c r="B487" s="1"/>
      <c r="C487" s="1"/>
      <c r="D487" s="1"/>
      <c r="E487" s="1"/>
      <c r="F487" s="2"/>
      <c r="G487" s="1"/>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row>
    <row r="488" ht="15.75" customHeight="1">
      <c r="A488" s="1"/>
      <c r="B488" s="1"/>
      <c r="C488" s="1"/>
      <c r="D488" s="1"/>
      <c r="E488" s="1"/>
      <c r="F488" s="2"/>
      <c r="G488" s="1"/>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row>
    <row r="489" ht="15.75" customHeight="1">
      <c r="A489" s="1"/>
      <c r="B489" s="1"/>
      <c r="C489" s="1"/>
      <c r="D489" s="1"/>
      <c r="E489" s="1"/>
      <c r="F489" s="2"/>
      <c r="G489" s="1"/>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row>
    <row r="490" ht="15.75" customHeight="1">
      <c r="A490" s="1"/>
      <c r="B490" s="1"/>
      <c r="C490" s="1"/>
      <c r="D490" s="1"/>
      <c r="E490" s="1"/>
      <c r="F490" s="2"/>
      <c r="G490" s="1"/>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row>
    <row r="491" ht="15.75" customHeight="1">
      <c r="A491" s="1"/>
      <c r="B491" s="1"/>
      <c r="C491" s="1"/>
      <c r="D491" s="1"/>
      <c r="E491" s="1"/>
      <c r="F491" s="2"/>
      <c r="G491" s="1"/>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row>
    <row r="492" ht="15.75" customHeight="1">
      <c r="A492" s="1"/>
      <c r="B492" s="1"/>
      <c r="C492" s="1"/>
      <c r="D492" s="1"/>
      <c r="E492" s="1"/>
      <c r="F492" s="2"/>
      <c r="G492" s="1"/>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row>
    <row r="493" ht="15.75" customHeight="1">
      <c r="A493" s="1"/>
      <c r="B493" s="1"/>
      <c r="C493" s="1"/>
      <c r="D493" s="1"/>
      <c r="E493" s="1"/>
      <c r="F493" s="2"/>
      <c r="G493" s="1"/>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row>
    <row r="494" ht="15.75" customHeight="1">
      <c r="A494" s="1"/>
      <c r="B494" s="1"/>
      <c r="C494" s="1"/>
      <c r="D494" s="1"/>
      <c r="E494" s="1"/>
      <c r="F494" s="2"/>
      <c r="G494" s="1"/>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row>
    <row r="495" ht="15.75" customHeight="1">
      <c r="A495" s="1"/>
      <c r="B495" s="1"/>
      <c r="C495" s="1"/>
      <c r="D495" s="1"/>
      <c r="E495" s="1"/>
      <c r="F495" s="2"/>
      <c r="G495" s="1"/>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row>
    <row r="496" ht="15.75" customHeight="1">
      <c r="A496" s="1"/>
      <c r="B496" s="1"/>
      <c r="C496" s="1"/>
      <c r="D496" s="1"/>
      <c r="E496" s="1"/>
      <c r="F496" s="2"/>
      <c r="G496" s="1"/>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row>
    <row r="497" ht="15.75" customHeight="1">
      <c r="A497" s="1"/>
      <c r="B497" s="1"/>
      <c r="C497" s="1"/>
      <c r="D497" s="1"/>
      <c r="E497" s="1"/>
      <c r="F497" s="2"/>
      <c r="G497" s="1"/>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row>
    <row r="498" ht="15.75" customHeight="1">
      <c r="A498" s="1"/>
      <c r="B498" s="1"/>
      <c r="C498" s="1"/>
      <c r="D498" s="1"/>
      <c r="E498" s="1"/>
      <c r="F498" s="2"/>
      <c r="G498" s="1"/>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row>
    <row r="499" ht="15.75" customHeight="1">
      <c r="A499" s="1"/>
      <c r="B499" s="1"/>
      <c r="C499" s="1"/>
      <c r="D499" s="1"/>
      <c r="E499" s="1"/>
      <c r="F499" s="2"/>
      <c r="G499" s="1"/>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row>
    <row r="500" ht="15.75" customHeight="1">
      <c r="A500" s="1"/>
      <c r="B500" s="1"/>
      <c r="C500" s="1"/>
      <c r="D500" s="1"/>
      <c r="E500" s="1"/>
      <c r="F500" s="2"/>
      <c r="G500" s="1"/>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row>
    <row r="501" ht="15.75" customHeight="1">
      <c r="A501" s="1"/>
      <c r="B501" s="1"/>
      <c r="C501" s="1"/>
      <c r="D501" s="1"/>
      <c r="E501" s="1"/>
      <c r="F501" s="2"/>
      <c r="G501" s="1"/>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row>
    <row r="502" ht="15.75" customHeight="1">
      <c r="A502" s="1"/>
      <c r="B502" s="1"/>
      <c r="C502" s="1"/>
      <c r="D502" s="1"/>
      <c r="E502" s="1"/>
      <c r="F502" s="2"/>
      <c r="G502" s="1"/>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row>
    <row r="503" ht="15.75" customHeight="1">
      <c r="A503" s="1"/>
      <c r="B503" s="1"/>
      <c r="C503" s="1"/>
      <c r="D503" s="1"/>
      <c r="E503" s="1"/>
      <c r="F503" s="2"/>
      <c r="G503" s="1"/>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row>
    <row r="504" ht="15.75" customHeight="1">
      <c r="A504" s="1"/>
      <c r="B504" s="1"/>
      <c r="C504" s="1"/>
      <c r="D504" s="1"/>
      <c r="E504" s="1"/>
      <c r="F504" s="2"/>
      <c r="G504" s="1"/>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row>
    <row r="505" ht="15.75" customHeight="1">
      <c r="A505" s="1"/>
      <c r="B505" s="1"/>
      <c r="C505" s="1"/>
      <c r="D505" s="1"/>
      <c r="E505" s="1"/>
      <c r="F505" s="2"/>
      <c r="G505" s="1"/>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row>
    <row r="506" ht="15.75" customHeight="1">
      <c r="A506" s="1"/>
      <c r="B506" s="1"/>
      <c r="C506" s="1"/>
      <c r="D506" s="1"/>
      <c r="E506" s="1"/>
      <c r="F506" s="2"/>
      <c r="G506" s="1"/>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row>
    <row r="507" ht="15.75" customHeight="1">
      <c r="A507" s="1"/>
      <c r="B507" s="1"/>
      <c r="C507" s="1"/>
      <c r="D507" s="1"/>
      <c r="E507" s="1"/>
      <c r="F507" s="2"/>
      <c r="G507" s="1"/>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row>
    <row r="508" ht="15.75" customHeight="1">
      <c r="A508" s="1"/>
      <c r="B508" s="1"/>
      <c r="C508" s="1"/>
      <c r="D508" s="1"/>
      <c r="E508" s="1"/>
      <c r="F508" s="2"/>
      <c r="G508" s="1"/>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row>
    <row r="509" ht="15.75" customHeight="1">
      <c r="A509" s="1"/>
      <c r="B509" s="1"/>
      <c r="C509" s="1"/>
      <c r="D509" s="1"/>
      <c r="E509" s="1"/>
      <c r="F509" s="2"/>
      <c r="G509" s="1"/>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row>
    <row r="510" ht="15.75" customHeight="1">
      <c r="A510" s="1"/>
      <c r="B510" s="1"/>
      <c r="C510" s="1"/>
      <c r="D510" s="1"/>
      <c r="E510" s="1"/>
      <c r="F510" s="2"/>
      <c r="G510" s="1"/>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row>
    <row r="511" ht="15.75" customHeight="1">
      <c r="A511" s="1"/>
      <c r="B511" s="1"/>
      <c r="C511" s="1"/>
      <c r="D511" s="1"/>
      <c r="E511" s="1"/>
      <c r="F511" s="2"/>
      <c r="G511" s="1"/>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row>
    <row r="512" ht="15.75" customHeight="1">
      <c r="A512" s="1"/>
      <c r="B512" s="1"/>
      <c r="C512" s="1"/>
      <c r="D512" s="1"/>
      <c r="E512" s="1"/>
      <c r="F512" s="2"/>
      <c r="G512" s="1"/>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row>
    <row r="513" ht="15.75" customHeight="1">
      <c r="A513" s="1"/>
      <c r="B513" s="1"/>
      <c r="C513" s="1"/>
      <c r="D513" s="1"/>
      <c r="E513" s="1"/>
      <c r="F513" s="2"/>
      <c r="G513" s="1"/>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row>
    <row r="514" ht="15.75" customHeight="1">
      <c r="A514" s="1"/>
      <c r="B514" s="1"/>
      <c r="C514" s="1"/>
      <c r="D514" s="1"/>
      <c r="E514" s="1"/>
      <c r="F514" s="2"/>
      <c r="G514" s="1"/>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row>
    <row r="515" ht="15.75" customHeight="1">
      <c r="A515" s="1"/>
      <c r="B515" s="1"/>
      <c r="C515" s="1"/>
      <c r="D515" s="1"/>
      <c r="E515" s="1"/>
      <c r="F515" s="2"/>
      <c r="G515" s="1"/>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row>
    <row r="516" ht="15.75" customHeight="1">
      <c r="A516" s="1"/>
      <c r="B516" s="1"/>
      <c r="C516" s="1"/>
      <c r="D516" s="1"/>
      <c r="E516" s="1"/>
      <c r="F516" s="2"/>
      <c r="G516" s="1"/>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row>
    <row r="517" ht="15.75" customHeight="1">
      <c r="A517" s="1"/>
      <c r="B517" s="1"/>
      <c r="C517" s="1"/>
      <c r="D517" s="1"/>
      <c r="E517" s="1"/>
      <c r="F517" s="2"/>
      <c r="G517" s="1"/>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row>
    <row r="518" ht="15.75" customHeight="1">
      <c r="A518" s="1"/>
      <c r="B518" s="1"/>
      <c r="C518" s="1"/>
      <c r="D518" s="1"/>
      <c r="E518" s="1"/>
      <c r="F518" s="2"/>
      <c r="G518" s="1"/>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row>
    <row r="519" ht="15.75" customHeight="1">
      <c r="A519" s="1"/>
      <c r="B519" s="1"/>
      <c r="C519" s="1"/>
      <c r="D519" s="1"/>
      <c r="E519" s="1"/>
      <c r="F519" s="2"/>
      <c r="G519" s="1"/>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row>
    <row r="520" ht="15.75" customHeight="1">
      <c r="A520" s="1"/>
      <c r="B520" s="1"/>
      <c r="C520" s="1"/>
      <c r="D520" s="1"/>
      <c r="E520" s="1"/>
      <c r="F520" s="2"/>
      <c r="G520" s="1"/>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row>
    <row r="521" ht="15.75" customHeight="1">
      <c r="A521" s="1"/>
      <c r="B521" s="1"/>
      <c r="C521" s="1"/>
      <c r="D521" s="1"/>
      <c r="E521" s="1"/>
      <c r="F521" s="2"/>
      <c r="G521" s="1"/>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row>
    <row r="522" ht="15.75" customHeight="1">
      <c r="A522" s="1"/>
      <c r="B522" s="1"/>
      <c r="C522" s="1"/>
      <c r="D522" s="1"/>
      <c r="E522" s="1"/>
      <c r="F522" s="2"/>
      <c r="G522" s="1"/>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row>
    <row r="523" ht="15.75" customHeight="1">
      <c r="A523" s="1"/>
      <c r="B523" s="1"/>
      <c r="C523" s="1"/>
      <c r="D523" s="1"/>
      <c r="E523" s="1"/>
      <c r="F523" s="2"/>
      <c r="G523" s="1"/>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row>
    <row r="524" ht="15.75" customHeight="1">
      <c r="A524" s="1"/>
      <c r="B524" s="1"/>
      <c r="C524" s="1"/>
      <c r="D524" s="1"/>
      <c r="E524" s="1"/>
      <c r="F524" s="2"/>
      <c r="G524" s="1"/>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row>
    <row r="525" ht="15.75" customHeight="1">
      <c r="A525" s="1"/>
      <c r="B525" s="1"/>
      <c r="C525" s="1"/>
      <c r="D525" s="1"/>
      <c r="E525" s="1"/>
      <c r="F525" s="2"/>
      <c r="G525" s="1"/>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row>
    <row r="526" ht="15.75" customHeight="1">
      <c r="A526" s="1"/>
      <c r="B526" s="1"/>
      <c r="C526" s="1"/>
      <c r="D526" s="1"/>
      <c r="E526" s="1"/>
      <c r="F526" s="2"/>
      <c r="G526" s="1"/>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row>
    <row r="527" ht="15.75" customHeight="1">
      <c r="A527" s="1"/>
      <c r="B527" s="1"/>
      <c r="C527" s="1"/>
      <c r="D527" s="1"/>
      <c r="E527" s="1"/>
      <c r="F527" s="2"/>
      <c r="G527" s="1"/>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row>
    <row r="528" ht="15.75" customHeight="1">
      <c r="A528" s="1"/>
      <c r="B528" s="1"/>
      <c r="C528" s="1"/>
      <c r="D528" s="1"/>
      <c r="E528" s="1"/>
      <c r="F528" s="2"/>
      <c r="G528" s="1"/>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row>
    <row r="529" ht="15.75" customHeight="1">
      <c r="A529" s="1"/>
      <c r="B529" s="1"/>
      <c r="C529" s="1"/>
      <c r="D529" s="1"/>
      <c r="E529" s="1"/>
      <c r="F529" s="2"/>
      <c r="G529" s="1"/>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row>
    <row r="530" ht="15.75" customHeight="1">
      <c r="A530" s="1"/>
      <c r="B530" s="1"/>
      <c r="C530" s="1"/>
      <c r="D530" s="1"/>
      <c r="E530" s="1"/>
      <c r="F530" s="2"/>
      <c r="G530" s="1"/>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row>
    <row r="531" ht="15.75" customHeight="1">
      <c r="A531" s="1"/>
      <c r="B531" s="1"/>
      <c r="C531" s="1"/>
      <c r="D531" s="1"/>
      <c r="E531" s="1"/>
      <c r="F531" s="2"/>
      <c r="G531" s="1"/>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row>
    <row r="532" ht="15.75" customHeight="1">
      <c r="A532" s="1"/>
      <c r="B532" s="1"/>
      <c r="C532" s="1"/>
      <c r="D532" s="1"/>
      <c r="E532" s="1"/>
      <c r="F532" s="2"/>
      <c r="G532" s="1"/>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row>
    <row r="533" ht="15.75" customHeight="1">
      <c r="A533" s="1"/>
      <c r="B533" s="1"/>
      <c r="C533" s="1"/>
      <c r="D533" s="1"/>
      <c r="E533" s="1"/>
      <c r="F533" s="2"/>
      <c r="G533" s="1"/>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row>
    <row r="534" ht="15.75" customHeight="1">
      <c r="A534" s="1"/>
      <c r="B534" s="1"/>
      <c r="C534" s="1"/>
      <c r="D534" s="1"/>
      <c r="E534" s="1"/>
      <c r="F534" s="2"/>
      <c r="G534" s="1"/>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row>
    <row r="535" ht="15.75" customHeight="1">
      <c r="A535" s="1"/>
      <c r="B535" s="1"/>
      <c r="C535" s="1"/>
      <c r="D535" s="1"/>
      <c r="E535" s="1"/>
      <c r="F535" s="2"/>
      <c r="G535" s="1"/>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row>
    <row r="536" ht="15.75" customHeight="1">
      <c r="A536" s="1"/>
      <c r="B536" s="1"/>
      <c r="C536" s="1"/>
      <c r="D536" s="1"/>
      <c r="E536" s="1"/>
      <c r="F536" s="2"/>
      <c r="G536" s="1"/>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row>
    <row r="537" ht="15.75" customHeight="1">
      <c r="A537" s="1"/>
      <c r="B537" s="1"/>
      <c r="C537" s="1"/>
      <c r="D537" s="1"/>
      <c r="E537" s="1"/>
      <c r="F537" s="2"/>
      <c r="G537" s="1"/>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row>
    <row r="538" ht="15.75" customHeight="1">
      <c r="A538" s="1"/>
      <c r="B538" s="1"/>
      <c r="C538" s="1"/>
      <c r="D538" s="1"/>
      <c r="E538" s="1"/>
      <c r="F538" s="2"/>
      <c r="G538" s="1"/>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row>
    <row r="539" ht="15.75" customHeight="1">
      <c r="A539" s="1"/>
      <c r="B539" s="1"/>
      <c r="C539" s="1"/>
      <c r="D539" s="1"/>
      <c r="E539" s="1"/>
      <c r="F539" s="2"/>
      <c r="G539" s="1"/>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row>
    <row r="540" ht="15.75" customHeight="1">
      <c r="A540" s="1"/>
      <c r="B540" s="1"/>
      <c r="C540" s="1"/>
      <c r="D540" s="1"/>
      <c r="E540" s="1"/>
      <c r="F540" s="2"/>
      <c r="G540" s="1"/>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row>
    <row r="541" ht="15.75" customHeight="1">
      <c r="A541" s="1"/>
      <c r="B541" s="1"/>
      <c r="C541" s="1"/>
      <c r="D541" s="1"/>
      <c r="E541" s="1"/>
      <c r="F541" s="2"/>
      <c r="G541" s="1"/>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row>
    <row r="542" ht="15.75" customHeight="1">
      <c r="A542" s="1"/>
      <c r="B542" s="1"/>
      <c r="C542" s="1"/>
      <c r="D542" s="1"/>
      <c r="E542" s="1"/>
      <c r="F542" s="2"/>
      <c r="G542" s="1"/>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row>
    <row r="543" ht="15.75" customHeight="1">
      <c r="A543" s="1"/>
      <c r="B543" s="1"/>
      <c r="C543" s="1"/>
      <c r="D543" s="1"/>
      <c r="E543" s="1"/>
      <c r="F543" s="2"/>
      <c r="G543" s="1"/>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row>
    <row r="544" ht="15.75" customHeight="1">
      <c r="A544" s="1"/>
      <c r="B544" s="1"/>
      <c r="C544" s="1"/>
      <c r="D544" s="1"/>
      <c r="E544" s="1"/>
      <c r="F544" s="2"/>
      <c r="G544" s="1"/>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row>
    <row r="545" ht="15.75" customHeight="1">
      <c r="A545" s="1"/>
      <c r="B545" s="1"/>
      <c r="C545" s="1"/>
      <c r="D545" s="1"/>
      <c r="E545" s="1"/>
      <c r="F545" s="2"/>
      <c r="G545" s="1"/>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row>
    <row r="546" ht="15.75" customHeight="1">
      <c r="A546" s="1"/>
      <c r="B546" s="1"/>
      <c r="C546" s="1"/>
      <c r="D546" s="1"/>
      <c r="E546" s="1"/>
      <c r="F546" s="2"/>
      <c r="G546" s="1"/>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row>
    <row r="547" ht="15.75" customHeight="1">
      <c r="A547" s="1"/>
      <c r="B547" s="1"/>
      <c r="C547" s="1"/>
      <c r="D547" s="1"/>
      <c r="E547" s="1"/>
      <c r="F547" s="2"/>
      <c r="G547" s="1"/>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row>
    <row r="548" ht="15.75" customHeight="1">
      <c r="A548" s="1"/>
      <c r="B548" s="1"/>
      <c r="C548" s="1"/>
      <c r="D548" s="1"/>
      <c r="E548" s="1"/>
      <c r="F548" s="2"/>
      <c r="G548" s="1"/>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row>
    <row r="549" ht="15.75" customHeight="1">
      <c r="A549" s="1"/>
      <c r="B549" s="1"/>
      <c r="C549" s="1"/>
      <c r="D549" s="1"/>
      <c r="E549" s="1"/>
      <c r="F549" s="2"/>
      <c r="G549" s="1"/>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row>
    <row r="550" ht="15.75" customHeight="1">
      <c r="A550" s="1"/>
      <c r="B550" s="1"/>
      <c r="C550" s="1"/>
      <c r="D550" s="1"/>
      <c r="E550" s="1"/>
      <c r="F550" s="2"/>
      <c r="G550" s="1"/>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row>
    <row r="551" ht="15.75" customHeight="1">
      <c r="A551" s="1"/>
      <c r="B551" s="1"/>
      <c r="C551" s="1"/>
      <c r="D551" s="1"/>
      <c r="E551" s="1"/>
      <c r="F551" s="2"/>
      <c r="G551" s="1"/>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row>
    <row r="552" ht="15.75" customHeight="1">
      <c r="A552" s="1"/>
      <c r="B552" s="1"/>
      <c r="C552" s="1"/>
      <c r="D552" s="1"/>
      <c r="E552" s="1"/>
      <c r="F552" s="2"/>
      <c r="G552" s="1"/>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row>
    <row r="553" ht="15.75" customHeight="1">
      <c r="A553" s="1"/>
      <c r="B553" s="1"/>
      <c r="C553" s="1"/>
      <c r="D553" s="1"/>
      <c r="E553" s="1"/>
      <c r="F553" s="2"/>
      <c r="G553" s="1"/>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row>
    <row r="554" ht="15.75" customHeight="1">
      <c r="A554" s="1"/>
      <c r="B554" s="1"/>
      <c r="C554" s="1"/>
      <c r="D554" s="1"/>
      <c r="E554" s="1"/>
      <c r="F554" s="2"/>
      <c r="G554" s="1"/>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row>
    <row r="555" ht="15.75" customHeight="1">
      <c r="A555" s="1"/>
      <c r="B555" s="1"/>
      <c r="C555" s="1"/>
      <c r="D555" s="1"/>
      <c r="E555" s="1"/>
      <c r="F555" s="2"/>
      <c r="G555" s="1"/>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row>
    <row r="556" ht="15.75" customHeight="1">
      <c r="A556" s="1"/>
      <c r="B556" s="1"/>
      <c r="C556" s="1"/>
      <c r="D556" s="1"/>
      <c r="E556" s="1"/>
      <c r="F556" s="2"/>
      <c r="G556" s="1"/>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row>
    <row r="557" ht="15.75" customHeight="1">
      <c r="A557" s="1"/>
      <c r="B557" s="1"/>
      <c r="C557" s="1"/>
      <c r="D557" s="1"/>
      <c r="E557" s="1"/>
      <c r="F557" s="2"/>
      <c r="G557" s="1"/>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row>
    <row r="558" ht="15.75" customHeight="1">
      <c r="A558" s="1"/>
      <c r="B558" s="1"/>
      <c r="C558" s="1"/>
      <c r="D558" s="1"/>
      <c r="E558" s="1"/>
      <c r="F558" s="2"/>
      <c r="G558" s="1"/>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row>
    <row r="559" ht="15.75" customHeight="1">
      <c r="A559" s="1"/>
      <c r="B559" s="1"/>
      <c r="C559" s="1"/>
      <c r="D559" s="1"/>
      <c r="E559" s="1"/>
      <c r="F559" s="2"/>
      <c r="G559" s="1"/>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row>
    <row r="560" ht="15.75" customHeight="1">
      <c r="A560" s="1"/>
      <c r="B560" s="1"/>
      <c r="C560" s="1"/>
      <c r="D560" s="1"/>
      <c r="E560" s="1"/>
      <c r="F560" s="2"/>
      <c r="G560" s="1"/>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row>
    <row r="561" ht="15.75" customHeight="1">
      <c r="A561" s="1"/>
      <c r="B561" s="1"/>
      <c r="C561" s="1"/>
      <c r="D561" s="1"/>
      <c r="E561" s="1"/>
      <c r="F561" s="2"/>
      <c r="G561" s="1"/>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row>
    <row r="562" ht="15.75" customHeight="1">
      <c r="A562" s="1"/>
      <c r="B562" s="1"/>
      <c r="C562" s="1"/>
      <c r="D562" s="1"/>
      <c r="E562" s="1"/>
      <c r="F562" s="2"/>
      <c r="G562" s="1"/>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row>
    <row r="563" ht="15.75" customHeight="1">
      <c r="A563" s="1"/>
      <c r="B563" s="1"/>
      <c r="C563" s="1"/>
      <c r="D563" s="1"/>
      <c r="E563" s="1"/>
      <c r="F563" s="2"/>
      <c r="G563" s="1"/>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row>
    <row r="564" ht="15.75" customHeight="1">
      <c r="A564" s="1"/>
      <c r="B564" s="1"/>
      <c r="C564" s="1"/>
      <c r="D564" s="1"/>
      <c r="E564" s="1"/>
      <c r="F564" s="2"/>
      <c r="G564" s="1"/>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row>
    <row r="565" ht="15.75" customHeight="1">
      <c r="A565" s="1"/>
      <c r="B565" s="1"/>
      <c r="C565" s="1"/>
      <c r="D565" s="1"/>
      <c r="E565" s="1"/>
      <c r="F565" s="2"/>
      <c r="G565" s="1"/>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row>
    <row r="566" ht="15.75" customHeight="1">
      <c r="A566" s="1"/>
      <c r="B566" s="1"/>
      <c r="C566" s="1"/>
      <c r="D566" s="1"/>
      <c r="E566" s="1"/>
      <c r="F566" s="2"/>
      <c r="G566" s="1"/>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row>
    <row r="567" ht="15.75" customHeight="1">
      <c r="A567" s="1"/>
      <c r="B567" s="1"/>
      <c r="C567" s="1"/>
      <c r="D567" s="1"/>
      <c r="E567" s="1"/>
      <c r="F567" s="2"/>
      <c r="G567" s="1"/>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row>
    <row r="568" ht="15.75" customHeight="1">
      <c r="A568" s="1"/>
      <c r="B568" s="1"/>
      <c r="C568" s="1"/>
      <c r="D568" s="1"/>
      <c r="E568" s="1"/>
      <c r="F568" s="2"/>
      <c r="G568" s="1"/>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row>
    <row r="569" ht="15.75" customHeight="1">
      <c r="A569" s="1"/>
      <c r="B569" s="1"/>
      <c r="C569" s="1"/>
      <c r="D569" s="1"/>
      <c r="E569" s="1"/>
      <c r="F569" s="2"/>
      <c r="G569" s="1"/>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row>
    <row r="570" ht="15.75" customHeight="1">
      <c r="A570" s="1"/>
      <c r="B570" s="1"/>
      <c r="C570" s="1"/>
      <c r="D570" s="1"/>
      <c r="E570" s="1"/>
      <c r="F570" s="2"/>
      <c r="G570" s="1"/>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row>
    <row r="571" ht="15.75" customHeight="1">
      <c r="A571" s="1"/>
      <c r="B571" s="1"/>
      <c r="C571" s="1"/>
      <c r="D571" s="1"/>
      <c r="E571" s="1"/>
      <c r="F571" s="2"/>
      <c r="G571" s="1"/>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row>
    <row r="572" ht="15.75" customHeight="1">
      <c r="A572" s="1"/>
      <c r="B572" s="1"/>
      <c r="C572" s="1"/>
      <c r="D572" s="1"/>
      <c r="E572" s="1"/>
      <c r="F572" s="2"/>
      <c r="G572" s="1"/>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row>
    <row r="573" ht="15.75" customHeight="1">
      <c r="A573" s="1"/>
      <c r="B573" s="1"/>
      <c r="C573" s="1"/>
      <c r="D573" s="1"/>
      <c r="E573" s="1"/>
      <c r="F573" s="2"/>
      <c r="G573" s="1"/>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row>
    <row r="574" ht="15.75" customHeight="1">
      <c r="A574" s="1"/>
      <c r="B574" s="1"/>
      <c r="C574" s="1"/>
      <c r="D574" s="1"/>
      <c r="E574" s="1"/>
      <c r="F574" s="2"/>
      <c r="G574" s="1"/>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row>
    <row r="575" ht="15.75" customHeight="1">
      <c r="A575" s="1"/>
      <c r="B575" s="1"/>
      <c r="C575" s="1"/>
      <c r="D575" s="1"/>
      <c r="E575" s="1"/>
      <c r="F575" s="2"/>
      <c r="G575" s="1"/>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row>
    <row r="576" ht="15.75" customHeight="1">
      <c r="A576" s="1"/>
      <c r="B576" s="1"/>
      <c r="C576" s="1"/>
      <c r="D576" s="1"/>
      <c r="E576" s="1"/>
      <c r="F576" s="2"/>
      <c r="G576" s="1"/>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row>
    <row r="577" ht="15.75" customHeight="1">
      <c r="A577" s="1"/>
      <c r="B577" s="1"/>
      <c r="C577" s="1"/>
      <c r="D577" s="1"/>
      <c r="E577" s="1"/>
      <c r="F577" s="2"/>
      <c r="G577" s="1"/>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row>
    <row r="578" ht="15.75" customHeight="1">
      <c r="A578" s="1"/>
      <c r="B578" s="1"/>
      <c r="C578" s="1"/>
      <c r="D578" s="1"/>
      <c r="E578" s="1"/>
      <c r="F578" s="2"/>
      <c r="G578" s="1"/>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row>
    <row r="579" ht="15.75" customHeight="1">
      <c r="A579" s="1"/>
      <c r="B579" s="1"/>
      <c r="C579" s="1"/>
      <c r="D579" s="1"/>
      <c r="E579" s="1"/>
      <c r="F579" s="2"/>
      <c r="G579" s="1"/>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row>
    <row r="580" ht="15.75" customHeight="1">
      <c r="A580" s="1"/>
      <c r="B580" s="1"/>
      <c r="C580" s="1"/>
      <c r="D580" s="1"/>
      <c r="E580" s="1"/>
      <c r="F580" s="2"/>
      <c r="G580" s="1"/>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row>
    <row r="581" ht="15.75" customHeight="1">
      <c r="A581" s="1"/>
      <c r="B581" s="1"/>
      <c r="C581" s="1"/>
      <c r="D581" s="1"/>
      <c r="E581" s="1"/>
      <c r="F581" s="2"/>
      <c r="G581" s="1"/>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row>
    <row r="582" ht="15.75" customHeight="1">
      <c r="A582" s="1"/>
      <c r="B582" s="1"/>
      <c r="C582" s="1"/>
      <c r="D582" s="1"/>
      <c r="E582" s="1"/>
      <c r="F582" s="2"/>
      <c r="G582" s="1"/>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row>
    <row r="583" ht="15.75" customHeight="1">
      <c r="A583" s="1"/>
      <c r="B583" s="1"/>
      <c r="C583" s="1"/>
      <c r="D583" s="1"/>
      <c r="E583" s="1"/>
      <c r="F583" s="2"/>
      <c r="G583" s="1"/>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row>
    <row r="584" ht="15.75" customHeight="1">
      <c r="A584" s="1"/>
      <c r="B584" s="1"/>
      <c r="C584" s="1"/>
      <c r="D584" s="1"/>
      <c r="E584" s="1"/>
      <c r="F584" s="2"/>
      <c r="G584" s="1"/>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row>
    <row r="585" ht="15.75" customHeight="1">
      <c r="A585" s="1"/>
      <c r="B585" s="1"/>
      <c r="C585" s="1"/>
      <c r="D585" s="1"/>
      <c r="E585" s="1"/>
      <c r="F585" s="2"/>
      <c r="G585" s="1"/>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row>
    <row r="586" ht="15.75" customHeight="1">
      <c r="A586" s="1"/>
      <c r="B586" s="1"/>
      <c r="C586" s="1"/>
      <c r="D586" s="1"/>
      <c r="E586" s="1"/>
      <c r="F586" s="2"/>
      <c r="G586" s="1"/>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row>
    <row r="587" ht="15.75" customHeight="1">
      <c r="A587" s="1"/>
      <c r="B587" s="1"/>
      <c r="C587" s="1"/>
      <c r="D587" s="1"/>
      <c r="E587" s="1"/>
      <c r="F587" s="2"/>
      <c r="G587" s="1"/>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row>
    <row r="588" ht="15.75" customHeight="1">
      <c r="A588" s="1"/>
      <c r="B588" s="1"/>
      <c r="C588" s="1"/>
      <c r="D588" s="1"/>
      <c r="E588" s="1"/>
      <c r="F588" s="2"/>
      <c r="G588" s="1"/>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row>
    <row r="589" ht="15.75" customHeight="1">
      <c r="A589" s="1"/>
      <c r="B589" s="1"/>
      <c r="C589" s="1"/>
      <c r="D589" s="1"/>
      <c r="E589" s="1"/>
      <c r="F589" s="2"/>
      <c r="G589" s="1"/>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row>
    <row r="590" ht="15.75" customHeight="1">
      <c r="A590" s="1"/>
      <c r="B590" s="1"/>
      <c r="C590" s="1"/>
      <c r="D590" s="1"/>
      <c r="E590" s="1"/>
      <c r="F590" s="2"/>
      <c r="G590" s="1"/>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row>
    <row r="591" ht="15.75" customHeight="1">
      <c r="A591" s="1"/>
      <c r="B591" s="1"/>
      <c r="C591" s="1"/>
      <c r="D591" s="1"/>
      <c r="E591" s="1"/>
      <c r="F591" s="2"/>
      <c r="G591" s="1"/>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row>
    <row r="592" ht="15.75" customHeight="1">
      <c r="A592" s="1"/>
      <c r="B592" s="1"/>
      <c r="C592" s="1"/>
      <c r="D592" s="1"/>
      <c r="E592" s="1"/>
      <c r="F592" s="2"/>
      <c r="G592" s="1"/>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row>
    <row r="593" ht="15.75" customHeight="1">
      <c r="A593" s="1"/>
      <c r="B593" s="1"/>
      <c r="C593" s="1"/>
      <c r="D593" s="1"/>
      <c r="E593" s="1"/>
      <c r="F593" s="2"/>
      <c r="G593" s="1"/>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row>
    <row r="594" ht="15.75" customHeight="1">
      <c r="A594" s="1"/>
      <c r="B594" s="1"/>
      <c r="C594" s="1"/>
      <c r="D594" s="1"/>
      <c r="E594" s="1"/>
      <c r="F594" s="2"/>
      <c r="G594" s="1"/>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row>
    <row r="595" ht="15.75" customHeight="1">
      <c r="A595" s="1"/>
      <c r="B595" s="1"/>
      <c r="C595" s="1"/>
      <c r="D595" s="1"/>
      <c r="E595" s="1"/>
      <c r="F595" s="2"/>
      <c r="G595" s="1"/>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row>
    <row r="596" ht="15.75" customHeight="1">
      <c r="A596" s="1"/>
      <c r="B596" s="1"/>
      <c r="C596" s="1"/>
      <c r="D596" s="1"/>
      <c r="E596" s="1"/>
      <c r="F596" s="2"/>
      <c r="G596" s="1"/>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row>
    <row r="597" ht="15.75" customHeight="1">
      <c r="A597" s="1"/>
      <c r="B597" s="1"/>
      <c r="C597" s="1"/>
      <c r="D597" s="1"/>
      <c r="E597" s="1"/>
      <c r="F597" s="2"/>
      <c r="G597" s="1"/>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row>
    <row r="598" ht="15.75" customHeight="1">
      <c r="A598" s="1"/>
      <c r="B598" s="1"/>
      <c r="C598" s="1"/>
      <c r="D598" s="1"/>
      <c r="E598" s="1"/>
      <c r="F598" s="2"/>
      <c r="G598" s="1"/>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row>
    <row r="599" ht="15.75" customHeight="1">
      <c r="A599" s="1"/>
      <c r="B599" s="1"/>
      <c r="C599" s="1"/>
      <c r="D599" s="1"/>
      <c r="E599" s="1"/>
      <c r="F599" s="2"/>
      <c r="G599" s="1"/>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row>
    <row r="600" ht="15.75" customHeight="1">
      <c r="A600" s="1"/>
      <c r="B600" s="1"/>
      <c r="C600" s="1"/>
      <c r="D600" s="1"/>
      <c r="E600" s="1"/>
      <c r="F600" s="2"/>
      <c r="G600" s="1"/>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row>
    <row r="601" ht="15.75" customHeight="1">
      <c r="A601" s="1"/>
      <c r="B601" s="1"/>
      <c r="C601" s="1"/>
      <c r="D601" s="1"/>
      <c r="E601" s="1"/>
      <c r="F601" s="2"/>
      <c r="G601" s="1"/>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row>
    <row r="602" ht="15.75" customHeight="1">
      <c r="A602" s="1"/>
      <c r="B602" s="1"/>
      <c r="C602" s="1"/>
      <c r="D602" s="1"/>
      <c r="E602" s="1"/>
      <c r="F602" s="2"/>
      <c r="G602" s="1"/>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row>
    <row r="603" ht="15.75" customHeight="1">
      <c r="A603" s="1"/>
      <c r="B603" s="1"/>
      <c r="C603" s="1"/>
      <c r="D603" s="1"/>
      <c r="E603" s="1"/>
      <c r="F603" s="2"/>
      <c r="G603" s="1"/>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row>
    <row r="604" ht="15.75" customHeight="1">
      <c r="A604" s="1"/>
      <c r="B604" s="1"/>
      <c r="C604" s="1"/>
      <c r="D604" s="1"/>
      <c r="E604" s="1"/>
      <c r="F604" s="2"/>
      <c r="G604" s="1"/>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row>
    <row r="605" ht="15.75" customHeight="1">
      <c r="A605" s="1"/>
      <c r="B605" s="1"/>
      <c r="C605" s="1"/>
      <c r="D605" s="1"/>
      <c r="E605" s="1"/>
      <c r="F605" s="2"/>
      <c r="G605" s="1"/>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row>
    <row r="606" ht="15.75" customHeight="1">
      <c r="A606" s="1"/>
      <c r="B606" s="1"/>
      <c r="C606" s="1"/>
      <c r="D606" s="1"/>
      <c r="E606" s="1"/>
      <c r="F606" s="2"/>
      <c r="G606" s="1"/>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row>
    <row r="607" ht="15.75" customHeight="1">
      <c r="A607" s="1"/>
      <c r="B607" s="1"/>
      <c r="C607" s="1"/>
      <c r="D607" s="1"/>
      <c r="E607" s="1"/>
      <c r="F607" s="2"/>
      <c r="G607" s="1"/>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row>
    <row r="608" ht="15.75" customHeight="1">
      <c r="A608" s="1"/>
      <c r="B608" s="1"/>
      <c r="C608" s="1"/>
      <c r="D608" s="1"/>
      <c r="E608" s="1"/>
      <c r="F608" s="2"/>
      <c r="G608" s="1"/>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row>
    <row r="609" ht="15.75" customHeight="1">
      <c r="A609" s="1"/>
      <c r="B609" s="1"/>
      <c r="C609" s="1"/>
      <c r="D609" s="1"/>
      <c r="E609" s="1"/>
      <c r="F609" s="2"/>
      <c r="G609" s="1"/>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row>
    <row r="610" ht="15.75" customHeight="1">
      <c r="A610" s="1"/>
      <c r="B610" s="1"/>
      <c r="C610" s="1"/>
      <c r="D610" s="1"/>
      <c r="E610" s="1"/>
      <c r="F610" s="2"/>
      <c r="G610" s="1"/>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row>
    <row r="611" ht="15.75" customHeight="1">
      <c r="A611" s="1"/>
      <c r="B611" s="1"/>
      <c r="C611" s="1"/>
      <c r="D611" s="1"/>
      <c r="E611" s="1"/>
      <c r="F611" s="2"/>
      <c r="G611" s="1"/>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row>
    <row r="612" ht="15.75" customHeight="1">
      <c r="A612" s="1"/>
      <c r="B612" s="1"/>
      <c r="C612" s="1"/>
      <c r="D612" s="1"/>
      <c r="E612" s="1"/>
      <c r="F612" s="2"/>
      <c r="G612" s="1"/>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row>
    <row r="613" ht="15.75" customHeight="1">
      <c r="A613" s="1"/>
      <c r="B613" s="1"/>
      <c r="C613" s="1"/>
      <c r="D613" s="1"/>
      <c r="E613" s="1"/>
      <c r="F613" s="2"/>
      <c r="G613" s="1"/>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row>
    <row r="614" ht="15.75" customHeight="1">
      <c r="A614" s="1"/>
      <c r="B614" s="1"/>
      <c r="C614" s="1"/>
      <c r="D614" s="1"/>
      <c r="E614" s="1"/>
      <c r="F614" s="2"/>
      <c r="G614" s="1"/>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row>
    <row r="615" ht="15.75" customHeight="1">
      <c r="A615" s="1"/>
      <c r="B615" s="1"/>
      <c r="C615" s="1"/>
      <c r="D615" s="1"/>
      <c r="E615" s="1"/>
      <c r="F615" s="2"/>
      <c r="G615" s="1"/>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row>
    <row r="616" ht="15.75" customHeight="1">
      <c r="A616" s="1"/>
      <c r="B616" s="1"/>
      <c r="C616" s="1"/>
      <c r="D616" s="1"/>
      <c r="E616" s="1"/>
      <c r="F616" s="2"/>
      <c r="G616" s="1"/>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row>
    <row r="617" ht="15.75" customHeight="1">
      <c r="A617" s="1"/>
      <c r="B617" s="1"/>
      <c r="C617" s="1"/>
      <c r="D617" s="1"/>
      <c r="E617" s="1"/>
      <c r="F617" s="2"/>
      <c r="G617" s="1"/>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row>
    <row r="618" ht="15.75" customHeight="1">
      <c r="A618" s="1"/>
      <c r="B618" s="1"/>
      <c r="C618" s="1"/>
      <c r="D618" s="1"/>
      <c r="E618" s="1"/>
      <c r="F618" s="2"/>
      <c r="G618" s="1"/>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row>
    <row r="619" ht="15.75" customHeight="1">
      <c r="A619" s="1"/>
      <c r="B619" s="1"/>
      <c r="C619" s="1"/>
      <c r="D619" s="1"/>
      <c r="E619" s="1"/>
      <c r="F619" s="2"/>
      <c r="G619" s="1"/>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row>
    <row r="620" ht="15.75" customHeight="1">
      <c r="A620" s="1"/>
      <c r="B620" s="1"/>
      <c r="C620" s="1"/>
      <c r="D620" s="1"/>
      <c r="E620" s="1"/>
      <c r="F620" s="2"/>
      <c r="G620" s="1"/>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row>
    <row r="621" ht="15.75" customHeight="1">
      <c r="A621" s="1"/>
      <c r="B621" s="1"/>
      <c r="C621" s="1"/>
      <c r="D621" s="1"/>
      <c r="E621" s="1"/>
      <c r="F621" s="2"/>
      <c r="G621" s="1"/>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row>
    <row r="622" ht="15.75" customHeight="1">
      <c r="A622" s="1"/>
      <c r="B622" s="1"/>
      <c r="C622" s="1"/>
      <c r="D622" s="1"/>
      <c r="E622" s="1"/>
      <c r="F622" s="2"/>
      <c r="G622" s="1"/>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row>
    <row r="623" ht="15.75" customHeight="1">
      <c r="A623" s="1"/>
      <c r="B623" s="1"/>
      <c r="C623" s="1"/>
      <c r="D623" s="1"/>
      <c r="E623" s="1"/>
      <c r="F623" s="2"/>
      <c r="G623" s="1"/>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row>
    <row r="624" ht="15.75" customHeight="1">
      <c r="A624" s="1"/>
      <c r="B624" s="1"/>
      <c r="C624" s="1"/>
      <c r="D624" s="1"/>
      <c r="E624" s="1"/>
      <c r="F624" s="2"/>
      <c r="G624" s="1"/>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row>
    <row r="625" ht="15.75" customHeight="1">
      <c r="A625" s="1"/>
      <c r="B625" s="1"/>
      <c r="C625" s="1"/>
      <c r="D625" s="1"/>
      <c r="E625" s="1"/>
      <c r="F625" s="2"/>
      <c r="G625" s="1"/>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row>
    <row r="626" ht="15.75" customHeight="1">
      <c r="A626" s="1"/>
      <c r="B626" s="1"/>
      <c r="C626" s="1"/>
      <c r="D626" s="1"/>
      <c r="E626" s="1"/>
      <c r="F626" s="2"/>
      <c r="G626" s="1"/>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row>
    <row r="627" ht="15.75" customHeight="1">
      <c r="A627" s="1"/>
      <c r="B627" s="1"/>
      <c r="C627" s="1"/>
      <c r="D627" s="1"/>
      <c r="E627" s="1"/>
      <c r="F627" s="2"/>
      <c r="G627" s="1"/>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row>
    <row r="628" ht="15.75" customHeight="1">
      <c r="A628" s="1"/>
      <c r="B628" s="1"/>
      <c r="C628" s="1"/>
      <c r="D628" s="1"/>
      <c r="E628" s="1"/>
      <c r="F628" s="2"/>
      <c r="G628" s="1"/>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row>
    <row r="629" ht="15.75" customHeight="1">
      <c r="A629" s="1"/>
      <c r="B629" s="1"/>
      <c r="C629" s="1"/>
      <c r="D629" s="1"/>
      <c r="E629" s="1"/>
      <c r="F629" s="2"/>
      <c r="G629" s="1"/>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row>
    <row r="630" ht="15.75" customHeight="1">
      <c r="A630" s="1"/>
      <c r="B630" s="1"/>
      <c r="C630" s="1"/>
      <c r="D630" s="1"/>
      <c r="E630" s="1"/>
      <c r="F630" s="2"/>
      <c r="G630" s="1"/>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row>
    <row r="631" ht="15.75" customHeight="1">
      <c r="A631" s="1"/>
      <c r="B631" s="1"/>
      <c r="C631" s="1"/>
      <c r="D631" s="1"/>
      <c r="E631" s="1"/>
      <c r="F631" s="2"/>
      <c r="G631" s="1"/>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row>
    <row r="632" ht="15.75" customHeight="1">
      <c r="A632" s="1"/>
      <c r="B632" s="1"/>
      <c r="C632" s="1"/>
      <c r="D632" s="1"/>
      <c r="E632" s="1"/>
      <c r="F632" s="2"/>
      <c r="G632" s="1"/>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row>
    <row r="633" ht="15.75" customHeight="1">
      <c r="A633" s="1"/>
      <c r="B633" s="1"/>
      <c r="C633" s="1"/>
      <c r="D633" s="1"/>
      <c r="E633" s="1"/>
      <c r="F633" s="2"/>
      <c r="G633" s="1"/>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row>
    <row r="634" ht="15.75" customHeight="1">
      <c r="A634" s="1"/>
      <c r="B634" s="1"/>
      <c r="C634" s="1"/>
      <c r="D634" s="1"/>
      <c r="E634" s="1"/>
      <c r="F634" s="2"/>
      <c r="G634" s="1"/>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row>
    <row r="635" ht="15.75" customHeight="1">
      <c r="A635" s="1"/>
      <c r="B635" s="1"/>
      <c r="C635" s="1"/>
      <c r="D635" s="1"/>
      <c r="E635" s="1"/>
      <c r="F635" s="2"/>
      <c r="G635" s="1"/>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row>
    <row r="636" ht="15.75" customHeight="1">
      <c r="A636" s="1"/>
      <c r="B636" s="1"/>
      <c r="C636" s="1"/>
      <c r="D636" s="1"/>
      <c r="E636" s="1"/>
      <c r="F636" s="2"/>
      <c r="G636" s="1"/>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row>
    <row r="637" ht="15.75" customHeight="1">
      <c r="A637" s="1"/>
      <c r="B637" s="1"/>
      <c r="C637" s="1"/>
      <c r="D637" s="1"/>
      <c r="E637" s="1"/>
      <c r="F637" s="2"/>
      <c r="G637" s="1"/>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row>
    <row r="638" ht="15.75" customHeight="1">
      <c r="A638" s="1"/>
      <c r="B638" s="1"/>
      <c r="C638" s="1"/>
      <c r="D638" s="1"/>
      <c r="E638" s="1"/>
      <c r="F638" s="2"/>
      <c r="G638" s="1"/>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row>
    <row r="639" ht="15.75" customHeight="1">
      <c r="A639" s="1"/>
      <c r="B639" s="1"/>
      <c r="C639" s="1"/>
      <c r="D639" s="1"/>
      <c r="E639" s="1"/>
      <c r="F639" s="2"/>
      <c r="G639" s="1"/>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row>
    <row r="640" ht="15.75" customHeight="1">
      <c r="A640" s="1"/>
      <c r="B640" s="1"/>
      <c r="C640" s="1"/>
      <c r="D640" s="1"/>
      <c r="E640" s="1"/>
      <c r="F640" s="2"/>
      <c r="G640" s="1"/>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row>
    <row r="641" ht="15.75" customHeight="1">
      <c r="A641" s="1"/>
      <c r="B641" s="1"/>
      <c r="C641" s="1"/>
      <c r="D641" s="1"/>
      <c r="E641" s="1"/>
      <c r="F641" s="2"/>
      <c r="G641" s="1"/>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row>
    <row r="642" ht="15.75" customHeight="1">
      <c r="A642" s="1"/>
      <c r="B642" s="1"/>
      <c r="C642" s="1"/>
      <c r="D642" s="1"/>
      <c r="E642" s="1"/>
      <c r="F642" s="2"/>
      <c r="G642" s="1"/>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row>
    <row r="643" ht="15.75" customHeight="1">
      <c r="A643" s="1"/>
      <c r="B643" s="1"/>
      <c r="C643" s="1"/>
      <c r="D643" s="1"/>
      <c r="E643" s="1"/>
      <c r="F643" s="2"/>
      <c r="G643" s="1"/>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row>
    <row r="644" ht="15.75" customHeight="1">
      <c r="A644" s="1"/>
      <c r="B644" s="1"/>
      <c r="C644" s="1"/>
      <c r="D644" s="1"/>
      <c r="E644" s="1"/>
      <c r="F644" s="2"/>
      <c r="G644" s="1"/>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row>
    <row r="645" ht="15.75" customHeight="1">
      <c r="A645" s="1"/>
      <c r="B645" s="1"/>
      <c r="C645" s="1"/>
      <c r="D645" s="1"/>
      <c r="E645" s="1"/>
      <c r="F645" s="2"/>
      <c r="G645" s="1"/>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row>
    <row r="646" ht="15.75" customHeight="1">
      <c r="A646" s="1"/>
      <c r="B646" s="1"/>
      <c r="C646" s="1"/>
      <c r="D646" s="1"/>
      <c r="E646" s="1"/>
      <c r="F646" s="2"/>
      <c r="G646" s="1"/>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row>
    <row r="647" ht="15.75" customHeight="1">
      <c r="A647" s="1"/>
      <c r="B647" s="1"/>
      <c r="C647" s="1"/>
      <c r="D647" s="1"/>
      <c r="E647" s="1"/>
      <c r="F647" s="2"/>
      <c r="G647" s="1"/>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row>
    <row r="648" ht="15.75" customHeight="1">
      <c r="A648" s="1"/>
      <c r="B648" s="1"/>
      <c r="C648" s="1"/>
      <c r="D648" s="1"/>
      <c r="E648" s="1"/>
      <c r="F648" s="2"/>
      <c r="G648" s="1"/>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row>
    <row r="649" ht="15.75" customHeight="1">
      <c r="A649" s="1"/>
      <c r="B649" s="1"/>
      <c r="C649" s="1"/>
      <c r="D649" s="1"/>
      <c r="E649" s="1"/>
      <c r="F649" s="2"/>
      <c r="G649" s="1"/>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row>
    <row r="650" ht="15.75" customHeight="1">
      <c r="A650" s="1"/>
      <c r="B650" s="1"/>
      <c r="C650" s="1"/>
      <c r="D650" s="1"/>
      <c r="E650" s="1"/>
      <c r="F650" s="2"/>
      <c r="G650" s="1"/>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row>
    <row r="651" ht="15.75" customHeight="1">
      <c r="A651" s="1"/>
      <c r="B651" s="1"/>
      <c r="C651" s="1"/>
      <c r="D651" s="1"/>
      <c r="E651" s="1"/>
      <c r="F651" s="2"/>
      <c r="G651" s="1"/>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row>
    <row r="652" ht="15.75" customHeight="1">
      <c r="A652" s="1"/>
      <c r="B652" s="1"/>
      <c r="C652" s="1"/>
      <c r="D652" s="1"/>
      <c r="E652" s="1"/>
      <c r="F652" s="2"/>
      <c r="G652" s="1"/>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row>
    <row r="653" ht="15.75" customHeight="1">
      <c r="A653" s="1"/>
      <c r="B653" s="1"/>
      <c r="C653" s="1"/>
      <c r="D653" s="1"/>
      <c r="E653" s="1"/>
      <c r="F653" s="2"/>
      <c r="G653" s="1"/>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row>
    <row r="654" ht="15.75" customHeight="1">
      <c r="A654" s="1"/>
      <c r="B654" s="1"/>
      <c r="C654" s="1"/>
      <c r="D654" s="1"/>
      <c r="E654" s="1"/>
      <c r="F654" s="2"/>
      <c r="G654" s="1"/>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row>
    <row r="655" ht="15.75" customHeight="1">
      <c r="A655" s="1"/>
      <c r="B655" s="1"/>
      <c r="C655" s="1"/>
      <c r="D655" s="1"/>
      <c r="E655" s="1"/>
      <c r="F655" s="2"/>
      <c r="G655" s="1"/>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row>
    <row r="656" ht="15.75" customHeight="1">
      <c r="A656" s="1"/>
      <c r="B656" s="1"/>
      <c r="C656" s="1"/>
      <c r="D656" s="1"/>
      <c r="E656" s="1"/>
      <c r="F656" s="2"/>
      <c r="G656" s="1"/>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row>
    <row r="657" ht="15.75" customHeight="1">
      <c r="A657" s="1"/>
      <c r="B657" s="1"/>
      <c r="C657" s="1"/>
      <c r="D657" s="1"/>
      <c r="E657" s="1"/>
      <c r="F657" s="2"/>
      <c r="G657" s="1"/>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row>
    <row r="658" ht="15.75" customHeight="1">
      <c r="A658" s="1"/>
      <c r="B658" s="1"/>
      <c r="C658" s="1"/>
      <c r="D658" s="1"/>
      <c r="E658" s="1"/>
      <c r="F658" s="2"/>
      <c r="G658" s="1"/>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row>
    <row r="659" ht="15.75" customHeight="1">
      <c r="A659" s="1"/>
      <c r="B659" s="1"/>
      <c r="C659" s="1"/>
      <c r="D659" s="1"/>
      <c r="E659" s="1"/>
      <c r="F659" s="2"/>
      <c r="G659" s="1"/>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row>
    <row r="660" ht="15.75" customHeight="1">
      <c r="A660" s="1"/>
      <c r="B660" s="1"/>
      <c r="C660" s="1"/>
      <c r="D660" s="1"/>
      <c r="E660" s="1"/>
      <c r="F660" s="2"/>
      <c r="G660" s="1"/>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row>
    <row r="661" ht="15.75" customHeight="1">
      <c r="A661" s="1"/>
      <c r="B661" s="1"/>
      <c r="C661" s="1"/>
      <c r="D661" s="1"/>
      <c r="E661" s="1"/>
      <c r="F661" s="2"/>
      <c r="G661" s="1"/>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row>
    <row r="662" ht="15.75" customHeight="1">
      <c r="A662" s="1"/>
      <c r="B662" s="1"/>
      <c r="C662" s="1"/>
      <c r="D662" s="1"/>
      <c r="E662" s="1"/>
      <c r="F662" s="2"/>
      <c r="G662" s="1"/>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row>
    <row r="663" ht="15.75" customHeight="1">
      <c r="A663" s="1"/>
      <c r="B663" s="1"/>
      <c r="C663" s="1"/>
      <c r="D663" s="1"/>
      <c r="E663" s="1"/>
      <c r="F663" s="2"/>
      <c r="G663" s="1"/>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row>
    <row r="664" ht="15.75" customHeight="1">
      <c r="A664" s="1"/>
      <c r="B664" s="1"/>
      <c r="C664" s="1"/>
      <c r="D664" s="1"/>
      <c r="E664" s="1"/>
      <c r="F664" s="2"/>
      <c r="G664" s="1"/>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row>
    <row r="665" ht="15.75" customHeight="1">
      <c r="A665" s="1"/>
      <c r="B665" s="1"/>
      <c r="C665" s="1"/>
      <c r="D665" s="1"/>
      <c r="E665" s="1"/>
      <c r="F665" s="2"/>
      <c r="G665" s="1"/>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row>
    <row r="666" ht="15.75" customHeight="1">
      <c r="A666" s="1"/>
      <c r="B666" s="1"/>
      <c r="C666" s="1"/>
      <c r="D666" s="1"/>
      <c r="E666" s="1"/>
      <c r="F666" s="2"/>
      <c r="G666" s="1"/>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row>
    <row r="667" ht="15.75" customHeight="1">
      <c r="A667" s="1"/>
      <c r="B667" s="1"/>
      <c r="C667" s="1"/>
      <c r="D667" s="1"/>
      <c r="E667" s="1"/>
      <c r="F667" s="2"/>
      <c r="G667" s="1"/>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row>
    <row r="668" ht="15.75" customHeight="1">
      <c r="A668" s="1"/>
      <c r="B668" s="1"/>
      <c r="C668" s="1"/>
      <c r="D668" s="1"/>
      <c r="E668" s="1"/>
      <c r="F668" s="2"/>
      <c r="G668" s="1"/>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row>
    <row r="669" ht="15.75" customHeight="1">
      <c r="A669" s="1"/>
      <c r="B669" s="1"/>
      <c r="C669" s="1"/>
      <c r="D669" s="1"/>
      <c r="E669" s="1"/>
      <c r="F669" s="2"/>
      <c r="G669" s="1"/>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row>
    <row r="670" ht="15.75" customHeight="1">
      <c r="A670" s="1"/>
      <c r="B670" s="1"/>
      <c r="C670" s="1"/>
      <c r="D670" s="1"/>
      <c r="E670" s="1"/>
      <c r="F670" s="2"/>
      <c r="G670" s="1"/>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row>
    <row r="671" ht="15.75" customHeight="1">
      <c r="A671" s="1"/>
      <c r="B671" s="1"/>
      <c r="C671" s="1"/>
      <c r="D671" s="1"/>
      <c r="E671" s="1"/>
      <c r="F671" s="2"/>
      <c r="G671" s="1"/>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row>
    <row r="672" ht="15.75" customHeight="1">
      <c r="A672" s="1"/>
      <c r="B672" s="1"/>
      <c r="C672" s="1"/>
      <c r="D672" s="1"/>
      <c r="E672" s="1"/>
      <c r="F672" s="2"/>
      <c r="G672" s="1"/>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row>
    <row r="673" ht="15.75" customHeight="1">
      <c r="A673" s="1"/>
      <c r="B673" s="1"/>
      <c r="C673" s="1"/>
      <c r="D673" s="1"/>
      <c r="E673" s="1"/>
      <c r="F673" s="2"/>
      <c r="G673" s="1"/>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row>
    <row r="674" ht="15.75" customHeight="1">
      <c r="A674" s="1"/>
      <c r="B674" s="1"/>
      <c r="C674" s="1"/>
      <c r="D674" s="1"/>
      <c r="E674" s="1"/>
      <c r="F674" s="2"/>
      <c r="G674" s="1"/>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row>
    <row r="675" ht="15.75" customHeight="1">
      <c r="A675" s="1"/>
      <c r="B675" s="1"/>
      <c r="C675" s="1"/>
      <c r="D675" s="1"/>
      <c r="E675" s="1"/>
      <c r="F675" s="2"/>
      <c r="G675" s="1"/>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row>
    <row r="676" ht="15.75" customHeight="1">
      <c r="A676" s="1"/>
      <c r="B676" s="1"/>
      <c r="C676" s="1"/>
      <c r="D676" s="1"/>
      <c r="E676" s="1"/>
      <c r="F676" s="2"/>
      <c r="G676" s="1"/>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row>
    <row r="677" ht="15.75" customHeight="1">
      <c r="A677" s="1"/>
      <c r="B677" s="1"/>
      <c r="C677" s="1"/>
      <c r="D677" s="1"/>
      <c r="E677" s="1"/>
      <c r="F677" s="2"/>
      <c r="G677" s="1"/>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row>
    <row r="678" ht="15.75" customHeight="1">
      <c r="A678" s="1"/>
      <c r="B678" s="1"/>
      <c r="C678" s="1"/>
      <c r="D678" s="1"/>
      <c r="E678" s="1"/>
      <c r="F678" s="2"/>
      <c r="G678" s="1"/>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row>
    <row r="679" ht="15.75" customHeight="1">
      <c r="A679" s="1"/>
      <c r="B679" s="1"/>
      <c r="C679" s="1"/>
      <c r="D679" s="1"/>
      <c r="E679" s="1"/>
      <c r="F679" s="2"/>
      <c r="G679" s="1"/>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row>
    <row r="680" ht="15.75" customHeight="1">
      <c r="A680" s="1"/>
      <c r="B680" s="1"/>
      <c r="C680" s="1"/>
      <c r="D680" s="1"/>
      <c r="E680" s="1"/>
      <c r="F680" s="2"/>
      <c r="G680" s="1"/>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row>
    <row r="681" ht="15.75" customHeight="1">
      <c r="A681" s="1"/>
      <c r="B681" s="1"/>
      <c r="C681" s="1"/>
      <c r="D681" s="1"/>
      <c r="E681" s="1"/>
      <c r="F681" s="2"/>
      <c r="G681" s="1"/>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row>
    <row r="682" ht="15.75" customHeight="1">
      <c r="A682" s="1"/>
      <c r="B682" s="1"/>
      <c r="C682" s="1"/>
      <c r="D682" s="1"/>
      <c r="E682" s="1"/>
      <c r="F682" s="2"/>
      <c r="G682" s="1"/>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row>
    <row r="683" ht="15.75" customHeight="1">
      <c r="A683" s="1"/>
      <c r="B683" s="1"/>
      <c r="C683" s="1"/>
      <c r="D683" s="1"/>
      <c r="E683" s="1"/>
      <c r="F683" s="2"/>
      <c r="G683" s="1"/>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row>
    <row r="684" ht="15.75" customHeight="1">
      <c r="A684" s="1"/>
      <c r="B684" s="1"/>
      <c r="C684" s="1"/>
      <c r="D684" s="1"/>
      <c r="E684" s="1"/>
      <c r="F684" s="2"/>
      <c r="G684" s="1"/>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row>
    <row r="685" ht="15.75" customHeight="1">
      <c r="A685" s="1"/>
      <c r="B685" s="1"/>
      <c r="C685" s="1"/>
      <c r="D685" s="1"/>
      <c r="E685" s="1"/>
      <c r="F685" s="2"/>
      <c r="G685" s="1"/>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row>
    <row r="686" ht="15.75" customHeight="1">
      <c r="A686" s="1"/>
      <c r="B686" s="1"/>
      <c r="C686" s="1"/>
      <c r="D686" s="1"/>
      <c r="E686" s="1"/>
      <c r="F686" s="2"/>
      <c r="G686" s="1"/>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row>
    <row r="687" ht="15.75" customHeight="1">
      <c r="A687" s="1"/>
      <c r="B687" s="1"/>
      <c r="C687" s="1"/>
      <c r="D687" s="1"/>
      <c r="E687" s="1"/>
      <c r="F687" s="2"/>
      <c r="G687" s="1"/>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row>
    <row r="688" ht="15.75" customHeight="1">
      <c r="A688" s="1"/>
      <c r="B688" s="1"/>
      <c r="C688" s="1"/>
      <c r="D688" s="1"/>
      <c r="E688" s="1"/>
      <c r="F688" s="2"/>
      <c r="G688" s="1"/>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row>
    <row r="689" ht="15.75" customHeight="1">
      <c r="A689" s="1"/>
      <c r="B689" s="1"/>
      <c r="C689" s="1"/>
      <c r="D689" s="1"/>
      <c r="E689" s="1"/>
      <c r="F689" s="2"/>
      <c r="G689" s="1"/>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row>
    <row r="690" ht="15.75" customHeight="1">
      <c r="A690" s="1"/>
      <c r="B690" s="1"/>
      <c r="C690" s="1"/>
      <c r="D690" s="1"/>
      <c r="E690" s="1"/>
      <c r="F690" s="2"/>
      <c r="G690" s="1"/>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row>
    <row r="691" ht="15.75" customHeight="1">
      <c r="A691" s="1"/>
      <c r="B691" s="1"/>
      <c r="C691" s="1"/>
      <c r="D691" s="1"/>
      <c r="E691" s="1"/>
      <c r="F691" s="2"/>
      <c r="G691" s="1"/>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row>
    <row r="692" ht="15.75" customHeight="1">
      <c r="A692" s="1"/>
      <c r="B692" s="1"/>
      <c r="C692" s="1"/>
      <c r="D692" s="1"/>
      <c r="E692" s="1"/>
      <c r="F692" s="2"/>
      <c r="G692" s="1"/>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row>
    <row r="693" ht="15.75" customHeight="1">
      <c r="A693" s="1"/>
      <c r="B693" s="1"/>
      <c r="C693" s="1"/>
      <c r="D693" s="1"/>
      <c r="E693" s="1"/>
      <c r="F693" s="2"/>
      <c r="G693" s="1"/>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row>
    <row r="694" ht="15.75" customHeight="1">
      <c r="A694" s="1"/>
      <c r="B694" s="1"/>
      <c r="C694" s="1"/>
      <c r="D694" s="1"/>
      <c r="E694" s="1"/>
      <c r="F694" s="2"/>
      <c r="G694" s="1"/>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row>
    <row r="695" ht="15.75" customHeight="1">
      <c r="A695" s="1"/>
      <c r="B695" s="1"/>
      <c r="C695" s="1"/>
      <c r="D695" s="1"/>
      <c r="E695" s="1"/>
      <c r="F695" s="2"/>
      <c r="G695" s="1"/>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row>
    <row r="696" ht="15.75" customHeight="1">
      <c r="A696" s="1"/>
      <c r="B696" s="1"/>
      <c r="C696" s="1"/>
      <c r="D696" s="1"/>
      <c r="E696" s="1"/>
      <c r="F696" s="2"/>
      <c r="G696" s="1"/>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row>
    <row r="697" ht="15.75" customHeight="1">
      <c r="A697" s="1"/>
      <c r="B697" s="1"/>
      <c r="C697" s="1"/>
      <c r="D697" s="1"/>
      <c r="E697" s="1"/>
      <c r="F697" s="2"/>
      <c r="G697" s="1"/>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row>
    <row r="698" ht="15.75" customHeight="1">
      <c r="A698" s="1"/>
      <c r="B698" s="1"/>
      <c r="C698" s="1"/>
      <c r="D698" s="1"/>
      <c r="E698" s="1"/>
      <c r="F698" s="2"/>
      <c r="G698" s="1"/>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row>
    <row r="699" ht="15.75" customHeight="1">
      <c r="A699" s="1"/>
      <c r="B699" s="1"/>
      <c r="C699" s="1"/>
      <c r="D699" s="1"/>
      <c r="E699" s="1"/>
      <c r="F699" s="2"/>
      <c r="G699" s="1"/>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row>
    <row r="700" ht="15.75" customHeight="1">
      <c r="A700" s="1"/>
      <c r="B700" s="1"/>
      <c r="C700" s="1"/>
      <c r="D700" s="1"/>
      <c r="E700" s="1"/>
      <c r="F700" s="2"/>
      <c r="G700" s="1"/>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row>
    <row r="701" ht="15.75" customHeight="1">
      <c r="A701" s="1"/>
      <c r="B701" s="1"/>
      <c r="C701" s="1"/>
      <c r="D701" s="1"/>
      <c r="E701" s="1"/>
      <c r="F701" s="2"/>
      <c r="G701" s="1"/>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row>
    <row r="702" ht="15.75" customHeight="1">
      <c r="A702" s="1"/>
      <c r="B702" s="1"/>
      <c r="C702" s="1"/>
      <c r="D702" s="1"/>
      <c r="E702" s="1"/>
      <c r="F702" s="2"/>
      <c r="G702" s="1"/>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row>
    <row r="703" ht="15.75" customHeight="1">
      <c r="A703" s="1"/>
      <c r="B703" s="1"/>
      <c r="C703" s="1"/>
      <c r="D703" s="1"/>
      <c r="E703" s="1"/>
      <c r="F703" s="2"/>
      <c r="G703" s="1"/>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row>
    <row r="704" ht="15.75" customHeight="1">
      <c r="A704" s="1"/>
      <c r="B704" s="1"/>
      <c r="C704" s="1"/>
      <c r="D704" s="1"/>
      <c r="E704" s="1"/>
      <c r="F704" s="2"/>
      <c r="G704" s="1"/>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row>
    <row r="705" ht="15.75" customHeight="1">
      <c r="A705" s="1"/>
      <c r="B705" s="1"/>
      <c r="C705" s="1"/>
      <c r="D705" s="1"/>
      <c r="E705" s="1"/>
      <c r="F705" s="2"/>
      <c r="G705" s="1"/>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row>
    <row r="706" ht="15.75" customHeight="1">
      <c r="A706" s="1"/>
      <c r="B706" s="1"/>
      <c r="C706" s="1"/>
      <c r="D706" s="1"/>
      <c r="E706" s="1"/>
      <c r="F706" s="2"/>
      <c r="G706" s="1"/>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row>
    <row r="707" ht="15.75" customHeight="1">
      <c r="A707" s="1"/>
      <c r="B707" s="1"/>
      <c r="C707" s="1"/>
      <c r="D707" s="1"/>
      <c r="E707" s="1"/>
      <c r="F707" s="2"/>
      <c r="G707" s="1"/>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row>
    <row r="708" ht="15.75" customHeight="1">
      <c r="A708" s="1"/>
      <c r="B708" s="1"/>
      <c r="C708" s="1"/>
      <c r="D708" s="1"/>
      <c r="E708" s="1"/>
      <c r="F708" s="2"/>
      <c r="G708" s="1"/>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row>
    <row r="709" ht="15.75" customHeight="1">
      <c r="A709" s="1"/>
      <c r="B709" s="1"/>
      <c r="C709" s="1"/>
      <c r="D709" s="1"/>
      <c r="E709" s="1"/>
      <c r="F709" s="2"/>
      <c r="G709" s="1"/>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row>
    <row r="710" ht="15.75" customHeight="1">
      <c r="A710" s="1"/>
      <c r="B710" s="1"/>
      <c r="C710" s="1"/>
      <c r="D710" s="1"/>
      <c r="E710" s="1"/>
      <c r="F710" s="2"/>
      <c r="G710" s="1"/>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row>
    <row r="711" ht="15.75" customHeight="1">
      <c r="A711" s="1"/>
      <c r="B711" s="1"/>
      <c r="C711" s="1"/>
      <c r="D711" s="1"/>
      <c r="E711" s="1"/>
      <c r="F711" s="2"/>
      <c r="G711" s="1"/>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row>
    <row r="712" ht="15.75" customHeight="1">
      <c r="A712" s="1"/>
      <c r="B712" s="1"/>
      <c r="C712" s="1"/>
      <c r="D712" s="1"/>
      <c r="E712" s="1"/>
      <c r="F712" s="2"/>
      <c r="G712" s="1"/>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row>
    <row r="713" ht="15.75" customHeight="1">
      <c r="A713" s="1"/>
      <c r="B713" s="1"/>
      <c r="C713" s="1"/>
      <c r="D713" s="1"/>
      <c r="E713" s="1"/>
      <c r="F713" s="2"/>
      <c r="G713" s="1"/>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row>
    <row r="714" ht="15.75" customHeight="1">
      <c r="A714" s="1"/>
      <c r="B714" s="1"/>
      <c r="C714" s="1"/>
      <c r="D714" s="1"/>
      <c r="E714" s="1"/>
      <c r="F714" s="2"/>
      <c r="G714" s="1"/>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row>
    <row r="715" ht="15.75" customHeight="1">
      <c r="A715" s="1"/>
      <c r="B715" s="1"/>
      <c r="C715" s="1"/>
      <c r="D715" s="1"/>
      <c r="E715" s="1"/>
      <c r="F715" s="2"/>
      <c r="G715" s="1"/>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row>
    <row r="716" ht="15.75" customHeight="1">
      <c r="A716" s="1"/>
      <c r="B716" s="1"/>
      <c r="C716" s="1"/>
      <c r="D716" s="1"/>
      <c r="E716" s="1"/>
      <c r="F716" s="2"/>
      <c r="G716" s="1"/>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row>
    <row r="717" ht="15.75" customHeight="1">
      <c r="A717" s="1"/>
      <c r="B717" s="1"/>
      <c r="C717" s="1"/>
      <c r="D717" s="1"/>
      <c r="E717" s="1"/>
      <c r="F717" s="2"/>
      <c r="G717" s="1"/>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row>
    <row r="718" ht="15.75" customHeight="1">
      <c r="A718" s="1"/>
      <c r="B718" s="1"/>
      <c r="C718" s="1"/>
      <c r="D718" s="1"/>
      <c r="E718" s="1"/>
      <c r="F718" s="2"/>
      <c r="G718" s="1"/>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row>
    <row r="719" ht="15.75" customHeight="1">
      <c r="A719" s="1"/>
      <c r="B719" s="1"/>
      <c r="C719" s="1"/>
      <c r="D719" s="1"/>
      <c r="E719" s="1"/>
      <c r="F719" s="2"/>
      <c r="G719" s="1"/>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row>
    <row r="720" ht="15.75" customHeight="1">
      <c r="A720" s="1"/>
      <c r="B720" s="1"/>
      <c r="C720" s="1"/>
      <c r="D720" s="1"/>
      <c r="E720" s="1"/>
      <c r="F720" s="2"/>
      <c r="G720" s="1"/>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row>
    <row r="721" ht="15.75" customHeight="1">
      <c r="A721" s="1"/>
      <c r="B721" s="1"/>
      <c r="C721" s="1"/>
      <c r="D721" s="1"/>
      <c r="E721" s="1"/>
      <c r="F721" s="2"/>
      <c r="G721" s="1"/>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row>
    <row r="722" ht="15.75" customHeight="1">
      <c r="A722" s="1"/>
      <c r="B722" s="1"/>
      <c r="C722" s="1"/>
      <c r="D722" s="1"/>
      <c r="E722" s="1"/>
      <c r="F722" s="2"/>
      <c r="G722" s="1"/>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row>
    <row r="723" ht="15.75" customHeight="1">
      <c r="A723" s="1"/>
      <c r="B723" s="1"/>
      <c r="C723" s="1"/>
      <c r="D723" s="1"/>
      <c r="E723" s="1"/>
      <c r="F723" s="2"/>
      <c r="G723" s="1"/>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row>
    <row r="724" ht="15.75" customHeight="1">
      <c r="A724" s="1"/>
      <c r="B724" s="1"/>
      <c r="C724" s="1"/>
      <c r="D724" s="1"/>
      <c r="E724" s="1"/>
      <c r="F724" s="2"/>
      <c r="G724" s="1"/>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row>
    <row r="725" ht="15.75" customHeight="1">
      <c r="A725" s="1"/>
      <c r="B725" s="1"/>
      <c r="C725" s="1"/>
      <c r="D725" s="1"/>
      <c r="E725" s="1"/>
      <c r="F725" s="2"/>
      <c r="G725" s="1"/>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row>
    <row r="726" ht="15.75" customHeight="1">
      <c r="A726" s="1"/>
      <c r="B726" s="1"/>
      <c r="C726" s="1"/>
      <c r="D726" s="1"/>
      <c r="E726" s="1"/>
      <c r="F726" s="2"/>
      <c r="G726" s="1"/>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row>
    <row r="727" ht="15.75" customHeight="1">
      <c r="A727" s="1"/>
      <c r="B727" s="1"/>
      <c r="C727" s="1"/>
      <c r="D727" s="1"/>
      <c r="E727" s="1"/>
      <c r="F727" s="2"/>
      <c r="G727" s="1"/>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row>
    <row r="728" ht="15.75" customHeight="1">
      <c r="A728" s="1"/>
      <c r="B728" s="1"/>
      <c r="C728" s="1"/>
      <c r="D728" s="1"/>
      <c r="E728" s="1"/>
      <c r="F728" s="2"/>
      <c r="G728" s="1"/>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row>
    <row r="729" ht="15.75" customHeight="1">
      <c r="A729" s="1"/>
      <c r="B729" s="1"/>
      <c r="C729" s="1"/>
      <c r="D729" s="1"/>
      <c r="E729" s="1"/>
      <c r="F729" s="2"/>
      <c r="G729" s="1"/>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row>
    <row r="730" ht="15.75" customHeight="1">
      <c r="A730" s="1"/>
      <c r="B730" s="1"/>
      <c r="C730" s="1"/>
      <c r="D730" s="1"/>
      <c r="E730" s="1"/>
      <c r="F730" s="2"/>
      <c r="G730" s="1"/>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row>
    <row r="731" ht="15.75" customHeight="1">
      <c r="A731" s="1"/>
      <c r="B731" s="1"/>
      <c r="C731" s="1"/>
      <c r="D731" s="1"/>
      <c r="E731" s="1"/>
      <c r="F731" s="2"/>
      <c r="G731" s="1"/>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row>
    <row r="732" ht="15.75" customHeight="1">
      <c r="A732" s="1"/>
      <c r="B732" s="1"/>
      <c r="C732" s="1"/>
      <c r="D732" s="1"/>
      <c r="E732" s="1"/>
      <c r="F732" s="2"/>
      <c r="G732" s="1"/>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row>
    <row r="733" ht="15.75" customHeight="1">
      <c r="A733" s="1"/>
      <c r="B733" s="1"/>
      <c r="C733" s="1"/>
      <c r="D733" s="1"/>
      <c r="E733" s="1"/>
      <c r="F733" s="2"/>
      <c r="G733" s="1"/>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row>
    <row r="734" ht="15.75" customHeight="1">
      <c r="A734" s="1"/>
      <c r="B734" s="1"/>
      <c r="C734" s="1"/>
      <c r="D734" s="1"/>
      <c r="E734" s="1"/>
      <c r="F734" s="2"/>
      <c r="G734" s="1"/>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row>
    <row r="735" ht="15.75" customHeight="1">
      <c r="A735" s="1"/>
      <c r="B735" s="1"/>
      <c r="C735" s="1"/>
      <c r="D735" s="1"/>
      <c r="E735" s="1"/>
      <c r="F735" s="2"/>
      <c r="G735" s="1"/>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row>
    <row r="736" ht="15.75" customHeight="1">
      <c r="A736" s="1"/>
      <c r="B736" s="1"/>
      <c r="C736" s="1"/>
      <c r="D736" s="1"/>
      <c r="E736" s="1"/>
      <c r="F736" s="2"/>
      <c r="G736" s="1"/>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row>
    <row r="737" ht="15.75" customHeight="1">
      <c r="A737" s="1"/>
      <c r="B737" s="1"/>
      <c r="C737" s="1"/>
      <c r="D737" s="1"/>
      <c r="E737" s="1"/>
      <c r="F737" s="2"/>
      <c r="G737" s="1"/>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row>
    <row r="738" ht="15.75" customHeight="1">
      <c r="A738" s="1"/>
      <c r="B738" s="1"/>
      <c r="C738" s="1"/>
      <c r="D738" s="1"/>
      <c r="E738" s="1"/>
      <c r="F738" s="2"/>
      <c r="G738" s="1"/>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row>
    <row r="739" ht="15.75" customHeight="1">
      <c r="A739" s="1"/>
      <c r="B739" s="1"/>
      <c r="C739" s="1"/>
      <c r="D739" s="1"/>
      <c r="E739" s="1"/>
      <c r="F739" s="2"/>
      <c r="G739" s="1"/>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row>
    <row r="740" ht="15.75" customHeight="1">
      <c r="A740" s="1"/>
      <c r="B740" s="1"/>
      <c r="C740" s="1"/>
      <c r="D740" s="1"/>
      <c r="E740" s="1"/>
      <c r="F740" s="2"/>
      <c r="G740" s="1"/>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row>
    <row r="741" ht="15.75" customHeight="1">
      <c r="A741" s="1"/>
      <c r="B741" s="1"/>
      <c r="C741" s="1"/>
      <c r="D741" s="1"/>
      <c r="E741" s="1"/>
      <c r="F741" s="2"/>
      <c r="G741" s="1"/>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row>
    <row r="742" ht="15.75" customHeight="1">
      <c r="A742" s="1"/>
      <c r="B742" s="1"/>
      <c r="C742" s="1"/>
      <c r="D742" s="1"/>
      <c r="E742" s="1"/>
      <c r="F742" s="2"/>
      <c r="G742" s="1"/>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row>
    <row r="743" ht="15.75" customHeight="1">
      <c r="A743" s="1"/>
      <c r="B743" s="1"/>
      <c r="C743" s="1"/>
      <c r="D743" s="1"/>
      <c r="E743" s="1"/>
      <c r="F743" s="2"/>
      <c r="G743" s="1"/>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row>
    <row r="744" ht="15.75" customHeight="1">
      <c r="A744" s="1"/>
      <c r="B744" s="1"/>
      <c r="C744" s="1"/>
      <c r="D744" s="1"/>
      <c r="E744" s="1"/>
      <c r="F744" s="2"/>
      <c r="G744" s="1"/>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row>
    <row r="745" ht="15.75" customHeight="1">
      <c r="A745" s="1"/>
      <c r="B745" s="1"/>
      <c r="C745" s="1"/>
      <c r="D745" s="1"/>
      <c r="E745" s="1"/>
      <c r="F745" s="2"/>
      <c r="G745" s="1"/>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row>
    <row r="746" ht="15.75" customHeight="1">
      <c r="A746" s="1"/>
      <c r="B746" s="1"/>
      <c r="C746" s="1"/>
      <c r="D746" s="1"/>
      <c r="E746" s="1"/>
      <c r="F746" s="2"/>
      <c r="G746" s="1"/>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row>
    <row r="747" ht="15.75" customHeight="1">
      <c r="A747" s="1"/>
      <c r="B747" s="1"/>
      <c r="C747" s="1"/>
      <c r="D747" s="1"/>
      <c r="E747" s="1"/>
      <c r="F747" s="2"/>
      <c r="G747" s="1"/>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row>
    <row r="748" ht="15.75" customHeight="1">
      <c r="A748" s="1"/>
      <c r="B748" s="1"/>
      <c r="C748" s="1"/>
      <c r="D748" s="1"/>
      <c r="E748" s="1"/>
      <c r="F748" s="2"/>
      <c r="G748" s="1"/>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row>
    <row r="749" ht="15.75" customHeight="1">
      <c r="A749" s="1"/>
      <c r="B749" s="1"/>
      <c r="C749" s="1"/>
      <c r="D749" s="1"/>
      <c r="E749" s="1"/>
      <c r="F749" s="2"/>
      <c r="G749" s="1"/>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row>
    <row r="750" ht="15.75" customHeight="1">
      <c r="A750" s="1"/>
      <c r="B750" s="1"/>
      <c r="C750" s="1"/>
      <c r="D750" s="1"/>
      <c r="E750" s="1"/>
      <c r="F750" s="2"/>
      <c r="G750" s="1"/>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row>
    <row r="751" ht="15.75" customHeight="1">
      <c r="A751" s="1"/>
      <c r="B751" s="1"/>
      <c r="C751" s="1"/>
      <c r="D751" s="1"/>
      <c r="E751" s="1"/>
      <c r="F751" s="2"/>
      <c r="G751" s="1"/>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row>
    <row r="752" ht="15.75" customHeight="1">
      <c r="A752" s="1"/>
      <c r="B752" s="1"/>
      <c r="C752" s="1"/>
      <c r="D752" s="1"/>
      <c r="E752" s="1"/>
      <c r="F752" s="2"/>
      <c r="G752" s="1"/>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row>
    <row r="753" ht="15.75" customHeight="1">
      <c r="A753" s="1"/>
      <c r="B753" s="1"/>
      <c r="C753" s="1"/>
      <c r="D753" s="1"/>
      <c r="E753" s="1"/>
      <c r="F753" s="2"/>
      <c r="G753" s="1"/>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row>
    <row r="754" ht="15.75" customHeight="1">
      <c r="A754" s="1"/>
      <c r="B754" s="1"/>
      <c r="C754" s="1"/>
      <c r="D754" s="1"/>
      <c r="E754" s="1"/>
      <c r="F754" s="2"/>
      <c r="G754" s="1"/>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row>
    <row r="755" ht="15.75" customHeight="1">
      <c r="A755" s="1"/>
      <c r="B755" s="1"/>
      <c r="C755" s="1"/>
      <c r="D755" s="1"/>
      <c r="E755" s="1"/>
      <c r="F755" s="2"/>
      <c r="G755" s="1"/>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row>
    <row r="756" ht="15.75" customHeight="1">
      <c r="A756" s="1"/>
      <c r="B756" s="1"/>
      <c r="C756" s="1"/>
      <c r="D756" s="1"/>
      <c r="E756" s="1"/>
      <c r="F756" s="2"/>
      <c r="G756" s="1"/>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row>
    <row r="757" ht="15.75" customHeight="1">
      <c r="A757" s="1"/>
      <c r="B757" s="1"/>
      <c r="C757" s="1"/>
      <c r="D757" s="1"/>
      <c r="E757" s="1"/>
      <c r="F757" s="2"/>
      <c r="G757" s="1"/>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row>
    <row r="758" ht="15.75" customHeight="1">
      <c r="A758" s="1"/>
      <c r="B758" s="1"/>
      <c r="C758" s="1"/>
      <c r="D758" s="1"/>
      <c r="E758" s="1"/>
      <c r="F758" s="2"/>
      <c r="G758" s="1"/>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row>
    <row r="759" ht="15.75" customHeight="1">
      <c r="A759" s="1"/>
      <c r="B759" s="1"/>
      <c r="C759" s="1"/>
      <c r="D759" s="1"/>
      <c r="E759" s="1"/>
      <c r="F759" s="2"/>
      <c r="G759" s="1"/>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row>
    <row r="760" ht="15.75" customHeight="1">
      <c r="A760" s="1"/>
      <c r="B760" s="1"/>
      <c r="C760" s="1"/>
      <c r="D760" s="1"/>
      <c r="E760" s="1"/>
      <c r="F760" s="2"/>
      <c r="G760" s="1"/>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row>
    <row r="761" ht="15.75" customHeight="1">
      <c r="A761" s="1"/>
      <c r="B761" s="1"/>
      <c r="C761" s="1"/>
      <c r="D761" s="1"/>
      <c r="E761" s="1"/>
      <c r="F761" s="2"/>
      <c r="G761" s="1"/>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row>
    <row r="762" ht="15.75" customHeight="1">
      <c r="A762" s="1"/>
      <c r="B762" s="1"/>
      <c r="C762" s="1"/>
      <c r="D762" s="1"/>
      <c r="E762" s="1"/>
      <c r="F762" s="2"/>
      <c r="G762" s="1"/>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row>
    <row r="763" ht="15.75" customHeight="1">
      <c r="A763" s="1"/>
      <c r="B763" s="1"/>
      <c r="C763" s="1"/>
      <c r="D763" s="1"/>
      <c r="E763" s="1"/>
      <c r="F763" s="2"/>
      <c r="G763" s="1"/>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row>
    <row r="764" ht="15.75" customHeight="1">
      <c r="A764" s="1"/>
      <c r="B764" s="1"/>
      <c r="C764" s="1"/>
      <c r="D764" s="1"/>
      <c r="E764" s="1"/>
      <c r="F764" s="2"/>
      <c r="G764" s="1"/>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row>
    <row r="765" ht="15.75" customHeight="1">
      <c r="A765" s="1"/>
      <c r="B765" s="1"/>
      <c r="C765" s="1"/>
      <c r="D765" s="1"/>
      <c r="E765" s="1"/>
      <c r="F765" s="2"/>
      <c r="G765" s="1"/>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row>
    <row r="766" ht="15.75" customHeight="1">
      <c r="A766" s="1"/>
      <c r="B766" s="1"/>
      <c r="C766" s="1"/>
      <c r="D766" s="1"/>
      <c r="E766" s="1"/>
      <c r="F766" s="2"/>
      <c r="G766" s="1"/>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row>
    <row r="767" ht="15.75" customHeight="1">
      <c r="A767" s="1"/>
      <c r="B767" s="1"/>
      <c r="C767" s="1"/>
      <c r="D767" s="1"/>
      <c r="E767" s="1"/>
      <c r="F767" s="2"/>
      <c r="G767" s="1"/>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row>
    <row r="768" ht="15.75" customHeight="1">
      <c r="A768" s="1"/>
      <c r="B768" s="1"/>
      <c r="C768" s="1"/>
      <c r="D768" s="1"/>
      <c r="E768" s="1"/>
      <c r="F768" s="2"/>
      <c r="G768" s="1"/>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row>
    <row r="769" ht="15.75" customHeight="1">
      <c r="A769" s="1"/>
      <c r="B769" s="1"/>
      <c r="C769" s="1"/>
      <c r="D769" s="1"/>
      <c r="E769" s="1"/>
      <c r="F769" s="2"/>
      <c r="G769" s="1"/>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row>
    <row r="770" ht="15.75" customHeight="1">
      <c r="A770" s="1"/>
      <c r="B770" s="1"/>
      <c r="C770" s="1"/>
      <c r="D770" s="1"/>
      <c r="E770" s="1"/>
      <c r="F770" s="2"/>
      <c r="G770" s="1"/>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row>
    <row r="771" ht="15.75" customHeight="1">
      <c r="A771" s="1"/>
      <c r="B771" s="1"/>
      <c r="C771" s="1"/>
      <c r="D771" s="1"/>
      <c r="E771" s="1"/>
      <c r="F771" s="2"/>
      <c r="G771" s="1"/>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row>
    <row r="772" ht="15.75" customHeight="1">
      <c r="A772" s="1"/>
      <c r="B772" s="1"/>
      <c r="C772" s="1"/>
      <c r="D772" s="1"/>
      <c r="E772" s="1"/>
      <c r="F772" s="2"/>
      <c r="G772" s="1"/>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row>
    <row r="773" ht="15.75" customHeight="1">
      <c r="A773" s="1"/>
      <c r="B773" s="1"/>
      <c r="C773" s="1"/>
      <c r="D773" s="1"/>
      <c r="E773" s="1"/>
      <c r="F773" s="2"/>
      <c r="G773" s="1"/>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row>
    <row r="774" ht="15.75" customHeight="1">
      <c r="A774" s="1"/>
      <c r="B774" s="1"/>
      <c r="C774" s="1"/>
      <c r="D774" s="1"/>
      <c r="E774" s="1"/>
      <c r="F774" s="2"/>
      <c r="G774" s="1"/>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row>
    <row r="775" ht="15.75" customHeight="1">
      <c r="A775" s="1"/>
      <c r="B775" s="1"/>
      <c r="C775" s="1"/>
      <c r="D775" s="1"/>
      <c r="E775" s="1"/>
      <c r="F775" s="2"/>
      <c r="G775" s="1"/>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row>
    <row r="776" ht="15.75" customHeight="1">
      <c r="A776" s="1"/>
      <c r="B776" s="1"/>
      <c r="C776" s="1"/>
      <c r="D776" s="1"/>
      <c r="E776" s="1"/>
      <c r="F776" s="2"/>
      <c r="G776" s="1"/>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row>
    <row r="777" ht="15.75" customHeight="1">
      <c r="A777" s="1"/>
      <c r="B777" s="1"/>
      <c r="C777" s="1"/>
      <c r="D777" s="1"/>
      <c r="E777" s="1"/>
      <c r="F777" s="2"/>
      <c r="G777" s="1"/>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row>
    <row r="778" ht="15.75" customHeight="1">
      <c r="A778" s="1"/>
      <c r="B778" s="1"/>
      <c r="C778" s="1"/>
      <c r="D778" s="1"/>
      <c r="E778" s="1"/>
      <c r="F778" s="2"/>
      <c r="G778" s="1"/>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row>
    <row r="779" ht="15.75" customHeight="1">
      <c r="A779" s="1"/>
      <c r="B779" s="1"/>
      <c r="C779" s="1"/>
      <c r="D779" s="1"/>
      <c r="E779" s="1"/>
      <c r="F779" s="2"/>
      <c r="G779" s="1"/>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row>
    <row r="780" ht="15.75" customHeight="1">
      <c r="A780" s="1"/>
      <c r="B780" s="1"/>
      <c r="C780" s="1"/>
      <c r="D780" s="1"/>
      <c r="E780" s="1"/>
      <c r="F780" s="2"/>
      <c r="G780" s="1"/>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row>
    <row r="781" ht="15.75" customHeight="1">
      <c r="A781" s="1"/>
      <c r="B781" s="1"/>
      <c r="C781" s="1"/>
      <c r="D781" s="1"/>
      <c r="E781" s="1"/>
      <c r="F781" s="2"/>
      <c r="G781" s="1"/>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row>
    <row r="782" ht="15.75" customHeight="1">
      <c r="A782" s="1"/>
      <c r="B782" s="1"/>
      <c r="C782" s="1"/>
      <c r="D782" s="1"/>
      <c r="E782" s="1"/>
      <c r="F782" s="2"/>
      <c r="G782" s="1"/>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row>
    <row r="783" ht="15.75" customHeight="1">
      <c r="A783" s="1"/>
      <c r="B783" s="1"/>
      <c r="C783" s="1"/>
      <c r="D783" s="1"/>
      <c r="E783" s="1"/>
      <c r="F783" s="2"/>
      <c r="G783" s="1"/>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row>
    <row r="784" ht="15.75" customHeight="1">
      <c r="A784" s="1"/>
      <c r="B784" s="1"/>
      <c r="C784" s="1"/>
      <c r="D784" s="1"/>
      <c r="E784" s="1"/>
      <c r="F784" s="2"/>
      <c r="G784" s="1"/>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row>
    <row r="785" ht="15.75" customHeight="1">
      <c r="A785" s="1"/>
      <c r="B785" s="1"/>
      <c r="C785" s="1"/>
      <c r="D785" s="1"/>
      <c r="E785" s="1"/>
      <c r="F785" s="2"/>
      <c r="G785" s="1"/>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row>
    <row r="786" ht="15.75" customHeight="1">
      <c r="A786" s="1"/>
      <c r="B786" s="1"/>
      <c r="C786" s="1"/>
      <c r="D786" s="1"/>
      <c r="E786" s="1"/>
      <c r="F786" s="2"/>
      <c r="G786" s="1"/>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row>
    <row r="787" ht="15.75" customHeight="1">
      <c r="A787" s="1"/>
      <c r="B787" s="1"/>
      <c r="C787" s="1"/>
      <c r="D787" s="1"/>
      <c r="E787" s="1"/>
      <c r="F787" s="2"/>
      <c r="G787" s="1"/>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row>
    <row r="788" ht="15.75" customHeight="1">
      <c r="A788" s="1"/>
      <c r="B788" s="1"/>
      <c r="C788" s="1"/>
      <c r="D788" s="1"/>
      <c r="E788" s="1"/>
      <c r="F788" s="2"/>
      <c r="G788" s="1"/>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row>
    <row r="789" ht="15.75" customHeight="1">
      <c r="A789" s="1"/>
      <c r="B789" s="1"/>
      <c r="C789" s="1"/>
      <c r="D789" s="1"/>
      <c r="E789" s="1"/>
      <c r="F789" s="2"/>
      <c r="G789" s="1"/>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row>
    <row r="790" ht="15.75" customHeight="1">
      <c r="A790" s="1"/>
      <c r="B790" s="1"/>
      <c r="C790" s="1"/>
      <c r="D790" s="1"/>
      <c r="E790" s="1"/>
      <c r="F790" s="2"/>
      <c r="G790" s="1"/>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row>
    <row r="791" ht="15.75" customHeight="1">
      <c r="A791" s="1"/>
      <c r="B791" s="1"/>
      <c r="C791" s="1"/>
      <c r="D791" s="1"/>
      <c r="E791" s="1"/>
      <c r="F791" s="2"/>
      <c r="G791" s="1"/>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row>
    <row r="792" ht="15.75" customHeight="1">
      <c r="A792" s="1"/>
      <c r="B792" s="1"/>
      <c r="C792" s="1"/>
      <c r="D792" s="1"/>
      <c r="E792" s="1"/>
      <c r="F792" s="2"/>
      <c r="G792" s="1"/>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row>
    <row r="793" ht="15.75" customHeight="1">
      <c r="A793" s="1"/>
      <c r="B793" s="1"/>
      <c r="C793" s="1"/>
      <c r="D793" s="1"/>
      <c r="E793" s="1"/>
      <c r="F793" s="2"/>
      <c r="G793" s="1"/>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row>
    <row r="794" ht="15.75" customHeight="1">
      <c r="A794" s="1"/>
      <c r="B794" s="1"/>
      <c r="C794" s="1"/>
      <c r="D794" s="1"/>
      <c r="E794" s="1"/>
      <c r="F794" s="2"/>
      <c r="G794" s="1"/>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row>
    <row r="795" ht="15.75" customHeight="1">
      <c r="A795" s="1"/>
      <c r="B795" s="1"/>
      <c r="C795" s="1"/>
      <c r="D795" s="1"/>
      <c r="E795" s="1"/>
      <c r="F795" s="2"/>
      <c r="G795" s="1"/>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row>
    <row r="796" ht="15.75" customHeight="1">
      <c r="A796" s="1"/>
      <c r="B796" s="1"/>
      <c r="C796" s="1"/>
      <c r="D796" s="1"/>
      <c r="E796" s="1"/>
      <c r="F796" s="2"/>
      <c r="G796" s="1"/>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row>
    <row r="797" ht="15.75" customHeight="1">
      <c r="A797" s="1"/>
      <c r="B797" s="1"/>
      <c r="C797" s="1"/>
      <c r="D797" s="1"/>
      <c r="E797" s="1"/>
      <c r="F797" s="2"/>
      <c r="G797" s="1"/>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row>
    <row r="798" ht="15.75" customHeight="1">
      <c r="A798" s="1"/>
      <c r="B798" s="1"/>
      <c r="C798" s="1"/>
      <c r="D798" s="1"/>
      <c r="E798" s="1"/>
      <c r="F798" s="2"/>
      <c r="G798" s="1"/>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row>
    <row r="799" ht="15.75" customHeight="1">
      <c r="A799" s="1"/>
      <c r="B799" s="1"/>
      <c r="C799" s="1"/>
      <c r="D799" s="1"/>
      <c r="E799" s="1"/>
      <c r="F799" s="2"/>
      <c r="G799" s="1"/>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row>
    <row r="800" ht="15.75" customHeight="1">
      <c r="A800" s="1"/>
      <c r="B800" s="1"/>
      <c r="C800" s="1"/>
      <c r="D800" s="1"/>
      <c r="E800" s="1"/>
      <c r="F800" s="2"/>
      <c r="G800" s="1"/>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row>
    <row r="801" ht="15.75" customHeight="1">
      <c r="A801" s="1"/>
      <c r="B801" s="1"/>
      <c r="C801" s="1"/>
      <c r="D801" s="1"/>
      <c r="E801" s="1"/>
      <c r="F801" s="2"/>
      <c r="G801" s="1"/>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row>
    <row r="802" ht="15.75" customHeight="1">
      <c r="A802" s="1"/>
      <c r="B802" s="1"/>
      <c r="C802" s="1"/>
      <c r="D802" s="1"/>
      <c r="E802" s="1"/>
      <c r="F802" s="2"/>
      <c r="G802" s="1"/>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row>
    <row r="803" ht="15.75" customHeight="1">
      <c r="A803" s="1"/>
      <c r="B803" s="1"/>
      <c r="C803" s="1"/>
      <c r="D803" s="1"/>
      <c r="E803" s="1"/>
      <c r="F803" s="2"/>
      <c r="G803" s="1"/>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row>
    <row r="804" ht="15.75" customHeight="1">
      <c r="A804" s="1"/>
      <c r="B804" s="1"/>
      <c r="C804" s="1"/>
      <c r="D804" s="1"/>
      <c r="E804" s="1"/>
      <c r="F804" s="2"/>
      <c r="G804" s="1"/>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row>
    <row r="805" ht="15.75" customHeight="1">
      <c r="A805" s="1"/>
      <c r="B805" s="1"/>
      <c r="C805" s="1"/>
      <c r="D805" s="1"/>
      <c r="E805" s="1"/>
      <c r="F805" s="2"/>
      <c r="G805" s="1"/>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row>
    <row r="806" ht="15.75" customHeight="1">
      <c r="A806" s="1"/>
      <c r="B806" s="1"/>
      <c r="C806" s="1"/>
      <c r="D806" s="1"/>
      <c r="E806" s="1"/>
      <c r="F806" s="2"/>
      <c r="G806" s="1"/>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row>
    <row r="807" ht="15.75" customHeight="1">
      <c r="A807" s="1"/>
      <c r="B807" s="1"/>
      <c r="C807" s="1"/>
      <c r="D807" s="1"/>
      <c r="E807" s="1"/>
      <c r="F807" s="2"/>
      <c r="G807" s="1"/>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row>
    <row r="808" ht="15.75" customHeight="1">
      <c r="A808" s="1"/>
      <c r="B808" s="1"/>
      <c r="C808" s="1"/>
      <c r="D808" s="1"/>
      <c r="E808" s="1"/>
      <c r="F808" s="2"/>
      <c r="G808" s="1"/>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row>
    <row r="809" ht="15.75" customHeight="1">
      <c r="A809" s="1"/>
      <c r="B809" s="1"/>
      <c r="C809" s="1"/>
      <c r="D809" s="1"/>
      <c r="E809" s="1"/>
      <c r="F809" s="2"/>
      <c r="G809" s="1"/>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row>
    <row r="810" ht="15.75" customHeight="1">
      <c r="A810" s="1"/>
      <c r="B810" s="1"/>
      <c r="C810" s="1"/>
      <c r="D810" s="1"/>
      <c r="E810" s="1"/>
      <c r="F810" s="2"/>
      <c r="G810" s="1"/>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row>
    <row r="811" ht="15.75" customHeight="1">
      <c r="A811" s="1"/>
      <c r="B811" s="1"/>
      <c r="C811" s="1"/>
      <c r="D811" s="1"/>
      <c r="E811" s="1"/>
      <c r="F811" s="2"/>
      <c r="G811" s="1"/>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row>
    <row r="812" ht="15.75" customHeight="1">
      <c r="A812" s="1"/>
      <c r="B812" s="1"/>
      <c r="C812" s="1"/>
      <c r="D812" s="1"/>
      <c r="E812" s="1"/>
      <c r="F812" s="2"/>
      <c r="G812" s="1"/>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row>
    <row r="813" ht="15.75" customHeight="1">
      <c r="A813" s="1"/>
      <c r="B813" s="1"/>
      <c r="C813" s="1"/>
      <c r="D813" s="1"/>
      <c r="E813" s="1"/>
      <c r="F813" s="2"/>
      <c r="G813" s="1"/>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row>
    <row r="814" ht="15.75" customHeight="1">
      <c r="A814" s="1"/>
      <c r="B814" s="1"/>
      <c r="C814" s="1"/>
      <c r="D814" s="1"/>
      <c r="E814" s="1"/>
      <c r="F814" s="2"/>
      <c r="G814" s="1"/>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row>
    <row r="815" ht="15.75" customHeight="1">
      <c r="A815" s="1"/>
      <c r="B815" s="1"/>
      <c r="C815" s="1"/>
      <c r="D815" s="1"/>
      <c r="E815" s="1"/>
      <c r="F815" s="2"/>
      <c r="G815" s="1"/>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row>
    <row r="816" ht="15.75" customHeight="1">
      <c r="A816" s="1"/>
      <c r="B816" s="1"/>
      <c r="C816" s="1"/>
      <c r="D816" s="1"/>
      <c r="E816" s="1"/>
      <c r="F816" s="2"/>
      <c r="G816" s="1"/>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row>
    <row r="817" ht="15.75" customHeight="1">
      <c r="A817" s="1"/>
      <c r="B817" s="1"/>
      <c r="C817" s="1"/>
      <c r="D817" s="1"/>
      <c r="E817" s="1"/>
      <c r="F817" s="2"/>
      <c r="G817" s="1"/>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row>
    <row r="818" ht="15.75" customHeight="1">
      <c r="A818" s="1"/>
      <c r="B818" s="1"/>
      <c r="C818" s="1"/>
      <c r="D818" s="1"/>
      <c r="E818" s="1"/>
      <c r="F818" s="2"/>
      <c r="G818" s="1"/>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row>
    <row r="819" ht="15.75" customHeight="1">
      <c r="A819" s="1"/>
      <c r="B819" s="1"/>
      <c r="C819" s="1"/>
      <c r="D819" s="1"/>
      <c r="E819" s="1"/>
      <c r="F819" s="2"/>
      <c r="G819" s="1"/>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row>
    <row r="820" ht="15.75" customHeight="1">
      <c r="A820" s="1"/>
      <c r="B820" s="1"/>
      <c r="C820" s="1"/>
      <c r="D820" s="1"/>
      <c r="E820" s="1"/>
      <c r="F820" s="2"/>
      <c r="G820" s="1"/>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row>
    <row r="821" ht="15.75" customHeight="1">
      <c r="A821" s="1"/>
      <c r="B821" s="1"/>
      <c r="C821" s="1"/>
      <c r="D821" s="1"/>
      <c r="E821" s="1"/>
      <c r="F821" s="2"/>
      <c r="G821" s="1"/>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row>
    <row r="822" ht="15.75" customHeight="1">
      <c r="A822" s="1"/>
      <c r="B822" s="1"/>
      <c r="C822" s="1"/>
      <c r="D822" s="1"/>
      <c r="E822" s="1"/>
      <c r="F822" s="2"/>
      <c r="G822" s="1"/>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row>
    <row r="823" ht="15.75" customHeight="1">
      <c r="A823" s="1"/>
      <c r="B823" s="1"/>
      <c r="C823" s="1"/>
      <c r="D823" s="1"/>
      <c r="E823" s="1"/>
      <c r="F823" s="2"/>
      <c r="G823" s="1"/>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row>
    <row r="824" ht="15.75" customHeight="1">
      <c r="A824" s="1"/>
      <c r="B824" s="1"/>
      <c r="C824" s="1"/>
      <c r="D824" s="1"/>
      <c r="E824" s="1"/>
      <c r="F824" s="2"/>
      <c r="G824" s="1"/>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row>
    <row r="825" ht="15.75" customHeight="1">
      <c r="A825" s="1"/>
      <c r="B825" s="1"/>
      <c r="C825" s="1"/>
      <c r="D825" s="1"/>
      <c r="E825" s="1"/>
      <c r="F825" s="2"/>
      <c r="G825" s="1"/>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row>
    <row r="826" ht="15.75" customHeight="1">
      <c r="A826" s="1"/>
      <c r="B826" s="1"/>
      <c r="C826" s="1"/>
      <c r="D826" s="1"/>
      <c r="E826" s="1"/>
      <c r="F826" s="2"/>
      <c r="G826" s="1"/>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row>
    <row r="827" ht="15.75" customHeight="1">
      <c r="A827" s="1"/>
      <c r="B827" s="1"/>
      <c r="C827" s="1"/>
      <c r="D827" s="1"/>
      <c r="E827" s="1"/>
      <c r="F827" s="2"/>
      <c r="G827" s="1"/>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row>
    <row r="828" ht="15.75" customHeight="1">
      <c r="A828" s="1"/>
      <c r="B828" s="1"/>
      <c r="C828" s="1"/>
      <c r="D828" s="1"/>
      <c r="E828" s="1"/>
      <c r="F828" s="2"/>
      <c r="G828" s="1"/>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row>
    <row r="829" ht="15.75" customHeight="1">
      <c r="A829" s="1"/>
      <c r="B829" s="1"/>
      <c r="C829" s="1"/>
      <c r="D829" s="1"/>
      <c r="E829" s="1"/>
      <c r="F829" s="2"/>
      <c r="G829" s="1"/>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row>
    <row r="830" ht="15.75" customHeight="1">
      <c r="A830" s="1"/>
      <c r="B830" s="1"/>
      <c r="C830" s="1"/>
      <c r="D830" s="1"/>
      <c r="E830" s="1"/>
      <c r="F830" s="2"/>
      <c r="G830" s="1"/>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row>
    <row r="831" ht="15.75" customHeight="1">
      <c r="A831" s="1"/>
      <c r="B831" s="1"/>
      <c r="C831" s="1"/>
      <c r="D831" s="1"/>
      <c r="E831" s="1"/>
      <c r="F831" s="2"/>
      <c r="G831" s="1"/>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row>
    <row r="832" ht="15.75" customHeight="1">
      <c r="A832" s="1"/>
      <c r="B832" s="1"/>
      <c r="C832" s="1"/>
      <c r="D832" s="1"/>
      <c r="E832" s="1"/>
      <c r="F832" s="2"/>
      <c r="G832" s="1"/>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row>
    <row r="833" ht="15.75" customHeight="1">
      <c r="A833" s="1"/>
      <c r="B833" s="1"/>
      <c r="C833" s="1"/>
      <c r="D833" s="1"/>
      <c r="E833" s="1"/>
      <c r="F833" s="2"/>
      <c r="G833" s="1"/>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row>
    <row r="834" ht="15.75" customHeight="1">
      <c r="A834" s="1"/>
      <c r="B834" s="1"/>
      <c r="C834" s="1"/>
      <c r="D834" s="1"/>
      <c r="E834" s="1"/>
      <c r="F834" s="2"/>
      <c r="G834" s="1"/>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row>
    <row r="835" ht="15.75" customHeight="1">
      <c r="A835" s="1"/>
      <c r="B835" s="1"/>
      <c r="C835" s="1"/>
      <c r="D835" s="1"/>
      <c r="E835" s="1"/>
      <c r="F835" s="2"/>
      <c r="G835" s="1"/>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row>
    <row r="836" ht="15.75" customHeight="1">
      <c r="A836" s="1"/>
      <c r="B836" s="1"/>
      <c r="C836" s="1"/>
      <c r="D836" s="1"/>
      <c r="E836" s="1"/>
      <c r="F836" s="2"/>
      <c r="G836" s="1"/>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row>
    <row r="837" ht="15.75" customHeight="1">
      <c r="A837" s="1"/>
      <c r="B837" s="1"/>
      <c r="C837" s="1"/>
      <c r="D837" s="1"/>
      <c r="E837" s="1"/>
      <c r="F837" s="2"/>
      <c r="G837" s="1"/>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row>
    <row r="838" ht="15.75" customHeight="1">
      <c r="A838" s="1"/>
      <c r="B838" s="1"/>
      <c r="C838" s="1"/>
      <c r="D838" s="1"/>
      <c r="E838" s="1"/>
      <c r="F838" s="2"/>
      <c r="G838" s="1"/>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row>
    <row r="839" ht="15.75" customHeight="1">
      <c r="A839" s="1"/>
      <c r="B839" s="1"/>
      <c r="C839" s="1"/>
      <c r="D839" s="1"/>
      <c r="E839" s="1"/>
      <c r="F839" s="2"/>
      <c r="G839" s="1"/>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row>
    <row r="840" ht="15.75" customHeight="1">
      <c r="A840" s="1"/>
      <c r="B840" s="1"/>
      <c r="C840" s="1"/>
      <c r="D840" s="1"/>
      <c r="E840" s="1"/>
      <c r="F840" s="2"/>
      <c r="G840" s="1"/>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row>
    <row r="841" ht="15.75" customHeight="1">
      <c r="A841" s="1"/>
      <c r="B841" s="1"/>
      <c r="C841" s="1"/>
      <c r="D841" s="1"/>
      <c r="E841" s="1"/>
      <c r="F841" s="2"/>
      <c r="G841" s="1"/>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row>
    <row r="842" ht="15.75" customHeight="1">
      <c r="A842" s="1"/>
      <c r="B842" s="1"/>
      <c r="C842" s="1"/>
      <c r="D842" s="1"/>
      <c r="E842" s="1"/>
      <c r="F842" s="2"/>
      <c r="G842" s="1"/>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row>
    <row r="843" ht="15.75" customHeight="1">
      <c r="A843" s="1"/>
      <c r="B843" s="1"/>
      <c r="C843" s="1"/>
      <c r="D843" s="1"/>
      <c r="E843" s="1"/>
      <c r="F843" s="2"/>
      <c r="G843" s="1"/>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row>
    <row r="844" ht="15.75" customHeight="1">
      <c r="A844" s="1"/>
      <c r="B844" s="1"/>
      <c r="C844" s="1"/>
      <c r="D844" s="1"/>
      <c r="E844" s="1"/>
      <c r="F844" s="2"/>
      <c r="G844" s="1"/>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row>
    <row r="845" ht="15.75" customHeight="1">
      <c r="A845" s="1"/>
      <c r="B845" s="1"/>
      <c r="C845" s="1"/>
      <c r="D845" s="1"/>
      <c r="E845" s="1"/>
      <c r="F845" s="2"/>
      <c r="G845" s="1"/>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row>
    <row r="846" ht="15.75" customHeight="1">
      <c r="A846" s="1"/>
      <c r="B846" s="1"/>
      <c r="C846" s="1"/>
      <c r="D846" s="1"/>
      <c r="E846" s="1"/>
      <c r="F846" s="2"/>
      <c r="G846" s="1"/>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row>
    <row r="847" ht="15.75" customHeight="1">
      <c r="A847" s="1"/>
      <c r="B847" s="1"/>
      <c r="C847" s="1"/>
      <c r="D847" s="1"/>
      <c r="E847" s="1"/>
      <c r="F847" s="2"/>
      <c r="G847" s="1"/>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row>
    <row r="848" ht="15.75" customHeight="1">
      <c r="A848" s="1"/>
      <c r="B848" s="1"/>
      <c r="C848" s="1"/>
      <c r="D848" s="1"/>
      <c r="E848" s="1"/>
      <c r="F848" s="2"/>
      <c r="G848" s="1"/>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row>
    <row r="849" ht="15.75" customHeight="1">
      <c r="A849" s="1"/>
      <c r="B849" s="1"/>
      <c r="C849" s="1"/>
      <c r="D849" s="1"/>
      <c r="E849" s="1"/>
      <c r="F849" s="2"/>
      <c r="G849" s="1"/>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row>
    <row r="850" ht="15.75" customHeight="1">
      <c r="A850" s="1"/>
      <c r="B850" s="1"/>
      <c r="C850" s="1"/>
      <c r="D850" s="1"/>
      <c r="E850" s="1"/>
      <c r="F850" s="2"/>
      <c r="G850" s="1"/>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row>
    <row r="851" ht="15.75" customHeight="1">
      <c r="A851" s="1"/>
      <c r="B851" s="1"/>
      <c r="C851" s="1"/>
      <c r="D851" s="1"/>
      <c r="E851" s="1"/>
      <c r="F851" s="2"/>
      <c r="G851" s="1"/>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row>
    <row r="852" ht="15.75" customHeight="1">
      <c r="A852" s="1"/>
      <c r="B852" s="1"/>
      <c r="C852" s="1"/>
      <c r="D852" s="1"/>
      <c r="E852" s="1"/>
      <c r="F852" s="2"/>
      <c r="G852" s="1"/>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row>
    <row r="853" ht="15.75" customHeight="1">
      <c r="A853" s="1"/>
      <c r="B853" s="1"/>
      <c r="C853" s="1"/>
      <c r="D853" s="1"/>
      <c r="E853" s="1"/>
      <c r="F853" s="2"/>
      <c r="G853" s="1"/>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row>
    <row r="854" ht="15.75" customHeight="1">
      <c r="A854" s="1"/>
      <c r="B854" s="1"/>
      <c r="C854" s="1"/>
      <c r="D854" s="1"/>
      <c r="E854" s="1"/>
      <c r="F854" s="2"/>
      <c r="G854" s="1"/>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row>
    <row r="855" ht="15.75" customHeight="1">
      <c r="A855" s="1"/>
      <c r="B855" s="1"/>
      <c r="C855" s="1"/>
      <c r="D855" s="1"/>
      <c r="E855" s="1"/>
      <c r="F855" s="2"/>
      <c r="G855" s="1"/>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row>
    <row r="856" ht="15.75" customHeight="1">
      <c r="A856" s="1"/>
      <c r="B856" s="1"/>
      <c r="C856" s="1"/>
      <c r="D856" s="1"/>
      <c r="E856" s="1"/>
      <c r="F856" s="2"/>
      <c r="G856" s="1"/>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row>
    <row r="857" ht="15.75" customHeight="1">
      <c r="A857" s="1"/>
      <c r="B857" s="1"/>
      <c r="C857" s="1"/>
      <c r="D857" s="1"/>
      <c r="E857" s="1"/>
      <c r="F857" s="2"/>
      <c r="G857" s="1"/>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row>
    <row r="858" ht="15.75" customHeight="1">
      <c r="A858" s="1"/>
      <c r="B858" s="1"/>
      <c r="C858" s="1"/>
      <c r="D858" s="1"/>
      <c r="E858" s="1"/>
      <c r="F858" s="2"/>
      <c r="G858" s="1"/>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row>
    <row r="859" ht="15.75" customHeight="1">
      <c r="A859" s="1"/>
      <c r="B859" s="1"/>
      <c r="C859" s="1"/>
      <c r="D859" s="1"/>
      <c r="E859" s="1"/>
      <c r="F859" s="2"/>
      <c r="G859" s="1"/>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row>
    <row r="860" ht="15.75" customHeight="1">
      <c r="A860" s="1"/>
      <c r="B860" s="1"/>
      <c r="C860" s="1"/>
      <c r="D860" s="1"/>
      <c r="E860" s="1"/>
      <c r="F860" s="2"/>
      <c r="G860" s="1"/>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row>
    <row r="861" ht="15.75" customHeight="1">
      <c r="A861" s="1"/>
      <c r="B861" s="1"/>
      <c r="C861" s="1"/>
      <c r="D861" s="1"/>
      <c r="E861" s="1"/>
      <c r="F861" s="2"/>
      <c r="G861" s="1"/>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row>
    <row r="862" ht="15.75" customHeight="1">
      <c r="A862" s="1"/>
      <c r="B862" s="1"/>
      <c r="C862" s="1"/>
      <c r="D862" s="1"/>
      <c r="E862" s="1"/>
      <c r="F862" s="2"/>
      <c r="G862" s="1"/>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row>
    <row r="863" ht="15.75" customHeight="1">
      <c r="A863" s="1"/>
      <c r="B863" s="1"/>
      <c r="C863" s="1"/>
      <c r="D863" s="1"/>
      <c r="E863" s="1"/>
      <c r="F863" s="2"/>
      <c r="G863" s="1"/>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row>
    <row r="864" ht="15.75" customHeight="1">
      <c r="A864" s="1"/>
      <c r="B864" s="1"/>
      <c r="C864" s="1"/>
      <c r="D864" s="1"/>
      <c r="E864" s="1"/>
      <c r="F864" s="2"/>
      <c r="G864" s="1"/>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row>
    <row r="865" ht="15.75" customHeight="1">
      <c r="A865" s="1"/>
      <c r="B865" s="1"/>
      <c r="C865" s="1"/>
      <c r="D865" s="1"/>
      <c r="E865" s="1"/>
      <c r="F865" s="2"/>
      <c r="G865" s="1"/>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row>
    <row r="866" ht="15.75" customHeight="1">
      <c r="A866" s="1"/>
      <c r="B866" s="1"/>
      <c r="C866" s="1"/>
      <c r="D866" s="1"/>
      <c r="E866" s="1"/>
      <c r="F866" s="2"/>
      <c r="G866" s="1"/>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row>
    <row r="867" ht="15.75" customHeight="1">
      <c r="A867" s="1"/>
      <c r="B867" s="1"/>
      <c r="C867" s="1"/>
      <c r="D867" s="1"/>
      <c r="E867" s="1"/>
      <c r="F867" s="2"/>
      <c r="G867" s="1"/>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row>
    <row r="868" ht="15.75" customHeight="1">
      <c r="A868" s="1"/>
      <c r="B868" s="1"/>
      <c r="C868" s="1"/>
      <c r="D868" s="1"/>
      <c r="E868" s="1"/>
      <c r="F868" s="2"/>
      <c r="G868" s="1"/>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row>
    <row r="869" ht="15.75" customHeight="1">
      <c r="A869" s="1"/>
      <c r="B869" s="1"/>
      <c r="C869" s="1"/>
      <c r="D869" s="1"/>
      <c r="E869" s="1"/>
      <c r="F869" s="2"/>
      <c r="G869" s="1"/>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row>
    <row r="870" ht="15.75" customHeight="1">
      <c r="A870" s="1"/>
      <c r="B870" s="1"/>
      <c r="C870" s="1"/>
      <c r="D870" s="1"/>
      <c r="E870" s="1"/>
      <c r="F870" s="2"/>
      <c r="G870" s="1"/>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row>
    <row r="871" ht="15.75" customHeight="1">
      <c r="A871" s="1"/>
      <c r="B871" s="1"/>
      <c r="C871" s="1"/>
      <c r="D871" s="1"/>
      <c r="E871" s="1"/>
      <c r="F871" s="2"/>
      <c r="G871" s="1"/>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row>
    <row r="872" ht="15.75" customHeight="1">
      <c r="A872" s="1"/>
      <c r="B872" s="1"/>
      <c r="C872" s="1"/>
      <c r="D872" s="1"/>
      <c r="E872" s="1"/>
      <c r="F872" s="2"/>
      <c r="G872" s="1"/>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row>
    <row r="873" ht="15.75" customHeight="1">
      <c r="A873" s="1"/>
      <c r="B873" s="1"/>
      <c r="C873" s="1"/>
      <c r="D873" s="1"/>
      <c r="E873" s="1"/>
      <c r="F873" s="2"/>
      <c r="G873" s="1"/>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row>
    <row r="874" ht="15.75" customHeight="1">
      <c r="A874" s="1"/>
      <c r="B874" s="1"/>
      <c r="C874" s="1"/>
      <c r="D874" s="1"/>
      <c r="E874" s="1"/>
      <c r="F874" s="2"/>
      <c r="G874" s="1"/>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row>
    <row r="875" ht="15.75" customHeight="1">
      <c r="A875" s="1"/>
      <c r="B875" s="1"/>
      <c r="C875" s="1"/>
      <c r="D875" s="1"/>
      <c r="E875" s="1"/>
      <c r="F875" s="2"/>
      <c r="G875" s="1"/>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row>
    <row r="876" ht="15.75" customHeight="1">
      <c r="A876" s="1"/>
      <c r="B876" s="1"/>
      <c r="C876" s="1"/>
      <c r="D876" s="1"/>
      <c r="E876" s="1"/>
      <c r="F876" s="2"/>
      <c r="G876" s="1"/>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row>
    <row r="877" ht="15.75" customHeight="1">
      <c r="A877" s="1"/>
      <c r="B877" s="1"/>
      <c r="C877" s="1"/>
      <c r="D877" s="1"/>
      <c r="E877" s="1"/>
      <c r="F877" s="2"/>
      <c r="G877" s="1"/>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row>
    <row r="878" ht="15.75" customHeight="1">
      <c r="A878" s="1"/>
      <c r="B878" s="1"/>
      <c r="C878" s="1"/>
      <c r="D878" s="1"/>
      <c r="E878" s="1"/>
      <c r="F878" s="2"/>
      <c r="G878" s="1"/>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row>
    <row r="879" ht="15.75" customHeight="1">
      <c r="A879" s="1"/>
      <c r="B879" s="1"/>
      <c r="C879" s="1"/>
      <c r="D879" s="1"/>
      <c r="E879" s="1"/>
      <c r="F879" s="2"/>
      <c r="G879" s="1"/>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row>
    <row r="880" ht="15.75" customHeight="1">
      <c r="A880" s="1"/>
      <c r="B880" s="1"/>
      <c r="C880" s="1"/>
      <c r="D880" s="1"/>
      <c r="E880" s="1"/>
      <c r="F880" s="2"/>
      <c r="G880" s="1"/>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row>
    <row r="881" ht="15.75" customHeight="1">
      <c r="A881" s="1"/>
      <c r="B881" s="1"/>
      <c r="C881" s="1"/>
      <c r="D881" s="1"/>
      <c r="E881" s="1"/>
      <c r="F881" s="2"/>
      <c r="G881" s="1"/>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row>
    <row r="882" ht="15.75" customHeight="1">
      <c r="A882" s="1"/>
      <c r="B882" s="1"/>
      <c r="C882" s="1"/>
      <c r="D882" s="1"/>
      <c r="E882" s="1"/>
      <c r="F882" s="2"/>
      <c r="G882" s="1"/>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row>
    <row r="883" ht="15.75" customHeight="1">
      <c r="A883" s="1"/>
      <c r="B883" s="1"/>
      <c r="C883" s="1"/>
      <c r="D883" s="1"/>
      <c r="E883" s="1"/>
      <c r="F883" s="2"/>
      <c r="G883" s="1"/>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row>
    <row r="884" ht="15.75" customHeight="1">
      <c r="A884" s="1"/>
      <c r="B884" s="1"/>
      <c r="C884" s="1"/>
      <c r="D884" s="1"/>
      <c r="E884" s="1"/>
      <c r="F884" s="2"/>
      <c r="G884" s="1"/>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row>
    <row r="885" ht="15.75" customHeight="1">
      <c r="A885" s="1"/>
      <c r="B885" s="1"/>
      <c r="C885" s="1"/>
      <c r="D885" s="1"/>
      <c r="E885" s="1"/>
      <c r="F885" s="2"/>
      <c r="G885" s="1"/>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row>
    <row r="886" ht="15.75" customHeight="1">
      <c r="A886" s="1"/>
      <c r="B886" s="1"/>
      <c r="C886" s="1"/>
      <c r="D886" s="1"/>
      <c r="E886" s="1"/>
      <c r="F886" s="2"/>
      <c r="G886" s="1"/>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row>
    <row r="887" ht="15.75" customHeight="1">
      <c r="A887" s="1"/>
      <c r="B887" s="1"/>
      <c r="C887" s="1"/>
      <c r="D887" s="1"/>
      <c r="E887" s="1"/>
      <c r="F887" s="2"/>
      <c r="G887" s="1"/>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row>
    <row r="888" ht="15.75" customHeight="1">
      <c r="A888" s="1"/>
      <c r="B888" s="1"/>
      <c r="C888" s="1"/>
      <c r="D888" s="1"/>
      <c r="E888" s="1"/>
      <c r="F888" s="2"/>
      <c r="G888" s="1"/>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row>
    <row r="889" ht="15.75" customHeight="1">
      <c r="A889" s="1"/>
      <c r="B889" s="1"/>
      <c r="C889" s="1"/>
      <c r="D889" s="1"/>
      <c r="E889" s="1"/>
      <c r="F889" s="2"/>
      <c r="G889" s="1"/>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row>
    <row r="890" ht="15.75" customHeight="1">
      <c r="A890" s="1"/>
      <c r="B890" s="1"/>
      <c r="C890" s="1"/>
      <c r="D890" s="1"/>
      <c r="E890" s="1"/>
      <c r="F890" s="2"/>
      <c r="G890" s="1"/>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row>
    <row r="891" ht="15.75" customHeight="1">
      <c r="A891" s="1"/>
      <c r="B891" s="1"/>
      <c r="C891" s="1"/>
      <c r="D891" s="1"/>
      <c r="E891" s="1"/>
      <c r="F891" s="2"/>
      <c r="G891" s="1"/>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row>
    <row r="892" ht="15.75" customHeight="1">
      <c r="A892" s="1"/>
      <c r="B892" s="1"/>
      <c r="C892" s="1"/>
      <c r="D892" s="1"/>
      <c r="E892" s="1"/>
      <c r="F892" s="2"/>
      <c r="G892" s="1"/>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row>
    <row r="893" ht="15.75" customHeight="1">
      <c r="A893" s="1"/>
      <c r="B893" s="1"/>
      <c r="C893" s="1"/>
      <c r="D893" s="1"/>
      <c r="E893" s="1"/>
      <c r="F893" s="2"/>
      <c r="G893" s="1"/>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row>
    <row r="894" ht="15.75" customHeight="1">
      <c r="A894" s="1"/>
      <c r="B894" s="1"/>
      <c r="C894" s="1"/>
      <c r="D894" s="1"/>
      <c r="E894" s="1"/>
      <c r="F894" s="2"/>
      <c r="G894" s="1"/>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row>
    <row r="895" ht="15.75" customHeight="1">
      <c r="A895" s="1"/>
      <c r="B895" s="1"/>
      <c r="C895" s="1"/>
      <c r="D895" s="1"/>
      <c r="E895" s="1"/>
      <c r="F895" s="2"/>
      <c r="G895" s="1"/>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row>
    <row r="896" ht="15.75" customHeight="1">
      <c r="A896" s="1"/>
      <c r="B896" s="1"/>
      <c r="C896" s="1"/>
      <c r="D896" s="1"/>
      <c r="E896" s="1"/>
      <c r="F896" s="2"/>
      <c r="G896" s="1"/>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row>
    <row r="897" ht="15.75" customHeight="1">
      <c r="A897" s="1"/>
      <c r="B897" s="1"/>
      <c r="C897" s="1"/>
      <c r="D897" s="1"/>
      <c r="E897" s="1"/>
      <c r="F897" s="2"/>
      <c r="G897" s="1"/>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row>
    <row r="898" ht="15.75" customHeight="1">
      <c r="A898" s="1"/>
      <c r="B898" s="1"/>
      <c r="C898" s="1"/>
      <c r="D898" s="1"/>
      <c r="E898" s="1"/>
      <c r="F898" s="2"/>
      <c r="G898" s="1"/>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row>
    <row r="899" ht="15.75" customHeight="1">
      <c r="A899" s="1"/>
      <c r="B899" s="1"/>
      <c r="C899" s="1"/>
      <c r="D899" s="1"/>
      <c r="E899" s="1"/>
      <c r="F899" s="2"/>
      <c r="G899" s="1"/>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row>
    <row r="900" ht="15.75" customHeight="1">
      <c r="A900" s="1"/>
      <c r="B900" s="1"/>
      <c r="C900" s="1"/>
      <c r="D900" s="1"/>
      <c r="E900" s="1"/>
      <c r="F900" s="2"/>
      <c r="G900" s="1"/>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row>
    <row r="901" ht="15.75" customHeight="1">
      <c r="A901" s="1"/>
      <c r="B901" s="1"/>
      <c r="C901" s="1"/>
      <c r="D901" s="1"/>
      <c r="E901" s="1"/>
      <c r="F901" s="2"/>
      <c r="G901" s="1"/>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row>
    <row r="902" ht="15.75" customHeight="1">
      <c r="A902" s="1"/>
      <c r="B902" s="1"/>
      <c r="C902" s="1"/>
      <c r="D902" s="1"/>
      <c r="E902" s="1"/>
      <c r="F902" s="2"/>
      <c r="G902" s="1"/>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row>
    <row r="903" ht="15.75" customHeight="1">
      <c r="A903" s="1"/>
      <c r="B903" s="1"/>
      <c r="C903" s="1"/>
      <c r="D903" s="1"/>
      <c r="E903" s="1"/>
      <c r="F903" s="2"/>
      <c r="G903" s="1"/>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row>
    <row r="904" ht="15.75" customHeight="1">
      <c r="A904" s="1"/>
      <c r="B904" s="1"/>
      <c r="C904" s="1"/>
      <c r="D904" s="1"/>
      <c r="E904" s="1"/>
      <c r="F904" s="2"/>
      <c r="G904" s="1"/>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row>
    <row r="905" ht="15.75" customHeight="1">
      <c r="A905" s="1"/>
      <c r="B905" s="1"/>
      <c r="C905" s="1"/>
      <c r="D905" s="1"/>
      <c r="E905" s="1"/>
      <c r="F905" s="2"/>
      <c r="G905" s="1"/>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row>
    <row r="906" ht="15.75" customHeight="1">
      <c r="A906" s="1"/>
      <c r="B906" s="1"/>
      <c r="C906" s="1"/>
      <c r="D906" s="1"/>
      <c r="E906" s="1"/>
      <c r="F906" s="2"/>
      <c r="G906" s="1"/>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row>
    <row r="907" ht="15.75" customHeight="1">
      <c r="A907" s="1"/>
      <c r="B907" s="1"/>
      <c r="C907" s="1"/>
      <c r="D907" s="1"/>
      <c r="E907" s="1"/>
      <c r="F907" s="2"/>
      <c r="G907" s="1"/>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row>
    <row r="908" ht="15.75" customHeight="1">
      <c r="A908" s="1"/>
      <c r="B908" s="1"/>
      <c r="C908" s="1"/>
      <c r="D908" s="1"/>
      <c r="E908" s="1"/>
      <c r="F908" s="2"/>
      <c r="G908" s="1"/>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row>
    <row r="909" ht="15.75" customHeight="1">
      <c r="A909" s="1"/>
      <c r="B909" s="1"/>
      <c r="C909" s="1"/>
      <c r="D909" s="1"/>
      <c r="E909" s="1"/>
      <c r="F909" s="2"/>
      <c r="G909" s="1"/>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row>
    <row r="910" ht="15.75" customHeight="1">
      <c r="A910" s="1"/>
      <c r="B910" s="1"/>
      <c r="C910" s="1"/>
      <c r="D910" s="1"/>
      <c r="E910" s="1"/>
      <c r="F910" s="2"/>
      <c r="G910" s="1"/>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row>
    <row r="911" ht="15.75" customHeight="1">
      <c r="A911" s="1"/>
      <c r="B911" s="1"/>
      <c r="C911" s="1"/>
      <c r="D911" s="1"/>
      <c r="E911" s="1"/>
      <c r="F911" s="2"/>
      <c r="G911" s="1"/>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row>
    <row r="912" ht="15.75" customHeight="1">
      <c r="A912" s="1"/>
      <c r="B912" s="1"/>
      <c r="C912" s="1"/>
      <c r="D912" s="1"/>
      <c r="E912" s="1"/>
      <c r="F912" s="2"/>
      <c r="G912" s="1"/>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row>
    <row r="913" ht="15.75" customHeight="1">
      <c r="A913" s="1"/>
      <c r="B913" s="1"/>
      <c r="C913" s="1"/>
      <c r="D913" s="1"/>
      <c r="E913" s="1"/>
      <c r="F913" s="2"/>
      <c r="G913" s="1"/>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row>
    <row r="914" ht="15.75" customHeight="1">
      <c r="A914" s="1"/>
      <c r="B914" s="1"/>
      <c r="C914" s="1"/>
      <c r="D914" s="1"/>
      <c r="E914" s="1"/>
      <c r="F914" s="2"/>
      <c r="G914" s="1"/>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row>
    <row r="915" ht="15.75" customHeight="1">
      <c r="A915" s="1"/>
      <c r="B915" s="1"/>
      <c r="C915" s="1"/>
      <c r="D915" s="1"/>
      <c r="E915" s="1"/>
      <c r="F915" s="2"/>
      <c r="G915" s="1"/>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row>
    <row r="916" ht="15.75" customHeight="1">
      <c r="A916" s="1"/>
      <c r="B916" s="1"/>
      <c r="C916" s="1"/>
      <c r="D916" s="1"/>
      <c r="E916" s="1"/>
      <c r="F916" s="2"/>
      <c r="G916" s="1"/>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row>
    <row r="917" ht="15.75" customHeight="1">
      <c r="A917" s="1"/>
      <c r="B917" s="1"/>
      <c r="C917" s="1"/>
      <c r="D917" s="1"/>
      <c r="E917" s="1"/>
      <c r="F917" s="2"/>
      <c r="G917" s="1"/>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row>
    <row r="918" ht="15.75" customHeight="1">
      <c r="A918" s="1"/>
      <c r="B918" s="1"/>
      <c r="C918" s="1"/>
      <c r="D918" s="1"/>
      <c r="E918" s="1"/>
      <c r="F918" s="2"/>
      <c r="G918" s="1"/>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row>
    <row r="919" ht="15.75" customHeight="1">
      <c r="A919" s="1"/>
      <c r="B919" s="1"/>
      <c r="C919" s="1"/>
      <c r="D919" s="1"/>
      <c r="E919" s="1"/>
      <c r="F919" s="2"/>
      <c r="G919" s="1"/>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row>
    <row r="920" ht="15.75" customHeight="1">
      <c r="A920" s="1"/>
      <c r="B920" s="1"/>
      <c r="C920" s="1"/>
      <c r="D920" s="1"/>
      <c r="E920" s="1"/>
      <c r="F920" s="2"/>
      <c r="G920" s="1"/>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row>
    <row r="921" ht="15.75" customHeight="1">
      <c r="A921" s="1"/>
      <c r="B921" s="1"/>
      <c r="C921" s="1"/>
      <c r="D921" s="1"/>
      <c r="E921" s="1"/>
      <c r="F921" s="2"/>
      <c r="G921" s="1"/>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row>
    <row r="922" ht="15.75" customHeight="1">
      <c r="A922" s="1"/>
      <c r="B922" s="1"/>
      <c r="C922" s="1"/>
      <c r="D922" s="1"/>
      <c r="E922" s="1"/>
      <c r="F922" s="2"/>
      <c r="G922" s="1"/>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row>
    <row r="923" ht="15.75" customHeight="1">
      <c r="A923" s="1"/>
      <c r="B923" s="1"/>
      <c r="C923" s="1"/>
      <c r="D923" s="1"/>
      <c r="E923" s="1"/>
      <c r="F923" s="2"/>
      <c r="G923" s="1"/>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row>
    <row r="924" ht="15.75" customHeight="1">
      <c r="A924" s="1"/>
      <c r="B924" s="1"/>
      <c r="C924" s="1"/>
      <c r="D924" s="1"/>
      <c r="E924" s="1"/>
      <c r="F924" s="2"/>
      <c r="G924" s="1"/>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row>
    <row r="925" ht="15.75" customHeight="1">
      <c r="A925" s="1"/>
      <c r="B925" s="1"/>
      <c r="C925" s="1"/>
      <c r="D925" s="1"/>
      <c r="E925" s="1"/>
      <c r="F925" s="2"/>
      <c r="G925" s="1"/>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row>
    <row r="926" ht="15.75" customHeight="1">
      <c r="A926" s="1"/>
      <c r="B926" s="1"/>
      <c r="C926" s="1"/>
      <c r="D926" s="1"/>
      <c r="E926" s="1"/>
      <c r="F926" s="2"/>
      <c r="G926" s="1"/>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row>
    <row r="927" ht="15.75" customHeight="1">
      <c r="A927" s="1"/>
      <c r="B927" s="1"/>
      <c r="C927" s="1"/>
      <c r="D927" s="1"/>
      <c r="E927" s="1"/>
      <c r="F927" s="2"/>
      <c r="G927" s="1"/>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row>
    <row r="928" ht="15.75" customHeight="1">
      <c r="A928" s="1"/>
      <c r="B928" s="1"/>
      <c r="C928" s="1"/>
      <c r="D928" s="1"/>
      <c r="E928" s="1"/>
      <c r="F928" s="2"/>
      <c r="G928" s="1"/>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row>
    <row r="929" ht="15.75" customHeight="1">
      <c r="A929" s="1"/>
      <c r="B929" s="1"/>
      <c r="C929" s="1"/>
      <c r="D929" s="1"/>
      <c r="E929" s="1"/>
      <c r="F929" s="2"/>
      <c r="G929" s="1"/>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row>
    <row r="930" ht="15.75" customHeight="1">
      <c r="A930" s="1"/>
      <c r="B930" s="1"/>
      <c r="C930" s="1"/>
      <c r="D930" s="1"/>
      <c r="E930" s="1"/>
      <c r="F930" s="2"/>
      <c r="G930" s="1"/>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row>
    <row r="931" ht="15.75" customHeight="1">
      <c r="A931" s="1"/>
      <c r="B931" s="1"/>
      <c r="C931" s="1"/>
      <c r="D931" s="1"/>
      <c r="E931" s="1"/>
      <c r="F931" s="2"/>
      <c r="G931" s="1"/>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row>
    <row r="932" ht="15.75" customHeight="1">
      <c r="A932" s="1"/>
      <c r="B932" s="1"/>
      <c r="C932" s="1"/>
      <c r="D932" s="1"/>
      <c r="E932" s="1"/>
      <c r="F932" s="2"/>
      <c r="G932" s="1"/>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row>
    <row r="933" ht="15.75" customHeight="1">
      <c r="A933" s="1"/>
      <c r="B933" s="1"/>
      <c r="C933" s="1"/>
      <c r="D933" s="1"/>
      <c r="E933" s="1"/>
      <c r="F933" s="2"/>
      <c r="G933" s="1"/>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row>
    <row r="934" ht="15.75" customHeight="1">
      <c r="A934" s="1"/>
      <c r="B934" s="1"/>
      <c r="C934" s="1"/>
      <c r="D934" s="1"/>
      <c r="E934" s="1"/>
      <c r="F934" s="2"/>
      <c r="G934" s="1"/>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row>
    <row r="935" ht="15.75" customHeight="1">
      <c r="A935" s="1"/>
      <c r="B935" s="1"/>
      <c r="C935" s="1"/>
      <c r="D935" s="1"/>
      <c r="E935" s="1"/>
      <c r="F935" s="2"/>
      <c r="G935" s="1"/>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row>
    <row r="936" ht="15.75" customHeight="1">
      <c r="A936" s="1"/>
      <c r="B936" s="1"/>
      <c r="C936" s="1"/>
      <c r="D936" s="1"/>
      <c r="E936" s="1"/>
      <c r="F936" s="2"/>
      <c r="G936" s="1"/>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row>
    <row r="937" ht="15.75" customHeight="1">
      <c r="A937" s="1"/>
      <c r="B937" s="1"/>
      <c r="C937" s="1"/>
      <c r="D937" s="1"/>
      <c r="E937" s="1"/>
      <c r="F937" s="2"/>
      <c r="G937" s="1"/>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row>
    <row r="938" ht="15.75" customHeight="1">
      <c r="A938" s="1"/>
      <c r="B938" s="1"/>
      <c r="C938" s="1"/>
      <c r="D938" s="1"/>
      <c r="E938" s="1"/>
      <c r="F938" s="2"/>
      <c r="G938" s="1"/>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row>
    <row r="939" ht="15.75" customHeight="1">
      <c r="A939" s="1"/>
      <c r="B939" s="1"/>
      <c r="C939" s="1"/>
      <c r="D939" s="1"/>
      <c r="E939" s="1"/>
      <c r="F939" s="2"/>
      <c r="G939" s="1"/>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row>
    <row r="940" ht="15.75" customHeight="1">
      <c r="A940" s="1"/>
      <c r="B940" s="1"/>
      <c r="C940" s="1"/>
      <c r="D940" s="1"/>
      <c r="E940" s="1"/>
      <c r="F940" s="2"/>
      <c r="G940" s="1"/>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row>
    <row r="941" ht="15.75" customHeight="1">
      <c r="A941" s="1"/>
      <c r="B941" s="1"/>
      <c r="C941" s="1"/>
      <c r="D941" s="1"/>
      <c r="E941" s="1"/>
      <c r="F941" s="2"/>
      <c r="G941" s="1"/>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row>
    <row r="942" ht="15.75" customHeight="1">
      <c r="A942" s="1"/>
      <c r="B942" s="1"/>
      <c r="C942" s="1"/>
      <c r="D942" s="1"/>
      <c r="E942" s="1"/>
      <c r="F942" s="2"/>
      <c r="G942" s="1"/>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row>
    <row r="943" ht="15.75" customHeight="1">
      <c r="A943" s="1"/>
      <c r="B943" s="1"/>
      <c r="C943" s="1"/>
      <c r="D943" s="1"/>
      <c r="E943" s="1"/>
      <c r="F943" s="2"/>
      <c r="G943" s="1"/>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row>
    <row r="944" ht="15.75" customHeight="1">
      <c r="A944" s="1"/>
      <c r="B944" s="1"/>
      <c r="C944" s="1"/>
      <c r="D944" s="1"/>
      <c r="E944" s="1"/>
      <c r="F944" s="2"/>
      <c r="G944" s="1"/>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row>
    <row r="945" ht="15.75" customHeight="1">
      <c r="A945" s="1"/>
      <c r="B945" s="1"/>
      <c r="C945" s="1"/>
      <c r="D945" s="1"/>
      <c r="E945" s="1"/>
      <c r="F945" s="2"/>
      <c r="G945" s="1"/>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row>
    <row r="946" ht="15.75" customHeight="1">
      <c r="A946" s="1"/>
      <c r="B946" s="1"/>
      <c r="C946" s="1"/>
      <c r="D946" s="1"/>
      <c r="E946" s="1"/>
      <c r="F946" s="2"/>
      <c r="G946" s="1"/>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row>
    <row r="947" ht="15.75" customHeight="1">
      <c r="A947" s="1"/>
      <c r="B947" s="1"/>
      <c r="C947" s="1"/>
      <c r="D947" s="1"/>
      <c r="E947" s="1"/>
      <c r="F947" s="2"/>
      <c r="G947" s="1"/>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row>
    <row r="948" ht="15.75" customHeight="1">
      <c r="A948" s="1"/>
      <c r="B948" s="1"/>
      <c r="C948" s="1"/>
      <c r="D948" s="1"/>
      <c r="E948" s="1"/>
      <c r="F948" s="2"/>
      <c r="G948" s="1"/>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row>
    <row r="949" ht="15.75" customHeight="1">
      <c r="A949" s="1"/>
      <c r="B949" s="1"/>
      <c r="C949" s="1"/>
      <c r="D949" s="1"/>
      <c r="E949" s="1"/>
      <c r="F949" s="2"/>
      <c r="G949" s="1"/>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row>
    <row r="950" ht="15.75" customHeight="1">
      <c r="A950" s="1"/>
      <c r="B950" s="1"/>
      <c r="C950" s="1"/>
      <c r="D950" s="1"/>
      <c r="E950" s="1"/>
      <c r="F950" s="2"/>
      <c r="G950" s="1"/>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row>
    <row r="951" ht="15.75" customHeight="1">
      <c r="A951" s="1"/>
      <c r="B951" s="1"/>
      <c r="C951" s="1"/>
      <c r="D951" s="1"/>
      <c r="E951" s="1"/>
      <c r="F951" s="2"/>
      <c r="G951" s="1"/>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row>
    <row r="952" ht="15.75" customHeight="1">
      <c r="A952" s="1"/>
      <c r="B952" s="1"/>
      <c r="C952" s="1"/>
      <c r="D952" s="1"/>
      <c r="E952" s="1"/>
      <c r="F952" s="2"/>
      <c r="G952" s="1"/>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row>
    <row r="953" ht="15.75" customHeight="1">
      <c r="A953" s="1"/>
      <c r="B953" s="1"/>
      <c r="C953" s="1"/>
      <c r="D953" s="1"/>
      <c r="E953" s="1"/>
      <c r="F953" s="2"/>
      <c r="G953" s="1"/>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row>
    <row r="954" ht="15.75" customHeight="1">
      <c r="A954" s="1"/>
      <c r="B954" s="1"/>
      <c r="C954" s="1"/>
      <c r="D954" s="1"/>
      <c r="E954" s="1"/>
      <c r="F954" s="2"/>
      <c r="G954" s="1"/>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row>
    <row r="955" ht="15.75" customHeight="1">
      <c r="A955" s="1"/>
      <c r="B955" s="1"/>
      <c r="C955" s="1"/>
      <c r="D955" s="1"/>
      <c r="E955" s="1"/>
      <c r="F955" s="2"/>
      <c r="G955" s="1"/>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row>
    <row r="956" ht="15.75" customHeight="1">
      <c r="A956" s="1"/>
      <c r="B956" s="1"/>
      <c r="C956" s="1"/>
      <c r="D956" s="1"/>
      <c r="E956" s="1"/>
      <c r="F956" s="2"/>
      <c r="G956" s="1"/>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row>
    <row r="957" ht="15.75" customHeight="1">
      <c r="A957" s="1"/>
      <c r="B957" s="1"/>
      <c r="C957" s="1"/>
      <c r="D957" s="1"/>
      <c r="E957" s="1"/>
      <c r="F957" s="2"/>
      <c r="G957" s="1"/>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row>
    <row r="958" ht="15.75" customHeight="1">
      <c r="A958" s="1"/>
      <c r="B958" s="1"/>
      <c r="C958" s="1"/>
      <c r="D958" s="1"/>
      <c r="E958" s="1"/>
      <c r="F958" s="2"/>
      <c r="G958" s="1"/>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row>
    <row r="959" ht="15.75" customHeight="1">
      <c r="A959" s="1"/>
      <c r="B959" s="1"/>
      <c r="C959" s="1"/>
      <c r="D959" s="1"/>
      <c r="E959" s="1"/>
      <c r="F959" s="2"/>
      <c r="G959" s="1"/>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row>
    <row r="960" ht="15.75" customHeight="1">
      <c r="A960" s="1"/>
      <c r="B960" s="1"/>
      <c r="C960" s="1"/>
      <c r="D960" s="1"/>
      <c r="E960" s="1"/>
      <c r="F960" s="2"/>
      <c r="G960" s="1"/>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row>
    <row r="961" ht="15.75" customHeight="1">
      <c r="A961" s="1"/>
      <c r="B961" s="1"/>
      <c r="C961" s="1"/>
      <c r="D961" s="1"/>
      <c r="E961" s="1"/>
      <c r="F961" s="2"/>
      <c r="G961" s="1"/>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row>
    <row r="962" ht="15.75" customHeight="1">
      <c r="A962" s="1"/>
      <c r="B962" s="1"/>
      <c r="C962" s="1"/>
      <c r="D962" s="1"/>
      <c r="E962" s="1"/>
      <c r="F962" s="2"/>
      <c r="G962" s="1"/>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row>
    <row r="963" ht="15.75" customHeight="1">
      <c r="A963" s="1"/>
      <c r="B963" s="1"/>
      <c r="C963" s="1"/>
      <c r="D963" s="1"/>
      <c r="E963" s="1"/>
      <c r="F963" s="2"/>
      <c r="G963" s="1"/>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row>
    <row r="964" ht="15.75" customHeight="1">
      <c r="A964" s="1"/>
      <c r="B964" s="1"/>
      <c r="C964" s="1"/>
      <c r="D964" s="1"/>
      <c r="E964" s="1"/>
      <c r="F964" s="2"/>
      <c r="G964" s="1"/>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row>
  </sheetData>
  <conditionalFormatting sqref="F121:AO121 D125">
    <cfRule type="cellIs" dxfId="0" priority="1" stopIfTrue="1" operator="notEqual">
      <formula>0</formula>
    </cfRule>
  </conditionalFormatting>
  <conditionalFormatting sqref="AR5:AS118">
    <cfRule type="cellIs" dxfId="0" priority="2"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30.29"/>
    <col customWidth="1" min="6" max="6" width="12.86"/>
    <col customWidth="1" min="7" max="7" width="11.43"/>
    <col customWidth="1" min="8" max="14" width="10.86"/>
    <col customWidth="1" min="15" max="15" width="8.86"/>
    <col customWidth="1" min="16" max="32" width="8.0"/>
  </cols>
  <sheetData>
    <row r="1">
      <c r="A1" s="104"/>
      <c r="B1" s="61"/>
      <c r="C1" s="61"/>
      <c r="D1" s="1"/>
      <c r="E1" s="1"/>
      <c r="F1" s="1"/>
      <c r="G1" s="1"/>
      <c r="H1" s="1"/>
      <c r="I1" s="1"/>
      <c r="J1" s="1"/>
      <c r="K1" s="1"/>
      <c r="L1" s="1"/>
      <c r="M1" s="1"/>
      <c r="N1" s="1"/>
      <c r="O1" s="3"/>
      <c r="P1" s="3"/>
      <c r="Q1" s="3"/>
      <c r="R1" s="3"/>
      <c r="S1" s="3"/>
      <c r="T1" s="3"/>
      <c r="U1" s="3"/>
      <c r="V1" s="3"/>
      <c r="W1" s="3"/>
      <c r="X1" s="3"/>
      <c r="Y1" s="3"/>
      <c r="Z1" s="3"/>
      <c r="AA1" s="3"/>
      <c r="AB1" s="3"/>
      <c r="AC1" s="3"/>
      <c r="AD1" s="3"/>
      <c r="AE1" s="3"/>
      <c r="AF1" s="3"/>
    </row>
    <row r="2" ht="15.75" customHeight="1">
      <c r="A2" s="105" t="s">
        <v>5190</v>
      </c>
      <c r="B2" s="64"/>
      <c r="C2" s="64"/>
      <c r="D2" s="64"/>
      <c r="E2" s="64"/>
      <c r="F2" s="64"/>
      <c r="G2" s="64"/>
      <c r="H2" s="64"/>
      <c r="I2" s="64"/>
      <c r="J2" s="64"/>
      <c r="K2" s="64"/>
      <c r="L2" s="64"/>
      <c r="M2" s="64"/>
      <c r="N2" s="65"/>
      <c r="O2" s="107"/>
      <c r="P2" s="107"/>
      <c r="Q2" s="107"/>
      <c r="R2" s="107"/>
      <c r="S2" s="107"/>
      <c r="T2" s="107"/>
      <c r="U2" s="107"/>
      <c r="V2" s="107"/>
      <c r="W2" s="107"/>
      <c r="X2" s="107"/>
      <c r="Y2" s="107"/>
      <c r="Z2" s="107"/>
      <c r="AA2" s="107"/>
      <c r="AB2" s="107"/>
      <c r="AC2" s="107"/>
      <c r="AD2" s="107"/>
      <c r="AE2" s="107"/>
      <c r="AF2" s="107"/>
    </row>
    <row r="3">
      <c r="A3" s="145"/>
      <c r="B3" s="145"/>
      <c r="C3" s="145"/>
      <c r="D3" s="145"/>
      <c r="E3" s="145"/>
      <c r="F3" s="145"/>
      <c r="G3" s="145"/>
      <c r="H3" s="145"/>
      <c r="I3" s="145"/>
      <c r="J3" s="145"/>
      <c r="K3" s="145"/>
      <c r="L3" s="145"/>
      <c r="M3" s="145"/>
      <c r="N3" s="145"/>
      <c r="O3" s="107"/>
      <c r="P3" s="107"/>
      <c r="Q3" s="107"/>
      <c r="R3" s="107"/>
      <c r="S3" s="107"/>
      <c r="T3" s="107"/>
      <c r="U3" s="107"/>
      <c r="V3" s="107"/>
      <c r="W3" s="107"/>
      <c r="X3" s="107"/>
      <c r="Y3" s="107"/>
      <c r="Z3" s="107"/>
      <c r="AA3" s="107"/>
      <c r="AB3" s="107"/>
      <c r="AC3" s="107"/>
      <c r="AD3" s="107"/>
      <c r="AE3" s="107"/>
      <c r="AF3" s="107"/>
    </row>
    <row r="4" ht="28.5" customHeight="1">
      <c r="A4" s="108" t="s">
        <v>5191</v>
      </c>
      <c r="B4" s="64"/>
      <c r="C4" s="64"/>
      <c r="D4" s="64"/>
      <c r="E4" s="64"/>
      <c r="F4" s="64"/>
      <c r="G4" s="64"/>
      <c r="H4" s="64"/>
      <c r="I4" s="64"/>
      <c r="J4" s="64"/>
      <c r="K4" s="64"/>
      <c r="L4" s="64"/>
      <c r="M4" s="64"/>
      <c r="N4" s="65"/>
      <c r="O4" s="107"/>
      <c r="P4" s="107"/>
      <c r="Q4" s="107"/>
      <c r="R4" s="107"/>
      <c r="S4" s="107"/>
      <c r="T4" s="107"/>
      <c r="U4" s="107"/>
      <c r="V4" s="107"/>
      <c r="W4" s="107"/>
      <c r="X4" s="107"/>
      <c r="Y4" s="107"/>
      <c r="Z4" s="107"/>
      <c r="AA4" s="107"/>
      <c r="AB4" s="107"/>
      <c r="AC4" s="107"/>
      <c r="AD4" s="107"/>
      <c r="AE4" s="107"/>
      <c r="AF4" s="107"/>
    </row>
    <row r="5" ht="28.5" customHeight="1">
      <c r="A5" s="108" t="s">
        <v>5192</v>
      </c>
      <c r="B5" s="64"/>
      <c r="C5" s="64"/>
      <c r="D5" s="64"/>
      <c r="E5" s="64"/>
      <c r="F5" s="64"/>
      <c r="G5" s="64"/>
      <c r="H5" s="64"/>
      <c r="I5" s="64"/>
      <c r="J5" s="64"/>
      <c r="K5" s="64"/>
      <c r="L5" s="64"/>
      <c r="M5" s="64"/>
      <c r="N5" s="65"/>
      <c r="O5" s="107"/>
      <c r="P5" s="107"/>
      <c r="Q5" s="107"/>
      <c r="R5" s="107"/>
      <c r="S5" s="107"/>
      <c r="T5" s="107"/>
      <c r="U5" s="107"/>
      <c r="V5" s="107"/>
      <c r="W5" s="107"/>
      <c r="X5" s="107"/>
      <c r="Y5" s="107"/>
      <c r="Z5" s="107"/>
      <c r="AA5" s="107"/>
      <c r="AB5" s="107"/>
      <c r="AC5" s="107"/>
      <c r="AD5" s="107"/>
      <c r="AE5" s="107"/>
      <c r="AF5" s="107"/>
    </row>
    <row r="6" ht="24.0" customHeight="1">
      <c r="A6" s="108" t="s">
        <v>5193</v>
      </c>
      <c r="B6" s="64"/>
      <c r="C6" s="64"/>
      <c r="D6" s="64"/>
      <c r="E6" s="64"/>
      <c r="F6" s="64"/>
      <c r="G6" s="64"/>
      <c r="H6" s="64"/>
      <c r="I6" s="64"/>
      <c r="J6" s="64"/>
      <c r="K6" s="64"/>
      <c r="L6" s="64"/>
      <c r="M6" s="64"/>
      <c r="N6" s="65"/>
      <c r="O6" s="107"/>
      <c r="P6" s="107"/>
      <c r="Q6" s="107"/>
      <c r="R6" s="107"/>
      <c r="S6" s="107"/>
      <c r="T6" s="107"/>
      <c r="U6" s="107"/>
      <c r="V6" s="107"/>
      <c r="W6" s="107"/>
      <c r="X6" s="107"/>
      <c r="Y6" s="107"/>
      <c r="Z6" s="107"/>
      <c r="AA6" s="107"/>
      <c r="AB6" s="107"/>
      <c r="AC6" s="107"/>
      <c r="AD6" s="107"/>
      <c r="AE6" s="107"/>
      <c r="AF6" s="107"/>
    </row>
    <row r="7">
      <c r="A7" s="108" t="s">
        <v>5194</v>
      </c>
      <c r="B7" s="64"/>
      <c r="C7" s="64"/>
      <c r="D7" s="64"/>
      <c r="E7" s="64"/>
      <c r="F7" s="64"/>
      <c r="G7" s="64"/>
      <c r="H7" s="64"/>
      <c r="I7" s="64"/>
      <c r="J7" s="64"/>
      <c r="K7" s="64"/>
      <c r="L7" s="64"/>
      <c r="M7" s="64"/>
      <c r="N7" s="65"/>
      <c r="O7" s="107"/>
      <c r="P7" s="107"/>
      <c r="Q7" s="107"/>
      <c r="R7" s="107"/>
      <c r="S7" s="107"/>
      <c r="T7" s="107"/>
      <c r="U7" s="107"/>
      <c r="V7" s="107"/>
      <c r="W7" s="107"/>
      <c r="X7" s="107"/>
      <c r="Y7" s="107"/>
      <c r="Z7" s="107"/>
      <c r="AA7" s="107"/>
      <c r="AB7" s="107"/>
      <c r="AC7" s="107"/>
      <c r="AD7" s="107"/>
      <c r="AE7" s="107"/>
      <c r="AF7" s="107"/>
    </row>
    <row r="8" ht="88.5" customHeight="1">
      <c r="A8" s="108" t="s">
        <v>5195</v>
      </c>
      <c r="B8" s="64"/>
      <c r="C8" s="64"/>
      <c r="D8" s="64"/>
      <c r="E8" s="64"/>
      <c r="F8" s="64"/>
      <c r="G8" s="64"/>
      <c r="H8" s="64"/>
      <c r="I8" s="64"/>
      <c r="J8" s="64"/>
      <c r="K8" s="64"/>
      <c r="L8" s="64"/>
      <c r="M8" s="64"/>
      <c r="N8" s="65"/>
      <c r="O8" s="107"/>
      <c r="P8" s="107"/>
      <c r="Q8" s="107"/>
      <c r="R8" s="107"/>
      <c r="S8" s="107"/>
      <c r="T8" s="107"/>
      <c r="U8" s="107"/>
      <c r="V8" s="107"/>
      <c r="W8" s="107"/>
      <c r="X8" s="107"/>
      <c r="Y8" s="107"/>
      <c r="Z8" s="107"/>
      <c r="AA8" s="107"/>
      <c r="AB8" s="107"/>
      <c r="AC8" s="107"/>
      <c r="AD8" s="107"/>
      <c r="AE8" s="107"/>
      <c r="AF8" s="107"/>
    </row>
    <row r="9">
      <c r="A9" s="109"/>
      <c r="B9" s="110"/>
      <c r="C9" s="110"/>
      <c r="D9" s="109"/>
      <c r="E9" s="109"/>
      <c r="F9" s="109"/>
      <c r="G9" s="109"/>
      <c r="H9" s="109"/>
      <c r="I9" s="109"/>
      <c r="J9" s="109"/>
      <c r="K9" s="109"/>
      <c r="L9" s="109"/>
      <c r="M9" s="109"/>
      <c r="N9" s="109"/>
      <c r="O9" s="107"/>
      <c r="P9" s="107"/>
      <c r="Q9" s="107"/>
      <c r="R9" s="107"/>
      <c r="S9" s="107"/>
      <c r="T9" s="107"/>
      <c r="U9" s="107"/>
      <c r="V9" s="107"/>
      <c r="W9" s="107"/>
      <c r="X9" s="107"/>
      <c r="Y9" s="107"/>
      <c r="Z9" s="107"/>
      <c r="AA9" s="107"/>
      <c r="AB9" s="107"/>
      <c r="AC9" s="107"/>
      <c r="AD9" s="107"/>
      <c r="AE9" s="107"/>
      <c r="AF9" s="107"/>
    </row>
    <row r="10" ht="51.0" customHeight="1">
      <c r="A10" s="241" t="s">
        <v>5196</v>
      </c>
      <c r="B10" s="241" t="s">
        <v>5197</v>
      </c>
      <c r="C10" s="242" t="s">
        <v>201</v>
      </c>
      <c r="D10" s="243" t="s">
        <v>8</v>
      </c>
      <c r="E10" s="243" t="s">
        <v>5198</v>
      </c>
      <c r="F10" s="241" t="s">
        <v>5199</v>
      </c>
      <c r="G10" s="243" t="s">
        <v>5200</v>
      </c>
      <c r="H10" s="244" t="s">
        <v>209</v>
      </c>
      <c r="I10" s="244" t="s">
        <v>5201</v>
      </c>
      <c r="J10" s="244" t="s">
        <v>214</v>
      </c>
      <c r="K10" s="244" t="s">
        <v>215</v>
      </c>
      <c r="L10" s="244" t="s">
        <v>216</v>
      </c>
      <c r="M10" s="242" t="s">
        <v>217</v>
      </c>
      <c r="N10" s="243" t="s">
        <v>221</v>
      </c>
      <c r="O10" s="113" t="s">
        <v>222</v>
      </c>
      <c r="P10" s="107"/>
      <c r="Q10" s="107"/>
      <c r="R10" s="107"/>
      <c r="S10" s="107"/>
      <c r="T10" s="107"/>
      <c r="U10" s="107"/>
      <c r="V10" s="107"/>
      <c r="W10" s="107"/>
      <c r="X10" s="107"/>
      <c r="Y10" s="107"/>
      <c r="Z10" s="107"/>
      <c r="AA10" s="107"/>
      <c r="AB10" s="107"/>
      <c r="AC10" s="107"/>
      <c r="AD10" s="107"/>
      <c r="AE10" s="107"/>
      <c r="AF10" s="107"/>
    </row>
    <row r="11" ht="15.0" customHeight="1">
      <c r="A11" s="224" t="s">
        <v>5202</v>
      </c>
      <c r="B11" s="224" t="s">
        <v>5203</v>
      </c>
      <c r="C11" s="224" t="s">
        <v>5204</v>
      </c>
      <c r="D11" s="224" t="s">
        <v>5205</v>
      </c>
      <c r="E11" s="224" t="s">
        <v>5206</v>
      </c>
      <c r="F11" s="224"/>
      <c r="G11" s="245" t="s">
        <v>5207</v>
      </c>
      <c r="H11" s="246"/>
      <c r="I11" s="245" t="s">
        <v>5208</v>
      </c>
      <c r="J11" s="245">
        <v>5.0</v>
      </c>
      <c r="K11" s="245">
        <v>4.0</v>
      </c>
      <c r="L11" s="245">
        <v>5.0</v>
      </c>
      <c r="M11" s="245">
        <v>100.0</v>
      </c>
      <c r="N11" s="247">
        <v>20.0</v>
      </c>
      <c r="O11" s="224" t="s">
        <v>73</v>
      </c>
    </row>
    <row r="12" ht="15.0" customHeight="1">
      <c r="A12" s="224" t="s">
        <v>5209</v>
      </c>
      <c r="B12" s="224" t="s">
        <v>5203</v>
      </c>
      <c r="C12" s="224" t="s">
        <v>1764</v>
      </c>
      <c r="D12" s="224" t="s">
        <v>52</v>
      </c>
      <c r="E12" s="224" t="s">
        <v>5210</v>
      </c>
      <c r="F12" s="224" t="s">
        <v>5211</v>
      </c>
      <c r="G12" s="248" t="s">
        <v>5212</v>
      </c>
      <c r="H12" s="245"/>
      <c r="I12" s="245" t="s">
        <v>5213</v>
      </c>
      <c r="J12" s="245">
        <v>1.0</v>
      </c>
      <c r="K12" s="245">
        <v>1.0</v>
      </c>
      <c r="L12" s="245">
        <v>1.0</v>
      </c>
      <c r="M12" s="245">
        <v>100.0</v>
      </c>
      <c r="N12" s="247">
        <f>M12</f>
        <v>100</v>
      </c>
      <c r="O12" s="224" t="s">
        <v>1764</v>
      </c>
    </row>
    <row r="13" ht="15.0" customHeight="1">
      <c r="A13" s="224" t="s">
        <v>5202</v>
      </c>
      <c r="B13" s="224" t="s">
        <v>5214</v>
      </c>
      <c r="C13" s="224" t="s">
        <v>5215</v>
      </c>
      <c r="D13" s="224" t="s">
        <v>52</v>
      </c>
      <c r="E13" s="224" t="s">
        <v>5216</v>
      </c>
      <c r="F13" s="224" t="s">
        <v>5217</v>
      </c>
      <c r="G13" s="245" t="s">
        <v>5218</v>
      </c>
      <c r="H13" s="246" t="s">
        <v>5219</v>
      </c>
      <c r="I13" s="245" t="s">
        <v>5220</v>
      </c>
      <c r="J13" s="245">
        <v>5.0</v>
      </c>
      <c r="K13" s="245">
        <v>4.0</v>
      </c>
      <c r="L13" s="245">
        <v>5.0</v>
      </c>
      <c r="M13" s="245">
        <v>100.0</v>
      </c>
      <c r="N13" s="247">
        <f t="shared" ref="N13:N14" si="1">M13/L13</f>
        <v>20</v>
      </c>
      <c r="O13" s="224" t="s">
        <v>296</v>
      </c>
    </row>
    <row r="14" ht="15.0" customHeight="1">
      <c r="A14" s="224" t="s">
        <v>5221</v>
      </c>
      <c r="B14" s="224" t="s">
        <v>5203</v>
      </c>
      <c r="C14" s="224" t="s">
        <v>5222</v>
      </c>
      <c r="D14" s="224" t="s">
        <v>52</v>
      </c>
      <c r="E14" s="224" t="s">
        <v>5223</v>
      </c>
      <c r="F14" s="224" t="s">
        <v>5224</v>
      </c>
      <c r="G14" s="245" t="s">
        <v>5225</v>
      </c>
      <c r="H14" s="245" t="s">
        <v>5226</v>
      </c>
      <c r="I14" s="245" t="s">
        <v>5227</v>
      </c>
      <c r="J14" s="245">
        <v>5.0</v>
      </c>
      <c r="K14" s="245">
        <v>5.0</v>
      </c>
      <c r="L14" s="245">
        <v>5.0</v>
      </c>
      <c r="M14" s="245">
        <v>100.0</v>
      </c>
      <c r="N14" s="247">
        <f t="shared" si="1"/>
        <v>20</v>
      </c>
      <c r="O14" s="224" t="s">
        <v>90</v>
      </c>
    </row>
    <row r="15" ht="15.0" customHeight="1">
      <c r="A15" s="224" t="s">
        <v>5221</v>
      </c>
      <c r="B15" s="224" t="s">
        <v>5214</v>
      </c>
      <c r="C15" s="224" t="s">
        <v>5228</v>
      </c>
      <c r="D15" s="224" t="s">
        <v>52</v>
      </c>
      <c r="E15" s="224" t="s">
        <v>5229</v>
      </c>
      <c r="F15" s="224" t="s">
        <v>5224</v>
      </c>
      <c r="G15" s="245" t="s">
        <v>5230</v>
      </c>
      <c r="H15" s="245" t="s">
        <v>5231</v>
      </c>
      <c r="I15" s="249" t="s">
        <v>5227</v>
      </c>
      <c r="J15" s="245"/>
      <c r="K15" s="245">
        <v>5.0</v>
      </c>
      <c r="L15" s="245">
        <v>5.0</v>
      </c>
      <c r="M15" s="245">
        <v>100.0</v>
      </c>
      <c r="N15" s="247">
        <v>20.0</v>
      </c>
      <c r="O15" s="224" t="s">
        <v>67</v>
      </c>
    </row>
    <row r="16" ht="15.0" customHeight="1">
      <c r="A16" s="224" t="s">
        <v>5221</v>
      </c>
      <c r="B16" s="224" t="s">
        <v>5203</v>
      </c>
      <c r="C16" s="224" t="s">
        <v>5222</v>
      </c>
      <c r="D16" s="224" t="s">
        <v>52</v>
      </c>
      <c r="E16" s="224" t="s">
        <v>5223</v>
      </c>
      <c r="F16" s="224" t="s">
        <v>5224</v>
      </c>
      <c r="G16" s="245" t="s">
        <v>5225</v>
      </c>
      <c r="H16" s="245" t="s">
        <v>5226</v>
      </c>
      <c r="I16" s="245" t="s">
        <v>5227</v>
      </c>
      <c r="J16" s="245">
        <v>5.0</v>
      </c>
      <c r="K16" s="245">
        <v>5.0</v>
      </c>
      <c r="L16" s="245">
        <v>5.0</v>
      </c>
      <c r="M16" s="245">
        <v>100.0</v>
      </c>
      <c r="N16" s="247">
        <f t="shared" ref="N16:N17" si="2">M16/L16</f>
        <v>20</v>
      </c>
      <c r="O16" s="224" t="s">
        <v>91</v>
      </c>
    </row>
    <row r="17" ht="15.0" customHeight="1">
      <c r="A17" s="224" t="s">
        <v>5202</v>
      </c>
      <c r="B17" s="224" t="s">
        <v>5214</v>
      </c>
      <c r="C17" s="224" t="s">
        <v>5204</v>
      </c>
      <c r="D17" s="224" t="s">
        <v>52</v>
      </c>
      <c r="E17" s="224" t="s">
        <v>5232</v>
      </c>
      <c r="F17" s="224" t="s">
        <v>5233</v>
      </c>
      <c r="G17" s="245" t="s">
        <v>5218</v>
      </c>
      <c r="H17" s="245"/>
      <c r="I17" s="245" t="s">
        <v>5234</v>
      </c>
      <c r="J17" s="245">
        <v>5.0</v>
      </c>
      <c r="K17" s="245">
        <v>4.0</v>
      </c>
      <c r="L17" s="245">
        <v>5.0</v>
      </c>
      <c r="M17" s="245">
        <v>100.0</v>
      </c>
      <c r="N17" s="247">
        <f t="shared" si="2"/>
        <v>20</v>
      </c>
      <c r="O17" s="224" t="s">
        <v>515</v>
      </c>
    </row>
    <row r="18" ht="15.0" customHeight="1">
      <c r="A18" s="224" t="s">
        <v>5202</v>
      </c>
      <c r="B18" s="224" t="s">
        <v>5214</v>
      </c>
      <c r="C18" s="224" t="s">
        <v>5215</v>
      </c>
      <c r="D18" s="224" t="s">
        <v>52</v>
      </c>
      <c r="E18" s="224" t="s">
        <v>5216</v>
      </c>
      <c r="F18" s="224" t="s">
        <v>5217</v>
      </c>
      <c r="G18" s="245" t="s">
        <v>5218</v>
      </c>
      <c r="H18" s="250" t="s">
        <v>5219</v>
      </c>
      <c r="I18" s="245" t="s">
        <v>5220</v>
      </c>
      <c r="J18" s="245">
        <v>5.0</v>
      </c>
      <c r="K18" s="245">
        <v>4.0</v>
      </c>
      <c r="L18" s="245">
        <v>5.0</v>
      </c>
      <c r="M18" s="245">
        <v>100.0</v>
      </c>
      <c r="N18" s="247">
        <f t="shared" ref="N18:N19" si="3">M18/J18</f>
        <v>20</v>
      </c>
      <c r="O18" s="224" t="s">
        <v>528</v>
      </c>
    </row>
    <row r="19" ht="15.0" customHeight="1">
      <c r="A19" s="224" t="s">
        <v>5221</v>
      </c>
      <c r="B19" s="224" t="s">
        <v>5203</v>
      </c>
      <c r="C19" s="116" t="s">
        <v>5235</v>
      </c>
      <c r="D19" s="224" t="s">
        <v>52</v>
      </c>
      <c r="E19" s="224" t="s">
        <v>5236</v>
      </c>
      <c r="F19" s="224" t="s">
        <v>5237</v>
      </c>
      <c r="G19" s="245" t="s">
        <v>5238</v>
      </c>
      <c r="H19" s="245" t="s">
        <v>5239</v>
      </c>
      <c r="I19" s="224" t="s">
        <v>5227</v>
      </c>
      <c r="J19" s="245">
        <v>5.0</v>
      </c>
      <c r="K19" s="245">
        <v>5.0</v>
      </c>
      <c r="L19" s="245">
        <v>5.0</v>
      </c>
      <c r="M19" s="245">
        <v>100.0</v>
      </c>
      <c r="N19" s="247">
        <f t="shared" si="3"/>
        <v>20</v>
      </c>
      <c r="O19" s="224" t="s">
        <v>528</v>
      </c>
    </row>
    <row r="20" ht="15.0" customHeight="1">
      <c r="A20" s="224" t="s">
        <v>5240</v>
      </c>
      <c r="B20" s="224" t="s">
        <v>5214</v>
      </c>
      <c r="C20" s="224" t="s">
        <v>5241</v>
      </c>
      <c r="D20" s="224" t="s">
        <v>52</v>
      </c>
      <c r="E20" s="224" t="s">
        <v>5242</v>
      </c>
      <c r="F20" s="224"/>
      <c r="G20" s="245" t="s">
        <v>5243</v>
      </c>
      <c r="H20" s="246"/>
      <c r="I20" s="245" t="s">
        <v>5213</v>
      </c>
      <c r="J20" s="245">
        <v>2.0</v>
      </c>
      <c r="K20" s="245">
        <v>2.0</v>
      </c>
      <c r="L20" s="245">
        <v>2.0</v>
      </c>
      <c r="M20" s="245">
        <v>50.0</v>
      </c>
      <c r="N20" s="247">
        <v>25.0</v>
      </c>
      <c r="O20" s="224" t="s">
        <v>89</v>
      </c>
    </row>
    <row r="21" ht="15.0" customHeight="1">
      <c r="A21" s="224" t="s">
        <v>5244</v>
      </c>
      <c r="B21" s="224" t="s">
        <v>5203</v>
      </c>
      <c r="C21" s="224" t="s">
        <v>5245</v>
      </c>
      <c r="D21" s="224" t="s">
        <v>52</v>
      </c>
      <c r="E21" s="224" t="s">
        <v>5246</v>
      </c>
      <c r="F21" s="224" t="s">
        <v>5247</v>
      </c>
      <c r="G21" s="245" t="s">
        <v>5248</v>
      </c>
      <c r="H21" s="246" t="s">
        <v>5249</v>
      </c>
      <c r="I21" s="245" t="s">
        <v>5250</v>
      </c>
      <c r="J21" s="245">
        <v>1.0</v>
      </c>
      <c r="K21" s="245">
        <v>1.0</v>
      </c>
      <c r="L21" s="245">
        <v>2.0</v>
      </c>
      <c r="M21" s="245">
        <v>100.0</v>
      </c>
      <c r="N21" s="247">
        <v>100.0</v>
      </c>
      <c r="O21" s="224" t="s">
        <v>65</v>
      </c>
    </row>
    <row r="22" ht="15.0" customHeight="1">
      <c r="A22" s="224" t="s">
        <v>5251</v>
      </c>
      <c r="B22" s="224" t="s">
        <v>5203</v>
      </c>
      <c r="C22" s="224" t="s">
        <v>5252</v>
      </c>
      <c r="D22" s="224" t="s">
        <v>182</v>
      </c>
      <c r="E22" s="224" t="s">
        <v>5253</v>
      </c>
      <c r="F22" s="224" t="s">
        <v>5254</v>
      </c>
      <c r="G22" s="245" t="s">
        <v>5255</v>
      </c>
      <c r="H22" s="246" t="s">
        <v>5256</v>
      </c>
      <c r="I22" s="245" t="s">
        <v>5257</v>
      </c>
      <c r="J22" s="245">
        <v>4.0</v>
      </c>
      <c r="K22" s="245">
        <v>3.0</v>
      </c>
      <c r="L22" s="245">
        <v>4.0</v>
      </c>
      <c r="M22" s="245">
        <v>100.0</v>
      </c>
      <c r="N22" s="247">
        <v>25.0</v>
      </c>
      <c r="O22" s="224" t="s">
        <v>5258</v>
      </c>
    </row>
    <row r="23" ht="15.0" customHeight="1">
      <c r="A23" s="116" t="s">
        <v>5259</v>
      </c>
      <c r="B23" s="224" t="s">
        <v>5203</v>
      </c>
      <c r="C23" s="116" t="s">
        <v>5260</v>
      </c>
      <c r="D23" s="116" t="s">
        <v>182</v>
      </c>
      <c r="E23" s="116" t="s">
        <v>5261</v>
      </c>
      <c r="F23" s="224" t="s">
        <v>5262</v>
      </c>
      <c r="G23" s="251" t="s">
        <v>5263</v>
      </c>
      <c r="H23" s="116" t="s">
        <v>5264</v>
      </c>
      <c r="I23" s="245"/>
      <c r="J23" s="245">
        <v>2.0</v>
      </c>
      <c r="K23" s="245">
        <v>2.0</v>
      </c>
      <c r="L23" s="245">
        <v>2.0</v>
      </c>
      <c r="M23" s="245">
        <v>50.0</v>
      </c>
      <c r="N23" s="247">
        <v>25.0</v>
      </c>
      <c r="O23" s="224" t="s">
        <v>566</v>
      </c>
    </row>
    <row r="24" ht="15.0" customHeight="1">
      <c r="A24" s="224" t="s">
        <v>5265</v>
      </c>
      <c r="B24" s="224" t="s">
        <v>5203</v>
      </c>
      <c r="C24" s="224" t="s">
        <v>5266</v>
      </c>
      <c r="D24" s="224" t="s">
        <v>94</v>
      </c>
      <c r="E24" s="224" t="s">
        <v>5267</v>
      </c>
      <c r="F24" s="224" t="s">
        <v>5268</v>
      </c>
      <c r="G24" s="245" t="s">
        <v>5269</v>
      </c>
      <c r="H24" s="245"/>
      <c r="I24" s="245" t="s">
        <v>5270</v>
      </c>
      <c r="J24" s="245">
        <v>3.0</v>
      </c>
      <c r="K24" s="245">
        <v>3.0</v>
      </c>
      <c r="L24" s="245">
        <v>3.0</v>
      </c>
      <c r="M24" s="245">
        <v>150.0</v>
      </c>
      <c r="N24" s="247">
        <f t="shared" ref="N24:N25" si="4">M24/3</f>
        <v>50</v>
      </c>
      <c r="O24" s="224" t="s">
        <v>2704</v>
      </c>
    </row>
    <row r="25" ht="15.0" customHeight="1">
      <c r="A25" s="224" t="s">
        <v>5271</v>
      </c>
      <c r="B25" s="224" t="s">
        <v>5203</v>
      </c>
      <c r="C25" s="224" t="s">
        <v>5272</v>
      </c>
      <c r="D25" s="224" t="s">
        <v>94</v>
      </c>
      <c r="E25" s="224" t="s">
        <v>5273</v>
      </c>
      <c r="F25" s="224" t="s">
        <v>5268</v>
      </c>
      <c r="G25" s="245" t="s">
        <v>5274</v>
      </c>
      <c r="H25" s="245"/>
      <c r="I25" s="245" t="s">
        <v>5270</v>
      </c>
      <c r="J25" s="245">
        <v>3.0</v>
      </c>
      <c r="K25" s="245">
        <v>3.0</v>
      </c>
      <c r="L25" s="245">
        <v>3.0</v>
      </c>
      <c r="M25" s="245">
        <v>150.0</v>
      </c>
      <c r="N25" s="247">
        <f t="shared" si="4"/>
        <v>50</v>
      </c>
      <c r="O25" s="224" t="s">
        <v>2704</v>
      </c>
    </row>
    <row r="26" ht="15.0" customHeight="1">
      <c r="A26" s="224" t="s">
        <v>5275</v>
      </c>
      <c r="B26" s="224" t="s">
        <v>5203</v>
      </c>
      <c r="C26" s="224" t="s">
        <v>5276</v>
      </c>
      <c r="D26" s="224" t="s">
        <v>94</v>
      </c>
      <c r="E26" s="224" t="s">
        <v>5277</v>
      </c>
      <c r="F26" s="224"/>
      <c r="G26" s="245" t="s">
        <v>5278</v>
      </c>
      <c r="H26" s="245"/>
      <c r="I26" s="246" t="s">
        <v>5279</v>
      </c>
      <c r="J26" s="245">
        <v>2.0</v>
      </c>
      <c r="K26" s="245">
        <v>2.0</v>
      </c>
      <c r="L26" s="245">
        <v>3.0</v>
      </c>
      <c r="M26" s="245">
        <v>100.0</v>
      </c>
      <c r="N26" s="247">
        <f t="shared" ref="N26:N34" si="5">M26/K26</f>
        <v>50</v>
      </c>
      <c r="O26" s="224" t="s">
        <v>616</v>
      </c>
    </row>
    <row r="27" ht="15.0" customHeight="1">
      <c r="A27" s="224" t="s">
        <v>5280</v>
      </c>
      <c r="B27" s="224" t="s">
        <v>5203</v>
      </c>
      <c r="C27" s="224" t="s">
        <v>5281</v>
      </c>
      <c r="D27" s="224" t="s">
        <v>94</v>
      </c>
      <c r="E27" s="224" t="s">
        <v>5277</v>
      </c>
      <c r="F27" s="224"/>
      <c r="G27" s="245" t="s">
        <v>5282</v>
      </c>
      <c r="H27" s="245"/>
      <c r="I27" s="246" t="s">
        <v>5283</v>
      </c>
      <c r="J27" s="245">
        <v>2.0</v>
      </c>
      <c r="K27" s="245">
        <v>2.0</v>
      </c>
      <c r="L27" s="245">
        <v>4.0</v>
      </c>
      <c r="M27" s="245">
        <v>100.0</v>
      </c>
      <c r="N27" s="247">
        <f t="shared" si="5"/>
        <v>50</v>
      </c>
      <c r="O27" s="224" t="s">
        <v>616</v>
      </c>
    </row>
    <row r="28" ht="15.0" customHeight="1">
      <c r="A28" s="224" t="s">
        <v>5284</v>
      </c>
      <c r="B28" s="224" t="s">
        <v>5203</v>
      </c>
      <c r="C28" s="224" t="s">
        <v>5285</v>
      </c>
      <c r="D28" s="224" t="s">
        <v>94</v>
      </c>
      <c r="E28" s="224" t="s">
        <v>5286</v>
      </c>
      <c r="F28" s="224" t="s">
        <v>5287</v>
      </c>
      <c r="G28" s="245" t="s">
        <v>5288</v>
      </c>
      <c r="H28" s="245" t="s">
        <v>5289</v>
      </c>
      <c r="I28" s="246" t="s">
        <v>5290</v>
      </c>
      <c r="J28" s="245">
        <v>3.0</v>
      </c>
      <c r="K28" s="245">
        <v>3.0</v>
      </c>
      <c r="L28" s="245">
        <v>3.0</v>
      </c>
      <c r="M28" s="245">
        <v>100.0</v>
      </c>
      <c r="N28" s="247">
        <f t="shared" si="5"/>
        <v>33.33333333</v>
      </c>
      <c r="O28" s="224" t="s">
        <v>616</v>
      </c>
    </row>
    <row r="29" ht="15.0" customHeight="1">
      <c r="A29" s="224" t="s">
        <v>5291</v>
      </c>
      <c r="B29" s="224" t="s">
        <v>5203</v>
      </c>
      <c r="C29" s="224" t="s">
        <v>5292</v>
      </c>
      <c r="D29" s="224" t="s">
        <v>94</v>
      </c>
      <c r="E29" s="224" t="s">
        <v>5293</v>
      </c>
      <c r="F29" s="224" t="s">
        <v>5294</v>
      </c>
      <c r="G29" s="245" t="s">
        <v>5295</v>
      </c>
      <c r="H29" s="245" t="s">
        <v>5296</v>
      </c>
      <c r="I29" s="246" t="s">
        <v>5297</v>
      </c>
      <c r="J29" s="245">
        <v>2.0</v>
      </c>
      <c r="K29" s="245">
        <v>2.0</v>
      </c>
      <c r="L29" s="245">
        <v>2.0</v>
      </c>
      <c r="M29" s="245">
        <v>100.0</v>
      </c>
      <c r="N29" s="247">
        <f t="shared" si="5"/>
        <v>50</v>
      </c>
      <c r="O29" s="224" t="s">
        <v>616</v>
      </c>
    </row>
    <row r="30" ht="15.0" customHeight="1">
      <c r="A30" s="224" t="s">
        <v>5298</v>
      </c>
      <c r="B30" s="224" t="s">
        <v>5203</v>
      </c>
      <c r="C30" s="224" t="s">
        <v>5299</v>
      </c>
      <c r="D30" s="224" t="s">
        <v>94</v>
      </c>
      <c r="E30" s="224" t="s">
        <v>5293</v>
      </c>
      <c r="F30" s="224" t="s">
        <v>5294</v>
      </c>
      <c r="G30" s="245" t="s">
        <v>5300</v>
      </c>
      <c r="H30" s="245" t="s">
        <v>5301</v>
      </c>
      <c r="I30" s="246" t="s">
        <v>5302</v>
      </c>
      <c r="J30" s="245">
        <v>2.0</v>
      </c>
      <c r="K30" s="245">
        <v>2.0</v>
      </c>
      <c r="L30" s="245">
        <v>3.0</v>
      </c>
      <c r="M30" s="245">
        <v>100.0</v>
      </c>
      <c r="N30" s="247">
        <f t="shared" si="5"/>
        <v>50</v>
      </c>
      <c r="O30" s="224" t="s">
        <v>616</v>
      </c>
    </row>
    <row r="31" ht="15.0" customHeight="1">
      <c r="A31" s="224" t="s">
        <v>5303</v>
      </c>
      <c r="B31" s="224" t="s">
        <v>5203</v>
      </c>
      <c r="C31" s="224" t="s">
        <v>5304</v>
      </c>
      <c r="D31" s="224" t="s">
        <v>94</v>
      </c>
      <c r="E31" s="224" t="s">
        <v>5305</v>
      </c>
      <c r="F31" s="224" t="s">
        <v>5306</v>
      </c>
      <c r="G31" s="245" t="s">
        <v>5307</v>
      </c>
      <c r="H31" s="245" t="s">
        <v>5308</v>
      </c>
      <c r="I31" s="246" t="s">
        <v>5309</v>
      </c>
      <c r="J31" s="245">
        <v>4.0</v>
      </c>
      <c r="K31" s="245">
        <v>4.0</v>
      </c>
      <c r="L31" s="245">
        <v>5.0</v>
      </c>
      <c r="M31" s="245">
        <v>100.0</v>
      </c>
      <c r="N31" s="247">
        <f t="shared" si="5"/>
        <v>25</v>
      </c>
      <c r="O31" s="224" t="s">
        <v>616</v>
      </c>
    </row>
    <row r="32" ht="15.0" customHeight="1">
      <c r="A32" s="224" t="s">
        <v>5310</v>
      </c>
      <c r="B32" s="224" t="s">
        <v>5203</v>
      </c>
      <c r="C32" s="224" t="s">
        <v>5311</v>
      </c>
      <c r="D32" s="224" t="s">
        <v>94</v>
      </c>
      <c r="E32" s="224" t="s">
        <v>5312</v>
      </c>
      <c r="F32" s="224" t="s">
        <v>5313</v>
      </c>
      <c r="G32" s="245" t="s">
        <v>5314</v>
      </c>
      <c r="H32" s="245"/>
      <c r="I32" s="250" t="s">
        <v>5315</v>
      </c>
      <c r="J32" s="245">
        <v>1.0</v>
      </c>
      <c r="K32" s="245">
        <v>1.0</v>
      </c>
      <c r="L32" s="245">
        <v>2.0</v>
      </c>
      <c r="M32" s="245">
        <v>50.0</v>
      </c>
      <c r="N32" s="247">
        <f t="shared" si="5"/>
        <v>50</v>
      </c>
      <c r="O32" s="224" t="s">
        <v>616</v>
      </c>
    </row>
    <row r="33" ht="15.0" customHeight="1">
      <c r="A33" s="224" t="s">
        <v>5316</v>
      </c>
      <c r="B33" s="224" t="s">
        <v>5203</v>
      </c>
      <c r="C33" s="224" t="s">
        <v>5317</v>
      </c>
      <c r="D33" s="224" t="s">
        <v>94</v>
      </c>
      <c r="E33" s="224" t="s">
        <v>5312</v>
      </c>
      <c r="F33" s="224" t="s">
        <v>5313</v>
      </c>
      <c r="G33" s="245" t="s">
        <v>5318</v>
      </c>
      <c r="H33" s="245"/>
      <c r="I33" s="250" t="s">
        <v>5315</v>
      </c>
      <c r="J33" s="245">
        <v>1.0</v>
      </c>
      <c r="K33" s="245">
        <v>1.0</v>
      </c>
      <c r="L33" s="245">
        <v>5.0</v>
      </c>
      <c r="M33" s="245">
        <v>50.0</v>
      </c>
      <c r="N33" s="247">
        <f t="shared" si="5"/>
        <v>50</v>
      </c>
      <c r="O33" s="224" t="s">
        <v>616</v>
      </c>
    </row>
    <row r="34" ht="15.0" customHeight="1">
      <c r="A34" s="224" t="s">
        <v>5319</v>
      </c>
      <c r="B34" s="224" t="s">
        <v>5203</v>
      </c>
      <c r="C34" s="224" t="s">
        <v>5311</v>
      </c>
      <c r="D34" s="224" t="s">
        <v>94</v>
      </c>
      <c r="E34" s="224" t="s">
        <v>5312</v>
      </c>
      <c r="F34" s="224" t="s">
        <v>5313</v>
      </c>
      <c r="G34" s="245" t="s">
        <v>5320</v>
      </c>
      <c r="H34" s="245"/>
      <c r="I34" s="250" t="s">
        <v>5315</v>
      </c>
      <c r="J34" s="245">
        <v>1.0</v>
      </c>
      <c r="K34" s="245">
        <v>1.0</v>
      </c>
      <c r="L34" s="245">
        <v>2.0</v>
      </c>
      <c r="M34" s="245">
        <v>50.0</v>
      </c>
      <c r="N34" s="247">
        <f t="shared" si="5"/>
        <v>50</v>
      </c>
      <c r="O34" s="224" t="s">
        <v>616</v>
      </c>
    </row>
    <row r="35" ht="15.0" customHeight="1">
      <c r="A35" s="224" t="s">
        <v>5321</v>
      </c>
      <c r="B35" s="224" t="s">
        <v>5203</v>
      </c>
      <c r="C35" s="224" t="s">
        <v>2860</v>
      </c>
      <c r="D35" s="224" t="s">
        <v>94</v>
      </c>
      <c r="E35" s="224" t="s">
        <v>5322</v>
      </c>
      <c r="F35" s="224" t="s">
        <v>5323</v>
      </c>
      <c r="G35" s="245" t="s">
        <v>5324</v>
      </c>
      <c r="H35" s="224" t="s">
        <v>5325</v>
      </c>
      <c r="I35" s="245" t="s">
        <v>5234</v>
      </c>
      <c r="J35" s="245"/>
      <c r="K35" s="245">
        <v>1.0</v>
      </c>
      <c r="L35" s="245">
        <v>1.0</v>
      </c>
      <c r="M35" s="245">
        <v>100.0</v>
      </c>
      <c r="N35" s="247">
        <v>100.0</v>
      </c>
      <c r="O35" s="224" t="s">
        <v>2853</v>
      </c>
    </row>
    <row r="36" ht="15.0" customHeight="1">
      <c r="A36" s="224" t="s">
        <v>5326</v>
      </c>
      <c r="B36" s="224" t="s">
        <v>5203</v>
      </c>
      <c r="C36" s="224" t="s">
        <v>5266</v>
      </c>
      <c r="D36" s="224" t="s">
        <v>5327</v>
      </c>
      <c r="E36" s="224" t="s">
        <v>5328</v>
      </c>
      <c r="F36" s="224" t="s">
        <v>5329</v>
      </c>
      <c r="G36" s="245" t="s">
        <v>5330</v>
      </c>
      <c r="H36" s="245"/>
      <c r="I36" s="245" t="s">
        <v>5270</v>
      </c>
      <c r="J36" s="245">
        <v>3.0</v>
      </c>
      <c r="K36" s="245">
        <v>3.0</v>
      </c>
      <c r="L36" s="245">
        <v>3.0</v>
      </c>
      <c r="M36" s="245">
        <v>150.0</v>
      </c>
      <c r="N36" s="247">
        <v>50.0</v>
      </c>
      <c r="O36" s="224" t="s">
        <v>5331</v>
      </c>
    </row>
    <row r="37" ht="15.0" customHeight="1">
      <c r="A37" s="224" t="s">
        <v>5332</v>
      </c>
      <c r="B37" s="224" t="s">
        <v>5203</v>
      </c>
      <c r="C37" s="224" t="s">
        <v>5266</v>
      </c>
      <c r="D37" s="224" t="s">
        <v>5333</v>
      </c>
      <c r="E37" s="224" t="s">
        <v>5334</v>
      </c>
      <c r="F37" s="224" t="s">
        <v>5329</v>
      </c>
      <c r="G37" s="245" t="s">
        <v>5335</v>
      </c>
      <c r="H37" s="245"/>
      <c r="I37" s="245" t="s">
        <v>5270</v>
      </c>
      <c r="J37" s="245">
        <v>3.0</v>
      </c>
      <c r="K37" s="245">
        <v>3.0</v>
      </c>
      <c r="L37" s="245">
        <v>3.0</v>
      </c>
      <c r="M37" s="245">
        <v>150.0</v>
      </c>
      <c r="N37" s="247">
        <v>50.0</v>
      </c>
      <c r="O37" s="224" t="s">
        <v>5331</v>
      </c>
    </row>
    <row r="38" ht="15.0" customHeight="1">
      <c r="A38" s="252" t="s">
        <v>5336</v>
      </c>
      <c r="B38" s="224" t="s">
        <v>5203</v>
      </c>
      <c r="C38" s="252" t="s">
        <v>5337</v>
      </c>
      <c r="D38" s="252" t="s">
        <v>94</v>
      </c>
      <c r="E38" s="224" t="s">
        <v>5338</v>
      </c>
      <c r="F38" s="224" t="s">
        <v>5339</v>
      </c>
      <c r="G38" s="245" t="s">
        <v>5340</v>
      </c>
      <c r="H38" s="245"/>
      <c r="I38" s="245"/>
      <c r="J38" s="245">
        <v>4.0</v>
      </c>
      <c r="K38" s="245">
        <v>4.0</v>
      </c>
      <c r="L38" s="245">
        <v>4.0</v>
      </c>
      <c r="M38" s="245">
        <v>50.0</v>
      </c>
      <c r="N38" s="247">
        <v>12.5</v>
      </c>
      <c r="O38" s="224" t="s">
        <v>646</v>
      </c>
    </row>
    <row r="39" ht="15.0" customHeight="1">
      <c r="A39" s="116" t="s">
        <v>5341</v>
      </c>
      <c r="B39" s="224" t="s">
        <v>5203</v>
      </c>
      <c r="C39" s="116" t="s">
        <v>5342</v>
      </c>
      <c r="D39" s="252" t="s">
        <v>94</v>
      </c>
      <c r="E39" s="224" t="s">
        <v>5338</v>
      </c>
      <c r="F39" s="224" t="s">
        <v>5339</v>
      </c>
      <c r="G39" s="245" t="s">
        <v>5343</v>
      </c>
      <c r="H39" s="245"/>
      <c r="I39" s="245"/>
      <c r="J39" s="245">
        <v>4.0</v>
      </c>
      <c r="K39" s="245">
        <v>4.0</v>
      </c>
      <c r="L39" s="245">
        <v>4.0</v>
      </c>
      <c r="M39" s="245">
        <v>50.0</v>
      </c>
      <c r="N39" s="247">
        <v>12.5</v>
      </c>
      <c r="O39" s="224" t="s">
        <v>646</v>
      </c>
    </row>
    <row r="40" ht="15.0" customHeight="1">
      <c r="A40" s="224" t="s">
        <v>5344</v>
      </c>
      <c r="B40" s="224" t="s">
        <v>5203</v>
      </c>
      <c r="C40" s="116" t="s">
        <v>5345</v>
      </c>
      <c r="D40" s="252" t="s">
        <v>94</v>
      </c>
      <c r="E40" s="224" t="s">
        <v>5346</v>
      </c>
      <c r="F40" s="224" t="s">
        <v>5347</v>
      </c>
      <c r="G40" s="245"/>
      <c r="H40" s="245"/>
      <c r="I40" s="245"/>
      <c r="J40" s="224">
        <v>4.0</v>
      </c>
      <c r="K40" s="245">
        <v>3.0</v>
      </c>
      <c r="L40" s="245">
        <v>4.0</v>
      </c>
      <c r="M40" s="245">
        <v>50.0</v>
      </c>
      <c r="N40" s="247">
        <v>12.5</v>
      </c>
      <c r="O40" s="224" t="s">
        <v>646</v>
      </c>
    </row>
    <row r="41" ht="15.0" customHeight="1">
      <c r="A41" s="224" t="s">
        <v>5348</v>
      </c>
      <c r="B41" s="224" t="s">
        <v>5203</v>
      </c>
      <c r="C41" s="224" t="s">
        <v>5349</v>
      </c>
      <c r="D41" s="224" t="s">
        <v>94</v>
      </c>
      <c r="E41" s="224" t="s">
        <v>5350</v>
      </c>
      <c r="F41" s="224" t="s">
        <v>5351</v>
      </c>
      <c r="G41" s="245" t="s">
        <v>5352</v>
      </c>
      <c r="H41" s="245"/>
      <c r="I41" s="246" t="s">
        <v>5353</v>
      </c>
      <c r="J41" s="245">
        <v>1.0</v>
      </c>
      <c r="K41" s="245">
        <v>1.0</v>
      </c>
      <c r="L41" s="245">
        <v>2.0</v>
      </c>
      <c r="M41" s="245">
        <v>100.0</v>
      </c>
      <c r="N41" s="247">
        <v>100.0</v>
      </c>
      <c r="O41" s="224" t="s">
        <v>5354</v>
      </c>
    </row>
    <row r="42" ht="15.0" customHeight="1">
      <c r="A42" s="224" t="s">
        <v>5355</v>
      </c>
      <c r="B42" s="224" t="s">
        <v>5356</v>
      </c>
      <c r="C42" s="224" t="s">
        <v>5357</v>
      </c>
      <c r="D42" s="224" t="s">
        <v>94</v>
      </c>
      <c r="E42" s="224" t="s">
        <v>5358</v>
      </c>
      <c r="F42" s="224" t="s">
        <v>5359</v>
      </c>
      <c r="G42" s="245" t="s">
        <v>5360</v>
      </c>
      <c r="H42" s="245"/>
      <c r="I42" s="245" t="s">
        <v>5361</v>
      </c>
      <c r="J42" s="245">
        <v>1.0</v>
      </c>
      <c r="K42" s="245">
        <v>1.0</v>
      </c>
      <c r="L42" s="245">
        <v>1.0</v>
      </c>
      <c r="M42" s="245">
        <v>100.0</v>
      </c>
      <c r="N42" s="247">
        <f>M42</f>
        <v>100</v>
      </c>
      <c r="O42" s="224" t="s">
        <v>3078</v>
      </c>
    </row>
    <row r="43" ht="15.0" customHeight="1">
      <c r="A43" s="224" t="s">
        <v>5362</v>
      </c>
      <c r="B43" s="224" t="s">
        <v>5363</v>
      </c>
      <c r="C43" s="224" t="s">
        <v>5364</v>
      </c>
      <c r="D43" s="224" t="s">
        <v>94</v>
      </c>
      <c r="E43" s="224" t="s">
        <v>5358</v>
      </c>
      <c r="F43" s="224" t="s">
        <v>5359</v>
      </c>
      <c r="G43" s="245" t="s">
        <v>5365</v>
      </c>
      <c r="H43" s="245"/>
      <c r="I43" s="245" t="s">
        <v>5366</v>
      </c>
      <c r="J43" s="245">
        <v>2.0</v>
      </c>
      <c r="K43" s="245">
        <v>2.0</v>
      </c>
      <c r="L43" s="245">
        <v>2.0</v>
      </c>
      <c r="M43" s="245">
        <v>100.0</v>
      </c>
      <c r="N43" s="247">
        <f>M43/2</f>
        <v>50</v>
      </c>
      <c r="O43" s="224" t="s">
        <v>3078</v>
      </c>
    </row>
    <row r="44" ht="15.0" customHeight="1">
      <c r="A44" s="224" t="s">
        <v>5367</v>
      </c>
      <c r="B44" s="224" t="s">
        <v>5203</v>
      </c>
      <c r="C44" s="224" t="s">
        <v>5368</v>
      </c>
      <c r="D44" s="224" t="s">
        <v>94</v>
      </c>
      <c r="E44" s="224" t="s">
        <v>5369</v>
      </c>
      <c r="F44" s="224" t="s">
        <v>5224</v>
      </c>
      <c r="G44" s="245" t="s">
        <v>5370</v>
      </c>
      <c r="H44" s="245" t="s">
        <v>5371</v>
      </c>
      <c r="I44" s="245" t="s">
        <v>5372</v>
      </c>
      <c r="J44" s="245">
        <v>3.0</v>
      </c>
      <c r="K44" s="245">
        <v>3.0</v>
      </c>
      <c r="L44" s="245">
        <v>3.0</v>
      </c>
      <c r="M44" s="245">
        <v>50.0</v>
      </c>
      <c r="N44" s="247">
        <f>M44/3</f>
        <v>16.66666667</v>
      </c>
      <c r="O44" s="224" t="s">
        <v>661</v>
      </c>
    </row>
    <row r="45" ht="15.0" customHeight="1">
      <c r="A45" s="224" t="s">
        <v>5214</v>
      </c>
      <c r="B45" s="224" t="s">
        <v>5214</v>
      </c>
      <c r="C45" s="224" t="s">
        <v>5373</v>
      </c>
      <c r="D45" s="224" t="s">
        <v>182</v>
      </c>
      <c r="E45" s="224" t="s">
        <v>5374</v>
      </c>
      <c r="F45" s="224" t="s">
        <v>5375</v>
      </c>
      <c r="G45" s="224" t="s">
        <v>5376</v>
      </c>
      <c r="H45" s="245"/>
      <c r="I45" s="224" t="s">
        <v>5377</v>
      </c>
      <c r="J45" s="224">
        <v>2.0</v>
      </c>
      <c r="K45" s="224">
        <v>2.0</v>
      </c>
      <c r="L45" s="224">
        <v>2.0</v>
      </c>
      <c r="M45" s="224">
        <v>100.0</v>
      </c>
      <c r="N45" s="224">
        <v>50.0</v>
      </c>
      <c r="O45" s="224" t="s">
        <v>671</v>
      </c>
    </row>
    <row r="46" ht="15.0" customHeight="1">
      <c r="A46" s="224" t="s">
        <v>5214</v>
      </c>
      <c r="B46" s="224" t="s">
        <v>5214</v>
      </c>
      <c r="C46" s="224" t="s">
        <v>5373</v>
      </c>
      <c r="D46" s="224" t="s">
        <v>182</v>
      </c>
      <c r="E46" s="224" t="s">
        <v>5374</v>
      </c>
      <c r="F46" s="224" t="s">
        <v>5375</v>
      </c>
      <c r="G46" s="224" t="s">
        <v>5378</v>
      </c>
      <c r="H46" s="245"/>
      <c r="I46" s="224" t="s">
        <v>5377</v>
      </c>
      <c r="J46" s="224">
        <v>2.0</v>
      </c>
      <c r="K46" s="224">
        <v>2.0</v>
      </c>
      <c r="L46" s="224">
        <v>2.0</v>
      </c>
      <c r="M46" s="224">
        <v>100.0</v>
      </c>
      <c r="N46" s="224">
        <v>50.0</v>
      </c>
      <c r="O46" s="224" t="s">
        <v>671</v>
      </c>
    </row>
    <row r="47" ht="15.0" customHeight="1">
      <c r="A47" s="224" t="s">
        <v>5214</v>
      </c>
      <c r="B47" s="224" t="s">
        <v>5214</v>
      </c>
      <c r="C47" s="224" t="s">
        <v>5379</v>
      </c>
      <c r="D47" s="224" t="s">
        <v>182</v>
      </c>
      <c r="E47" s="224" t="s">
        <v>5380</v>
      </c>
      <c r="F47" s="224" t="s">
        <v>5381</v>
      </c>
      <c r="G47" s="224" t="s">
        <v>5382</v>
      </c>
      <c r="H47" s="245"/>
      <c r="I47" s="224" t="s">
        <v>5383</v>
      </c>
      <c r="J47" s="224">
        <v>1.0</v>
      </c>
      <c r="K47" s="224">
        <v>1.0</v>
      </c>
      <c r="L47" s="224">
        <v>2.0</v>
      </c>
      <c r="M47" s="224">
        <v>100.0</v>
      </c>
      <c r="N47" s="224">
        <v>100.0</v>
      </c>
      <c r="O47" s="224" t="s">
        <v>671</v>
      </c>
    </row>
    <row r="48" ht="15.0" customHeight="1">
      <c r="A48" s="224" t="s">
        <v>5384</v>
      </c>
      <c r="B48" s="224" t="s">
        <v>5203</v>
      </c>
      <c r="C48" s="224" t="s">
        <v>5385</v>
      </c>
      <c r="D48" s="224" t="s">
        <v>94</v>
      </c>
      <c r="E48" s="224" t="s">
        <v>5386</v>
      </c>
      <c r="F48" s="224" t="s">
        <v>5387</v>
      </c>
      <c r="G48" s="245" t="s">
        <v>5388</v>
      </c>
      <c r="H48" s="245"/>
      <c r="I48" s="245" t="s">
        <v>5389</v>
      </c>
      <c r="J48" s="245">
        <v>2.0</v>
      </c>
      <c r="K48" s="245">
        <v>2.0</v>
      </c>
      <c r="L48" s="245">
        <v>2.0</v>
      </c>
      <c r="M48" s="245">
        <v>100.0</v>
      </c>
      <c r="N48" s="247">
        <v>50.0</v>
      </c>
      <c r="O48" s="224" t="s">
        <v>3198</v>
      </c>
    </row>
    <row r="49" ht="15.0" customHeight="1">
      <c r="A49" s="224" t="s">
        <v>5362</v>
      </c>
      <c r="B49" s="224" t="s">
        <v>5203</v>
      </c>
      <c r="C49" s="224" t="s">
        <v>5390</v>
      </c>
      <c r="D49" s="224" t="s">
        <v>94</v>
      </c>
      <c r="E49" s="224" t="s">
        <v>5391</v>
      </c>
      <c r="F49" s="224" t="s">
        <v>5392</v>
      </c>
      <c r="G49" s="245" t="s">
        <v>5365</v>
      </c>
      <c r="H49" s="245"/>
      <c r="I49" s="245" t="s">
        <v>5393</v>
      </c>
      <c r="J49" s="245">
        <v>2.0</v>
      </c>
      <c r="K49" s="245">
        <v>2.0</v>
      </c>
      <c r="L49" s="245">
        <v>2.0</v>
      </c>
      <c r="M49" s="245">
        <v>100.0</v>
      </c>
      <c r="N49" s="247">
        <v>50.0</v>
      </c>
      <c r="O49" s="224" t="s">
        <v>3198</v>
      </c>
    </row>
    <row r="50" ht="15.0" customHeight="1">
      <c r="A50" s="224" t="s">
        <v>5394</v>
      </c>
      <c r="B50" s="224" t="s">
        <v>5203</v>
      </c>
      <c r="C50" s="224" t="s">
        <v>846</v>
      </c>
      <c r="D50" s="224" t="s">
        <v>94</v>
      </c>
      <c r="E50" s="224" t="s">
        <v>5395</v>
      </c>
      <c r="F50" s="224" t="s">
        <v>5396</v>
      </c>
      <c r="G50" s="245" t="s">
        <v>5397</v>
      </c>
      <c r="H50" s="245" t="s">
        <v>257</v>
      </c>
      <c r="I50" s="245" t="s">
        <v>5227</v>
      </c>
      <c r="J50" s="245">
        <v>2.0</v>
      </c>
      <c r="K50" s="245">
        <v>1.0</v>
      </c>
      <c r="L50" s="245">
        <v>2.0</v>
      </c>
      <c r="M50" s="245">
        <v>100.0</v>
      </c>
      <c r="N50" s="247">
        <f>100/2</f>
        <v>50</v>
      </c>
      <c r="O50" s="224" t="s">
        <v>689</v>
      </c>
    </row>
    <row r="51" ht="15.0" customHeight="1">
      <c r="A51" s="224" t="s">
        <v>5398</v>
      </c>
      <c r="B51" s="224" t="s">
        <v>5203</v>
      </c>
      <c r="C51" s="224" t="s">
        <v>5399</v>
      </c>
      <c r="D51" s="224" t="s">
        <v>94</v>
      </c>
      <c r="E51" s="224" t="s">
        <v>5400</v>
      </c>
      <c r="F51" s="224" t="s">
        <v>5401</v>
      </c>
      <c r="G51" s="245" t="s">
        <v>5402</v>
      </c>
      <c r="H51" s="246" t="s">
        <v>5403</v>
      </c>
      <c r="I51" s="245" t="s">
        <v>5227</v>
      </c>
      <c r="J51" s="245">
        <v>3.0</v>
      </c>
      <c r="K51" s="245">
        <v>2.0</v>
      </c>
      <c r="L51" s="245">
        <v>3.0</v>
      </c>
      <c r="M51" s="245">
        <v>100.0</v>
      </c>
      <c r="N51" s="247">
        <f t="shared" ref="N51:N53" si="6">(100/3)/2</f>
        <v>16.66666667</v>
      </c>
      <c r="O51" s="224" t="s">
        <v>689</v>
      </c>
    </row>
    <row r="52" ht="15.0" customHeight="1">
      <c r="A52" s="224" t="s">
        <v>5404</v>
      </c>
      <c r="B52" s="224" t="s">
        <v>5203</v>
      </c>
      <c r="C52" s="224" t="s">
        <v>5405</v>
      </c>
      <c r="D52" s="224" t="s">
        <v>94</v>
      </c>
      <c r="E52" s="224" t="s">
        <v>5406</v>
      </c>
      <c r="F52" s="224" t="s">
        <v>5407</v>
      </c>
      <c r="G52" s="245" t="s">
        <v>5408</v>
      </c>
      <c r="H52" s="245" t="s">
        <v>257</v>
      </c>
      <c r="I52" s="245" t="s">
        <v>5227</v>
      </c>
      <c r="J52" s="245">
        <v>3.0</v>
      </c>
      <c r="K52" s="245">
        <v>2.0</v>
      </c>
      <c r="L52" s="245">
        <v>3.0</v>
      </c>
      <c r="M52" s="245">
        <v>100.0</v>
      </c>
      <c r="N52" s="247">
        <f t="shared" si="6"/>
        <v>16.66666667</v>
      </c>
      <c r="O52" s="224" t="s">
        <v>689</v>
      </c>
    </row>
    <row r="53" ht="15.0" customHeight="1">
      <c r="A53" s="224" t="s">
        <v>5409</v>
      </c>
      <c r="B53" s="224" t="s">
        <v>5203</v>
      </c>
      <c r="C53" s="224" t="s">
        <v>5410</v>
      </c>
      <c r="D53" s="224" t="s">
        <v>94</v>
      </c>
      <c r="E53" s="224" t="s">
        <v>5411</v>
      </c>
      <c r="F53" s="224" t="s">
        <v>5407</v>
      </c>
      <c r="G53" s="245" t="s">
        <v>5412</v>
      </c>
      <c r="H53" s="245" t="s">
        <v>257</v>
      </c>
      <c r="I53" s="245" t="s">
        <v>5227</v>
      </c>
      <c r="J53" s="245">
        <v>3.0</v>
      </c>
      <c r="K53" s="245">
        <v>1.0</v>
      </c>
      <c r="L53" s="245">
        <v>3.0</v>
      </c>
      <c r="M53" s="245">
        <v>100.0</v>
      </c>
      <c r="N53" s="247">
        <f t="shared" si="6"/>
        <v>16.66666667</v>
      </c>
      <c r="O53" s="224" t="s">
        <v>689</v>
      </c>
    </row>
    <row r="54" ht="15.0" customHeight="1">
      <c r="A54" s="224" t="s">
        <v>5413</v>
      </c>
      <c r="B54" s="224" t="s">
        <v>5203</v>
      </c>
      <c r="C54" s="224" t="s">
        <v>5414</v>
      </c>
      <c r="D54" s="224" t="s">
        <v>94</v>
      </c>
      <c r="E54" s="224" t="s">
        <v>5415</v>
      </c>
      <c r="F54" s="224" t="s">
        <v>5416</v>
      </c>
      <c r="G54" s="245" t="s">
        <v>5417</v>
      </c>
      <c r="H54" s="245" t="s">
        <v>257</v>
      </c>
      <c r="I54" s="245" t="s">
        <v>5227</v>
      </c>
      <c r="J54" s="245">
        <v>2.0</v>
      </c>
      <c r="K54" s="245">
        <v>1.0</v>
      </c>
      <c r="L54" s="245">
        <v>2.0</v>
      </c>
      <c r="M54" s="245">
        <v>100.0</v>
      </c>
      <c r="N54" s="247">
        <f>100/2/2</f>
        <v>25</v>
      </c>
      <c r="O54" s="224" t="s">
        <v>689</v>
      </c>
    </row>
    <row r="55" ht="15.0" customHeight="1">
      <c r="A55" s="224" t="s">
        <v>5418</v>
      </c>
      <c r="B55" s="224" t="s">
        <v>5203</v>
      </c>
      <c r="C55" s="224" t="s">
        <v>5419</v>
      </c>
      <c r="D55" s="224" t="s">
        <v>94</v>
      </c>
      <c r="E55" s="224" t="s">
        <v>5415</v>
      </c>
      <c r="F55" s="224" t="s">
        <v>5420</v>
      </c>
      <c r="G55" s="245" t="s">
        <v>5421</v>
      </c>
      <c r="H55" s="245" t="s">
        <v>257</v>
      </c>
      <c r="I55" s="245" t="s">
        <v>5227</v>
      </c>
      <c r="J55" s="245">
        <v>2.0</v>
      </c>
      <c r="K55" s="245">
        <v>1.0</v>
      </c>
      <c r="L55" s="245">
        <v>2.0</v>
      </c>
      <c r="M55" s="245">
        <v>100.0</v>
      </c>
      <c r="N55" s="247">
        <v>25.0</v>
      </c>
      <c r="O55" s="224" t="s">
        <v>689</v>
      </c>
    </row>
    <row r="56" ht="15.0" customHeight="1">
      <c r="A56" s="224" t="s">
        <v>5422</v>
      </c>
      <c r="B56" s="224" t="s">
        <v>5203</v>
      </c>
      <c r="C56" s="224" t="s">
        <v>5423</v>
      </c>
      <c r="D56" s="224" t="s">
        <v>94</v>
      </c>
      <c r="E56" s="224" t="s">
        <v>5424</v>
      </c>
      <c r="F56" s="224" t="s">
        <v>5425</v>
      </c>
      <c r="G56" s="245" t="s">
        <v>5426</v>
      </c>
      <c r="H56" s="245" t="s">
        <v>257</v>
      </c>
      <c r="I56" s="245" t="s">
        <v>5227</v>
      </c>
      <c r="J56" s="245">
        <v>1.0</v>
      </c>
      <c r="K56" s="245">
        <v>1.0</v>
      </c>
      <c r="L56" s="245">
        <v>3.0</v>
      </c>
      <c r="M56" s="245">
        <v>100.0</v>
      </c>
      <c r="N56" s="247">
        <v>100.0</v>
      </c>
      <c r="O56" s="224" t="s">
        <v>689</v>
      </c>
    </row>
    <row r="57" ht="15.0" customHeight="1">
      <c r="A57" s="224" t="s">
        <v>5427</v>
      </c>
      <c r="B57" s="224" t="s">
        <v>5203</v>
      </c>
      <c r="C57" s="224" t="s">
        <v>5428</v>
      </c>
      <c r="D57" s="224" t="s">
        <v>94</v>
      </c>
      <c r="E57" s="224" t="s">
        <v>5429</v>
      </c>
      <c r="F57" s="224" t="s">
        <v>5430</v>
      </c>
      <c r="G57" s="245" t="s">
        <v>5431</v>
      </c>
      <c r="H57" s="245" t="s">
        <v>257</v>
      </c>
      <c r="I57" s="245" t="s">
        <v>5227</v>
      </c>
      <c r="J57" s="245">
        <v>4.0</v>
      </c>
      <c r="K57" s="245">
        <v>1.0</v>
      </c>
      <c r="L57" s="245">
        <v>4.0</v>
      </c>
      <c r="M57" s="245">
        <v>100.0</v>
      </c>
      <c r="N57" s="247">
        <f>100/4</f>
        <v>25</v>
      </c>
      <c r="O57" s="224" t="s">
        <v>689</v>
      </c>
    </row>
    <row r="58" ht="15.0" customHeight="1">
      <c r="A58" s="224" t="s">
        <v>5432</v>
      </c>
      <c r="B58" s="224" t="s">
        <v>5203</v>
      </c>
      <c r="C58" s="224" t="s">
        <v>5433</v>
      </c>
      <c r="D58" s="224" t="s">
        <v>94</v>
      </c>
      <c r="E58" s="224" t="s">
        <v>5429</v>
      </c>
      <c r="F58" s="224" t="s">
        <v>5430</v>
      </c>
      <c r="G58" s="245" t="s">
        <v>5434</v>
      </c>
      <c r="H58" s="245" t="s">
        <v>257</v>
      </c>
      <c r="I58" s="245" t="s">
        <v>5227</v>
      </c>
      <c r="J58" s="245">
        <v>2.0</v>
      </c>
      <c r="K58" s="245">
        <v>1.0</v>
      </c>
      <c r="L58" s="245">
        <v>2.0</v>
      </c>
      <c r="M58" s="245">
        <v>100.0</v>
      </c>
      <c r="N58" s="247">
        <v>50.0</v>
      </c>
      <c r="O58" s="224" t="s">
        <v>689</v>
      </c>
    </row>
    <row r="59" ht="15.0" customHeight="1">
      <c r="A59" s="224" t="s">
        <v>5435</v>
      </c>
      <c r="B59" s="224" t="s">
        <v>5203</v>
      </c>
      <c r="C59" s="224" t="s">
        <v>5436</v>
      </c>
      <c r="D59" s="224" t="s">
        <v>94</v>
      </c>
      <c r="E59" s="224" t="s">
        <v>5429</v>
      </c>
      <c r="F59" s="224" t="s">
        <v>5430</v>
      </c>
      <c r="G59" s="245" t="s">
        <v>5437</v>
      </c>
      <c r="H59" s="245" t="s">
        <v>257</v>
      </c>
      <c r="I59" s="245" t="s">
        <v>5227</v>
      </c>
      <c r="J59" s="245">
        <v>4.0</v>
      </c>
      <c r="K59" s="245">
        <v>1.0</v>
      </c>
      <c r="L59" s="245">
        <v>4.0</v>
      </c>
      <c r="M59" s="245">
        <v>100.0</v>
      </c>
      <c r="N59" s="247">
        <v>25.0</v>
      </c>
      <c r="O59" s="224" t="s">
        <v>689</v>
      </c>
    </row>
    <row r="60" ht="15.0" customHeight="1">
      <c r="A60" s="224" t="s">
        <v>5438</v>
      </c>
      <c r="B60" s="224" t="s">
        <v>5203</v>
      </c>
      <c r="C60" s="224" t="s">
        <v>5439</v>
      </c>
      <c r="D60" s="224" t="s">
        <v>94</v>
      </c>
      <c r="E60" s="224" t="s">
        <v>5429</v>
      </c>
      <c r="F60" s="224" t="s">
        <v>5430</v>
      </c>
      <c r="G60" s="245" t="s">
        <v>5440</v>
      </c>
      <c r="H60" s="245" t="s">
        <v>257</v>
      </c>
      <c r="I60" s="245" t="s">
        <v>5227</v>
      </c>
      <c r="J60" s="245">
        <v>4.0</v>
      </c>
      <c r="K60" s="245">
        <v>1.0</v>
      </c>
      <c r="L60" s="245">
        <v>4.0</v>
      </c>
      <c r="M60" s="245">
        <v>100.0</v>
      </c>
      <c r="N60" s="247">
        <v>25.0</v>
      </c>
      <c r="O60" s="224" t="s">
        <v>689</v>
      </c>
    </row>
    <row r="61" ht="15.0" customHeight="1">
      <c r="A61" s="224" t="s">
        <v>5441</v>
      </c>
      <c r="B61" s="224" t="s">
        <v>5203</v>
      </c>
      <c r="C61" s="224" t="s">
        <v>5442</v>
      </c>
      <c r="D61" s="224" t="s">
        <v>94</v>
      </c>
      <c r="E61" s="224" t="s">
        <v>5443</v>
      </c>
      <c r="F61" s="224" t="s">
        <v>5430</v>
      </c>
      <c r="G61" s="245" t="s">
        <v>5444</v>
      </c>
      <c r="H61" s="245" t="s">
        <v>257</v>
      </c>
      <c r="I61" s="245" t="s">
        <v>5227</v>
      </c>
      <c r="J61" s="245">
        <v>4.0</v>
      </c>
      <c r="K61" s="245">
        <v>3.0</v>
      </c>
      <c r="L61" s="245">
        <v>4.0</v>
      </c>
      <c r="M61" s="245">
        <v>100.0</v>
      </c>
      <c r="N61" s="247">
        <v>25.0</v>
      </c>
      <c r="O61" s="224" t="s">
        <v>689</v>
      </c>
    </row>
    <row r="62" ht="15.0" customHeight="1">
      <c r="A62" s="224" t="s">
        <v>5445</v>
      </c>
      <c r="B62" s="224" t="s">
        <v>5203</v>
      </c>
      <c r="C62" s="224" t="s">
        <v>5446</v>
      </c>
      <c r="D62" s="224" t="s">
        <v>94</v>
      </c>
      <c r="E62" s="224" t="s">
        <v>5443</v>
      </c>
      <c r="F62" s="224" t="s">
        <v>5430</v>
      </c>
      <c r="G62" s="248" t="s">
        <v>5447</v>
      </c>
      <c r="H62" s="245" t="s">
        <v>257</v>
      </c>
      <c r="I62" s="245" t="s">
        <v>5227</v>
      </c>
      <c r="J62" s="245">
        <v>2.0</v>
      </c>
      <c r="K62" s="245">
        <v>1.0</v>
      </c>
      <c r="L62" s="245">
        <v>3.0</v>
      </c>
      <c r="M62" s="245">
        <v>100.0</v>
      </c>
      <c r="N62" s="247">
        <v>50.0</v>
      </c>
      <c r="O62" s="224" t="s">
        <v>689</v>
      </c>
    </row>
    <row r="63" ht="15.0" customHeight="1">
      <c r="A63" s="224" t="s">
        <v>5448</v>
      </c>
      <c r="B63" s="224" t="s">
        <v>5203</v>
      </c>
      <c r="C63" s="224" t="s">
        <v>5449</v>
      </c>
      <c r="D63" s="224" t="s">
        <v>94</v>
      </c>
      <c r="E63" s="224" t="s">
        <v>5450</v>
      </c>
      <c r="F63" s="224" t="s">
        <v>5451</v>
      </c>
      <c r="G63" s="224" t="s">
        <v>5452</v>
      </c>
      <c r="H63" s="246" t="s">
        <v>5453</v>
      </c>
      <c r="I63" s="245" t="s">
        <v>5227</v>
      </c>
      <c r="J63" s="245">
        <v>2.0</v>
      </c>
      <c r="K63" s="245">
        <v>1.0</v>
      </c>
      <c r="L63" s="245">
        <v>2.0</v>
      </c>
      <c r="M63" s="245">
        <v>100.0</v>
      </c>
      <c r="N63" s="247">
        <v>50.0</v>
      </c>
      <c r="O63" s="224" t="s">
        <v>689</v>
      </c>
    </row>
    <row r="64" ht="15.0" customHeight="1">
      <c r="A64" s="224" t="s">
        <v>5454</v>
      </c>
      <c r="B64" s="224" t="s">
        <v>5203</v>
      </c>
      <c r="C64" s="224" t="s">
        <v>5455</v>
      </c>
      <c r="D64" s="224" t="s">
        <v>94</v>
      </c>
      <c r="E64" s="224" t="s">
        <v>5456</v>
      </c>
      <c r="F64" s="224" t="s">
        <v>5457</v>
      </c>
      <c r="G64" s="245" t="s">
        <v>5458</v>
      </c>
      <c r="H64" s="246" t="s">
        <v>5459</v>
      </c>
      <c r="I64" s="245" t="s">
        <v>5227</v>
      </c>
      <c r="J64" s="245">
        <v>2.0</v>
      </c>
      <c r="K64" s="245">
        <v>1.0</v>
      </c>
      <c r="L64" s="245">
        <v>2.0</v>
      </c>
      <c r="M64" s="245">
        <v>100.0</v>
      </c>
      <c r="N64" s="247">
        <v>50.0</v>
      </c>
      <c r="O64" s="224" t="s">
        <v>689</v>
      </c>
    </row>
    <row r="65" ht="15.0" customHeight="1">
      <c r="A65" s="224" t="s">
        <v>5460</v>
      </c>
      <c r="B65" s="224" t="s">
        <v>5203</v>
      </c>
      <c r="C65" s="224" t="s">
        <v>5461</v>
      </c>
      <c r="D65" s="224" t="s">
        <v>94</v>
      </c>
      <c r="E65" s="224" t="s">
        <v>5462</v>
      </c>
      <c r="F65" s="224" t="s">
        <v>5463</v>
      </c>
      <c r="G65" s="248" t="s">
        <v>5464</v>
      </c>
      <c r="H65" s="246" t="s">
        <v>5465</v>
      </c>
      <c r="I65" s="245" t="s">
        <v>5227</v>
      </c>
      <c r="J65" s="245">
        <v>2.0</v>
      </c>
      <c r="K65" s="245">
        <v>1.0</v>
      </c>
      <c r="L65" s="245">
        <v>2.0</v>
      </c>
      <c r="M65" s="245">
        <v>100.0</v>
      </c>
      <c r="N65" s="247">
        <v>50.0</v>
      </c>
      <c r="O65" s="224" t="s">
        <v>689</v>
      </c>
    </row>
    <row r="66" ht="15.0" customHeight="1">
      <c r="A66" s="224" t="s">
        <v>5466</v>
      </c>
      <c r="B66" s="224" t="s">
        <v>5203</v>
      </c>
      <c r="C66" s="224" t="s">
        <v>5467</v>
      </c>
      <c r="D66" s="224" t="s">
        <v>94</v>
      </c>
      <c r="E66" s="224" t="s">
        <v>5468</v>
      </c>
      <c r="F66" s="224" t="s">
        <v>5469</v>
      </c>
      <c r="G66" s="245" t="s">
        <v>5470</v>
      </c>
      <c r="H66" s="246" t="s">
        <v>5471</v>
      </c>
      <c r="I66" s="245" t="s">
        <v>5227</v>
      </c>
      <c r="J66" s="245">
        <v>2.0</v>
      </c>
      <c r="K66" s="245">
        <v>1.0</v>
      </c>
      <c r="L66" s="245">
        <v>3.0</v>
      </c>
      <c r="M66" s="245">
        <v>100.0</v>
      </c>
      <c r="N66" s="247">
        <v>50.0</v>
      </c>
      <c r="O66" s="224" t="s">
        <v>689</v>
      </c>
    </row>
    <row r="67" ht="15.0" customHeight="1">
      <c r="A67" s="224" t="s">
        <v>5472</v>
      </c>
      <c r="B67" s="224" t="s">
        <v>5203</v>
      </c>
      <c r="C67" s="224" t="s">
        <v>5473</v>
      </c>
      <c r="D67" s="224" t="s">
        <v>94</v>
      </c>
      <c r="E67" s="224" t="s">
        <v>5468</v>
      </c>
      <c r="F67" s="224" t="s">
        <v>5469</v>
      </c>
      <c r="G67" s="248" t="s">
        <v>5474</v>
      </c>
      <c r="H67" s="246" t="s">
        <v>5475</v>
      </c>
      <c r="I67" s="245" t="s">
        <v>5227</v>
      </c>
      <c r="J67" s="245">
        <v>2.0</v>
      </c>
      <c r="K67" s="245">
        <v>1.0</v>
      </c>
      <c r="L67" s="245">
        <v>4.0</v>
      </c>
      <c r="M67" s="245">
        <v>100.0</v>
      </c>
      <c r="N67" s="247">
        <v>50.0</v>
      </c>
      <c r="O67" s="224" t="s">
        <v>689</v>
      </c>
    </row>
    <row r="68" ht="15.0" customHeight="1">
      <c r="A68" s="224" t="s">
        <v>5367</v>
      </c>
      <c r="B68" s="224" t="s">
        <v>5203</v>
      </c>
      <c r="C68" s="224" t="s">
        <v>5368</v>
      </c>
      <c r="D68" s="224" t="s">
        <v>94</v>
      </c>
      <c r="E68" s="224" t="s">
        <v>5369</v>
      </c>
      <c r="F68" s="224" t="s">
        <v>5224</v>
      </c>
      <c r="G68" s="245" t="s">
        <v>5370</v>
      </c>
      <c r="H68" s="245" t="s">
        <v>5371</v>
      </c>
      <c r="I68" s="245" t="s">
        <v>5372</v>
      </c>
      <c r="J68" s="245">
        <v>3.0</v>
      </c>
      <c r="K68" s="245">
        <v>3.0</v>
      </c>
      <c r="L68" s="245">
        <v>3.0</v>
      </c>
      <c r="M68" s="245">
        <v>50.0</v>
      </c>
      <c r="N68" s="247">
        <f>M68/3</f>
        <v>16.66666667</v>
      </c>
      <c r="O68" s="224" t="s">
        <v>852</v>
      </c>
    </row>
    <row r="69" ht="15.0" customHeight="1">
      <c r="A69" s="224" t="s">
        <v>5476</v>
      </c>
      <c r="B69" s="224" t="s">
        <v>5214</v>
      </c>
      <c r="C69" s="224" t="s">
        <v>861</v>
      </c>
      <c r="D69" s="224" t="s">
        <v>94</v>
      </c>
      <c r="E69" s="224" t="s">
        <v>5477</v>
      </c>
      <c r="F69" s="224" t="s">
        <v>5478</v>
      </c>
      <c r="G69" s="245" t="s">
        <v>5479</v>
      </c>
      <c r="H69" s="245"/>
      <c r="I69" s="245" t="s">
        <v>5480</v>
      </c>
      <c r="J69" s="245">
        <v>1.0</v>
      </c>
      <c r="K69" s="245">
        <v>1.0</v>
      </c>
      <c r="L69" s="245">
        <v>1.0</v>
      </c>
      <c r="M69" s="245">
        <v>100.0</v>
      </c>
      <c r="N69" s="247">
        <v>100.0</v>
      </c>
      <c r="O69" s="224" t="s">
        <v>861</v>
      </c>
    </row>
    <row r="70" ht="51.75" customHeight="1">
      <c r="A70" s="253" t="s">
        <v>5481</v>
      </c>
      <c r="B70" s="224" t="s">
        <v>5214</v>
      </c>
      <c r="C70" s="224" t="s">
        <v>861</v>
      </c>
      <c r="D70" s="224" t="s">
        <v>94</v>
      </c>
      <c r="E70" s="224" t="s">
        <v>5477</v>
      </c>
      <c r="F70" s="224" t="s">
        <v>5478</v>
      </c>
      <c r="G70" s="245" t="s">
        <v>5482</v>
      </c>
      <c r="H70" s="245"/>
      <c r="I70" s="245" t="s">
        <v>5480</v>
      </c>
      <c r="J70" s="245">
        <v>1.0</v>
      </c>
      <c r="K70" s="245">
        <v>1.0</v>
      </c>
      <c r="L70" s="245">
        <v>1.0</v>
      </c>
      <c r="M70" s="245">
        <v>100.0</v>
      </c>
      <c r="N70" s="247">
        <v>100.0</v>
      </c>
      <c r="O70" s="224" t="s">
        <v>861</v>
      </c>
    </row>
    <row r="71" ht="15.0" customHeight="1">
      <c r="A71" s="253" t="s">
        <v>5483</v>
      </c>
      <c r="B71" s="224" t="s">
        <v>5214</v>
      </c>
      <c r="C71" s="224" t="s">
        <v>861</v>
      </c>
      <c r="D71" s="224" t="s">
        <v>94</v>
      </c>
      <c r="E71" s="224" t="s">
        <v>5484</v>
      </c>
      <c r="F71" s="224" t="s">
        <v>5392</v>
      </c>
      <c r="G71" s="245" t="s">
        <v>5485</v>
      </c>
      <c r="H71" s="245"/>
      <c r="I71" s="245" t="s">
        <v>5486</v>
      </c>
      <c r="J71" s="245">
        <v>1.0</v>
      </c>
      <c r="K71" s="245">
        <v>1.0</v>
      </c>
      <c r="L71" s="245">
        <v>1.0</v>
      </c>
      <c r="M71" s="245">
        <v>100.0</v>
      </c>
      <c r="N71" s="247">
        <v>100.0</v>
      </c>
      <c r="O71" s="224" t="s">
        <v>861</v>
      </c>
    </row>
    <row r="72" ht="15.0" customHeight="1">
      <c r="A72" s="224" t="s">
        <v>5487</v>
      </c>
      <c r="B72" s="224" t="s">
        <v>5203</v>
      </c>
      <c r="C72" s="224" t="s">
        <v>5488</v>
      </c>
      <c r="D72" s="224" t="s">
        <v>94</v>
      </c>
      <c r="E72" s="224" t="s">
        <v>5489</v>
      </c>
      <c r="F72" s="224" t="s">
        <v>5224</v>
      </c>
      <c r="G72" s="245" t="s">
        <v>5490</v>
      </c>
      <c r="H72" s="245" t="s">
        <v>5491</v>
      </c>
      <c r="I72" s="245" t="s">
        <v>5372</v>
      </c>
      <c r="J72" s="245">
        <v>1.0</v>
      </c>
      <c r="K72" s="245">
        <v>1.0</v>
      </c>
      <c r="L72" s="245">
        <v>1.0</v>
      </c>
      <c r="M72" s="245">
        <v>100.0</v>
      </c>
      <c r="N72" s="247">
        <v>100.0</v>
      </c>
      <c r="O72" s="224" t="s">
        <v>870</v>
      </c>
    </row>
    <row r="73" ht="15.0" customHeight="1">
      <c r="A73" s="224" t="s">
        <v>5492</v>
      </c>
      <c r="B73" s="224" t="s">
        <v>5203</v>
      </c>
      <c r="C73" s="224" t="s">
        <v>5493</v>
      </c>
      <c r="D73" s="224" t="s">
        <v>94</v>
      </c>
      <c r="E73" s="224" t="s">
        <v>5494</v>
      </c>
      <c r="F73" s="224" t="s">
        <v>5495</v>
      </c>
      <c r="G73" s="245" t="s">
        <v>5496</v>
      </c>
      <c r="H73" s="246" t="s">
        <v>5497</v>
      </c>
      <c r="I73" s="245" t="s">
        <v>5372</v>
      </c>
      <c r="J73" s="245">
        <v>2.0</v>
      </c>
      <c r="K73" s="245">
        <v>2.0</v>
      </c>
      <c r="L73" s="245">
        <v>2.0</v>
      </c>
      <c r="M73" s="245">
        <v>100.0</v>
      </c>
      <c r="N73" s="247">
        <v>50.0</v>
      </c>
      <c r="O73" s="224" t="s">
        <v>870</v>
      </c>
    </row>
    <row r="74" ht="15.0" customHeight="1">
      <c r="A74" s="224" t="s">
        <v>5498</v>
      </c>
      <c r="B74" s="224" t="s">
        <v>5203</v>
      </c>
      <c r="C74" s="224" t="s">
        <v>5493</v>
      </c>
      <c r="D74" s="224" t="s">
        <v>94</v>
      </c>
      <c r="E74" s="224" t="s">
        <v>5494</v>
      </c>
      <c r="F74" s="224" t="s">
        <v>5495</v>
      </c>
      <c r="G74" s="245">
        <v>43952.0</v>
      </c>
      <c r="H74" s="246" t="s">
        <v>5499</v>
      </c>
      <c r="I74" s="245" t="s">
        <v>5372</v>
      </c>
      <c r="J74" s="245">
        <v>2.0</v>
      </c>
      <c r="K74" s="245">
        <v>2.0</v>
      </c>
      <c r="L74" s="245">
        <v>2.0</v>
      </c>
      <c r="M74" s="245">
        <v>100.0</v>
      </c>
      <c r="N74" s="247">
        <v>50.0</v>
      </c>
      <c r="O74" s="224" t="s">
        <v>870</v>
      </c>
    </row>
    <row r="75" ht="15.0" customHeight="1">
      <c r="A75" s="224" t="s">
        <v>5221</v>
      </c>
      <c r="B75" s="224" t="s">
        <v>5214</v>
      </c>
      <c r="C75" s="224" t="s">
        <v>5500</v>
      </c>
      <c r="D75" s="224" t="s">
        <v>94</v>
      </c>
      <c r="E75" s="224" t="s">
        <v>5501</v>
      </c>
      <c r="F75" s="224" t="s">
        <v>5502</v>
      </c>
      <c r="G75" s="245" t="s">
        <v>5230</v>
      </c>
      <c r="H75" s="245" t="s">
        <v>5503</v>
      </c>
      <c r="I75" s="245" t="s">
        <v>5504</v>
      </c>
      <c r="J75" s="245">
        <v>5.0</v>
      </c>
      <c r="K75" s="245">
        <v>5.0</v>
      </c>
      <c r="L75" s="245">
        <v>5.0</v>
      </c>
      <c r="M75" s="245">
        <v>100.0</v>
      </c>
      <c r="N75" s="247">
        <f t="shared" ref="N75:N76" si="7">M75/J75</f>
        <v>20</v>
      </c>
      <c r="O75" s="224" t="s">
        <v>954</v>
      </c>
    </row>
    <row r="76" ht="15.0" customHeight="1">
      <c r="A76" s="224" t="s">
        <v>5505</v>
      </c>
      <c r="B76" s="224" t="s">
        <v>5214</v>
      </c>
      <c r="C76" s="224" t="s">
        <v>5506</v>
      </c>
      <c r="D76" s="224" t="s">
        <v>94</v>
      </c>
      <c r="E76" s="224" t="s">
        <v>5501</v>
      </c>
      <c r="F76" s="224" t="s">
        <v>5502</v>
      </c>
      <c r="G76" s="245" t="s">
        <v>5370</v>
      </c>
      <c r="H76" s="245" t="s">
        <v>5507</v>
      </c>
      <c r="I76" s="245" t="s">
        <v>5504</v>
      </c>
      <c r="J76" s="245">
        <v>3.0</v>
      </c>
      <c r="K76" s="245">
        <v>3.0</v>
      </c>
      <c r="L76" s="245">
        <v>3.0</v>
      </c>
      <c r="M76" s="245">
        <v>100.0</v>
      </c>
      <c r="N76" s="247">
        <f t="shared" si="7"/>
        <v>33.33333333</v>
      </c>
      <c r="O76" s="224" t="s">
        <v>954</v>
      </c>
    </row>
    <row r="77" ht="15.75" customHeight="1">
      <c r="A77" s="253" t="s">
        <v>5508</v>
      </c>
      <c r="B77" s="253" t="s">
        <v>5203</v>
      </c>
      <c r="C77" s="253" t="s">
        <v>5509</v>
      </c>
      <c r="D77" s="253" t="s">
        <v>94</v>
      </c>
      <c r="E77" s="253" t="s">
        <v>5305</v>
      </c>
      <c r="F77" s="253" t="s">
        <v>5306</v>
      </c>
      <c r="G77" s="254" t="s">
        <v>5510</v>
      </c>
      <c r="H77" s="255" t="s">
        <v>5511</v>
      </c>
      <c r="I77" s="246" t="s">
        <v>5512</v>
      </c>
      <c r="J77" s="254">
        <v>1.0</v>
      </c>
      <c r="K77" s="254">
        <v>1.0</v>
      </c>
      <c r="L77" s="254">
        <v>1.0</v>
      </c>
      <c r="M77" s="254">
        <v>100.0</v>
      </c>
      <c r="N77" s="256">
        <v>100.0</v>
      </c>
      <c r="O77" s="224" t="s">
        <v>5513</v>
      </c>
    </row>
    <row r="78" ht="15.75" customHeight="1">
      <c r="A78" s="253" t="s">
        <v>5514</v>
      </c>
      <c r="B78" s="253" t="s">
        <v>5203</v>
      </c>
      <c r="C78" s="253" t="s">
        <v>5509</v>
      </c>
      <c r="D78" s="253" t="s">
        <v>94</v>
      </c>
      <c r="E78" s="253" t="s">
        <v>5305</v>
      </c>
      <c r="F78" s="253" t="s">
        <v>5306</v>
      </c>
      <c r="G78" s="254" t="s">
        <v>5515</v>
      </c>
      <c r="H78" s="255" t="s">
        <v>5516</v>
      </c>
      <c r="I78" s="246" t="s">
        <v>5517</v>
      </c>
      <c r="J78" s="254">
        <v>1.0</v>
      </c>
      <c r="K78" s="254">
        <v>1.0</v>
      </c>
      <c r="L78" s="254">
        <v>1.0</v>
      </c>
      <c r="M78" s="254">
        <v>100.0</v>
      </c>
      <c r="N78" s="256">
        <v>100.0</v>
      </c>
      <c r="O78" s="224" t="s">
        <v>5513</v>
      </c>
    </row>
    <row r="79" ht="15.75" customHeight="1">
      <c r="A79" s="253" t="s">
        <v>5303</v>
      </c>
      <c r="B79" s="253" t="s">
        <v>5203</v>
      </c>
      <c r="C79" s="253" t="s">
        <v>5518</v>
      </c>
      <c r="D79" s="253" t="s">
        <v>94</v>
      </c>
      <c r="E79" s="253" t="s">
        <v>5305</v>
      </c>
      <c r="F79" s="253" t="s">
        <v>5306</v>
      </c>
      <c r="G79" s="254" t="s">
        <v>5307</v>
      </c>
      <c r="H79" s="255" t="s">
        <v>5308</v>
      </c>
      <c r="I79" s="246" t="s">
        <v>5309</v>
      </c>
      <c r="J79" s="254">
        <v>4.0</v>
      </c>
      <c r="K79" s="254">
        <v>4.0</v>
      </c>
      <c r="L79" s="254">
        <v>5.0</v>
      </c>
      <c r="M79" s="254">
        <v>100.0</v>
      </c>
      <c r="N79" s="256">
        <v>25.0</v>
      </c>
      <c r="O79" s="224" t="s">
        <v>5513</v>
      </c>
    </row>
    <row r="80" ht="15.75" customHeight="1">
      <c r="A80" s="224" t="s">
        <v>5298</v>
      </c>
      <c r="B80" s="253" t="s">
        <v>5203</v>
      </c>
      <c r="C80" s="253" t="s">
        <v>5519</v>
      </c>
      <c r="D80" s="253" t="s">
        <v>94</v>
      </c>
      <c r="E80" s="257" t="s">
        <v>5293</v>
      </c>
      <c r="F80" s="224" t="s">
        <v>5294</v>
      </c>
      <c r="G80" s="254" t="s">
        <v>5300</v>
      </c>
      <c r="H80" s="255" t="s">
        <v>5301</v>
      </c>
      <c r="I80" s="246" t="s">
        <v>5302</v>
      </c>
      <c r="J80" s="254">
        <v>2.0</v>
      </c>
      <c r="K80" s="254">
        <v>2.0</v>
      </c>
      <c r="L80" s="254">
        <v>3.0</v>
      </c>
      <c r="M80" s="254">
        <v>100.0</v>
      </c>
      <c r="N80" s="256">
        <v>50.0</v>
      </c>
      <c r="O80" s="224" t="s">
        <v>5513</v>
      </c>
    </row>
    <row r="81" ht="15.75" customHeight="1">
      <c r="A81" s="224" t="s">
        <v>5291</v>
      </c>
      <c r="B81" s="253" t="s">
        <v>5203</v>
      </c>
      <c r="C81" s="253" t="s">
        <v>5520</v>
      </c>
      <c r="D81" s="253" t="s">
        <v>94</v>
      </c>
      <c r="E81" s="257" t="s">
        <v>5293</v>
      </c>
      <c r="F81" s="253" t="s">
        <v>5294</v>
      </c>
      <c r="G81" s="254" t="s">
        <v>5295</v>
      </c>
      <c r="H81" s="255" t="s">
        <v>5296</v>
      </c>
      <c r="I81" s="246" t="s">
        <v>5297</v>
      </c>
      <c r="J81" s="254">
        <v>2.0</v>
      </c>
      <c r="K81" s="254">
        <v>2.0</v>
      </c>
      <c r="L81" s="254">
        <v>2.0</v>
      </c>
      <c r="M81" s="254">
        <v>100.0</v>
      </c>
      <c r="N81" s="256">
        <v>50.0</v>
      </c>
      <c r="O81" s="224" t="s">
        <v>5513</v>
      </c>
    </row>
    <row r="82" ht="67.5" customHeight="1">
      <c r="A82" s="224" t="s">
        <v>5275</v>
      </c>
      <c r="B82" s="224" t="s">
        <v>5203</v>
      </c>
      <c r="C82" s="224" t="s">
        <v>5521</v>
      </c>
      <c r="D82" s="224" t="s">
        <v>94</v>
      </c>
      <c r="E82" s="224" t="s">
        <v>5277</v>
      </c>
      <c r="F82" s="224" t="s">
        <v>5522</v>
      </c>
      <c r="G82" s="245" t="s">
        <v>5278</v>
      </c>
      <c r="H82" s="245"/>
      <c r="I82" s="246" t="s">
        <v>5279</v>
      </c>
      <c r="J82" s="245">
        <v>2.0</v>
      </c>
      <c r="K82" s="245">
        <v>2.0</v>
      </c>
      <c r="L82" s="245">
        <v>3.0</v>
      </c>
      <c r="M82" s="245">
        <v>100.0</v>
      </c>
      <c r="N82" s="247">
        <f t="shared" ref="N82:N83" si="8">M82/K82</f>
        <v>50</v>
      </c>
      <c r="O82" s="224" t="s">
        <v>5513</v>
      </c>
    </row>
    <row r="83" ht="48.75" customHeight="1">
      <c r="A83" s="224" t="s">
        <v>5280</v>
      </c>
      <c r="B83" s="224" t="s">
        <v>5203</v>
      </c>
      <c r="C83" s="224" t="s">
        <v>5523</v>
      </c>
      <c r="D83" s="224" t="s">
        <v>94</v>
      </c>
      <c r="E83" s="224" t="s">
        <v>5277</v>
      </c>
      <c r="F83" s="224" t="s">
        <v>5522</v>
      </c>
      <c r="G83" s="245" t="s">
        <v>5282</v>
      </c>
      <c r="H83" s="245"/>
      <c r="I83" s="246" t="s">
        <v>5283</v>
      </c>
      <c r="J83" s="245">
        <v>2.0</v>
      </c>
      <c r="K83" s="245">
        <v>2.0</v>
      </c>
      <c r="L83" s="245">
        <v>4.0</v>
      </c>
      <c r="M83" s="245">
        <v>100.0</v>
      </c>
      <c r="N83" s="247">
        <f t="shared" si="8"/>
        <v>50</v>
      </c>
      <c r="O83" s="224" t="s">
        <v>5513</v>
      </c>
    </row>
    <row r="84" ht="15.75" customHeight="1">
      <c r="A84" s="253" t="s">
        <v>5524</v>
      </c>
      <c r="B84" s="253" t="s">
        <v>5203</v>
      </c>
      <c r="C84" s="253" t="s">
        <v>5509</v>
      </c>
      <c r="D84" s="253" t="s">
        <v>94</v>
      </c>
      <c r="E84" s="253" t="s">
        <v>5525</v>
      </c>
      <c r="F84" s="253" t="s">
        <v>5526</v>
      </c>
      <c r="G84" s="254" t="s">
        <v>5527</v>
      </c>
      <c r="H84" s="255" t="s">
        <v>5528</v>
      </c>
      <c r="I84" s="254"/>
      <c r="J84" s="254">
        <v>1.0</v>
      </c>
      <c r="K84" s="254">
        <v>1.0</v>
      </c>
      <c r="L84" s="254">
        <v>1.0</v>
      </c>
      <c r="M84" s="254">
        <v>50.0</v>
      </c>
      <c r="N84" s="256">
        <v>50.0</v>
      </c>
      <c r="O84" s="224" t="s">
        <v>5513</v>
      </c>
    </row>
    <row r="85" ht="15.75" customHeight="1">
      <c r="A85" s="258" t="s">
        <v>5529</v>
      </c>
      <c r="B85" s="253" t="s">
        <v>5203</v>
      </c>
      <c r="C85" s="253" t="s">
        <v>5530</v>
      </c>
      <c r="D85" s="253" t="s">
        <v>94</v>
      </c>
      <c r="E85" s="253" t="s">
        <v>5531</v>
      </c>
      <c r="F85" s="253" t="s">
        <v>5532</v>
      </c>
      <c r="G85" s="254" t="s">
        <v>5533</v>
      </c>
      <c r="H85" s="254" t="s">
        <v>5534</v>
      </c>
      <c r="I85" s="245" t="s">
        <v>5535</v>
      </c>
      <c r="J85" s="254">
        <v>2.0</v>
      </c>
      <c r="K85" s="254">
        <v>1.0</v>
      </c>
      <c r="L85" s="254">
        <v>2.0</v>
      </c>
      <c r="M85" s="254">
        <v>100.0</v>
      </c>
      <c r="N85" s="256">
        <v>50.0</v>
      </c>
      <c r="O85" s="224" t="s">
        <v>4024</v>
      </c>
    </row>
    <row r="86" ht="15.75" customHeight="1">
      <c r="A86" s="253" t="s">
        <v>5536</v>
      </c>
      <c r="B86" s="253" t="s">
        <v>5203</v>
      </c>
      <c r="C86" s="253" t="s">
        <v>5537</v>
      </c>
      <c r="D86" s="253" t="s">
        <v>94</v>
      </c>
      <c r="E86" s="253" t="s">
        <v>5538</v>
      </c>
      <c r="F86" s="253" t="s">
        <v>5539</v>
      </c>
      <c r="G86" s="254" t="s">
        <v>5540</v>
      </c>
      <c r="H86" s="254" t="s">
        <v>5541</v>
      </c>
      <c r="I86" s="254" t="s">
        <v>5542</v>
      </c>
      <c r="J86" s="254">
        <v>3.0</v>
      </c>
      <c r="K86" s="254">
        <v>1.0</v>
      </c>
      <c r="L86" s="254">
        <v>3.0</v>
      </c>
      <c r="M86" s="254">
        <v>100.0</v>
      </c>
      <c r="N86" s="256">
        <v>33.33</v>
      </c>
      <c r="O86" s="224" t="s">
        <v>4024</v>
      </c>
    </row>
    <row r="87" ht="15.75" customHeight="1">
      <c r="A87" s="253" t="s">
        <v>5543</v>
      </c>
      <c r="B87" s="253" t="s">
        <v>5203</v>
      </c>
      <c r="C87" s="253" t="s">
        <v>5544</v>
      </c>
      <c r="D87" s="253" t="s">
        <v>94</v>
      </c>
      <c r="E87" s="253" t="s">
        <v>5545</v>
      </c>
      <c r="F87" s="253" t="s">
        <v>5546</v>
      </c>
      <c r="G87" s="254" t="s">
        <v>5547</v>
      </c>
      <c r="H87" s="245"/>
      <c r="I87" s="259" t="s">
        <v>5548</v>
      </c>
      <c r="J87" s="254">
        <v>2.0</v>
      </c>
      <c r="K87" s="254">
        <v>2.0</v>
      </c>
      <c r="L87" s="254">
        <v>2.0</v>
      </c>
      <c r="M87" s="254">
        <v>100.0</v>
      </c>
      <c r="N87" s="256">
        <v>50.0</v>
      </c>
      <c r="O87" s="224" t="s">
        <v>4024</v>
      </c>
    </row>
    <row r="88" ht="15.75" customHeight="1">
      <c r="A88" s="253" t="s">
        <v>5549</v>
      </c>
      <c r="B88" s="253" t="s">
        <v>5203</v>
      </c>
      <c r="C88" s="253" t="s">
        <v>5550</v>
      </c>
      <c r="D88" s="253" t="s">
        <v>94</v>
      </c>
      <c r="E88" s="253" t="s">
        <v>5551</v>
      </c>
      <c r="F88" s="253" t="s">
        <v>5287</v>
      </c>
      <c r="G88" s="253" t="s">
        <v>5552</v>
      </c>
      <c r="H88" s="253" t="s">
        <v>5553</v>
      </c>
      <c r="I88" s="259" t="s">
        <v>5554</v>
      </c>
      <c r="J88" s="254">
        <v>1.0</v>
      </c>
      <c r="K88" s="254">
        <v>1.0</v>
      </c>
      <c r="L88" s="254">
        <v>7.0</v>
      </c>
      <c r="M88" s="254">
        <v>100.0</v>
      </c>
      <c r="N88" s="256">
        <v>100.0</v>
      </c>
      <c r="O88" s="224" t="s">
        <v>4024</v>
      </c>
    </row>
    <row r="89" ht="15.75" customHeight="1">
      <c r="A89" s="253" t="s">
        <v>5555</v>
      </c>
      <c r="B89" s="253" t="s">
        <v>5203</v>
      </c>
      <c r="C89" s="253" t="s">
        <v>5550</v>
      </c>
      <c r="D89" s="253" t="s">
        <v>94</v>
      </c>
      <c r="E89" s="253" t="s">
        <v>5551</v>
      </c>
      <c r="F89" s="253" t="s">
        <v>5287</v>
      </c>
      <c r="G89" s="253" t="s">
        <v>5552</v>
      </c>
      <c r="H89" s="260" t="s">
        <v>5556</v>
      </c>
      <c r="I89" s="259" t="s">
        <v>5554</v>
      </c>
      <c r="J89" s="254">
        <v>1.0</v>
      </c>
      <c r="K89" s="254">
        <v>1.0</v>
      </c>
      <c r="L89" s="254">
        <v>7.0</v>
      </c>
      <c r="M89" s="254">
        <v>100.0</v>
      </c>
      <c r="N89" s="256">
        <v>100.0</v>
      </c>
      <c r="O89" s="224" t="s">
        <v>4024</v>
      </c>
    </row>
    <row r="90" ht="214.5" customHeight="1">
      <c r="A90" s="253" t="s">
        <v>5557</v>
      </c>
      <c r="B90" s="253" t="s">
        <v>5203</v>
      </c>
      <c r="C90" s="253" t="s">
        <v>5550</v>
      </c>
      <c r="D90" s="253" t="s">
        <v>94</v>
      </c>
      <c r="E90" s="253" t="s">
        <v>5551</v>
      </c>
      <c r="F90" s="253" t="s">
        <v>5287</v>
      </c>
      <c r="G90" s="253" t="s">
        <v>5552</v>
      </c>
      <c r="H90" s="260" t="s">
        <v>5556</v>
      </c>
      <c r="I90" s="259" t="s">
        <v>5554</v>
      </c>
      <c r="J90" s="254">
        <v>1.0</v>
      </c>
      <c r="K90" s="254">
        <v>1.0</v>
      </c>
      <c r="L90" s="254">
        <v>7.0</v>
      </c>
      <c r="M90" s="254">
        <v>100.0</v>
      </c>
      <c r="N90" s="256">
        <v>100.0</v>
      </c>
      <c r="O90" s="224" t="s">
        <v>4024</v>
      </c>
    </row>
    <row r="91" ht="15.0" customHeight="1">
      <c r="A91" s="224" t="s">
        <v>5558</v>
      </c>
      <c r="B91" s="224" t="s">
        <v>5214</v>
      </c>
      <c r="C91" s="224" t="s">
        <v>5559</v>
      </c>
      <c r="D91" s="224" t="s">
        <v>182</v>
      </c>
      <c r="E91" s="224" t="s">
        <v>5560</v>
      </c>
      <c r="F91" s="224" t="s">
        <v>5561</v>
      </c>
      <c r="G91" s="245" t="s">
        <v>5562</v>
      </c>
      <c r="H91" s="245" t="s">
        <v>5561</v>
      </c>
      <c r="I91" s="246" t="s">
        <v>5563</v>
      </c>
      <c r="J91" s="245">
        <v>2.0</v>
      </c>
      <c r="K91" s="245">
        <v>2.0</v>
      </c>
      <c r="L91" s="245">
        <v>5.0</v>
      </c>
      <c r="M91" s="245">
        <v>50.0</v>
      </c>
      <c r="N91" s="247">
        <v>25.0</v>
      </c>
      <c r="O91" s="224" t="s">
        <v>4028</v>
      </c>
    </row>
    <row r="92" ht="15.0" customHeight="1">
      <c r="A92" s="224" t="s">
        <v>5564</v>
      </c>
      <c r="B92" s="224" t="s">
        <v>5214</v>
      </c>
      <c r="C92" s="224" t="s">
        <v>5565</v>
      </c>
      <c r="D92" s="224" t="s">
        <v>182</v>
      </c>
      <c r="E92" s="224" t="s">
        <v>5223</v>
      </c>
      <c r="F92" s="224" t="s">
        <v>5224</v>
      </c>
      <c r="G92" s="248" t="s">
        <v>5566</v>
      </c>
      <c r="H92" s="245" t="s">
        <v>5567</v>
      </c>
      <c r="I92" s="245" t="s">
        <v>5213</v>
      </c>
      <c r="J92" s="245">
        <v>1.0</v>
      </c>
      <c r="K92" s="245">
        <v>1.0</v>
      </c>
      <c r="L92" s="245">
        <v>2.0</v>
      </c>
      <c r="M92" s="245">
        <v>100.0</v>
      </c>
      <c r="N92" s="247">
        <v>100.0</v>
      </c>
      <c r="O92" s="224" t="s">
        <v>4028</v>
      </c>
    </row>
    <row r="93" ht="15.0" customHeight="1">
      <c r="A93" s="252" t="s">
        <v>5336</v>
      </c>
      <c r="B93" s="224" t="s">
        <v>5203</v>
      </c>
      <c r="C93" s="252" t="s">
        <v>5337</v>
      </c>
      <c r="D93" s="252" t="s">
        <v>94</v>
      </c>
      <c r="E93" s="224" t="s">
        <v>5338</v>
      </c>
      <c r="F93" s="224" t="s">
        <v>5339</v>
      </c>
      <c r="G93" s="245" t="s">
        <v>5340</v>
      </c>
      <c r="H93" s="245"/>
      <c r="I93" s="245"/>
      <c r="J93" s="245">
        <v>4.0</v>
      </c>
      <c r="K93" s="245">
        <v>4.0</v>
      </c>
      <c r="L93" s="245">
        <v>4.0</v>
      </c>
      <c r="M93" s="245">
        <v>50.0</v>
      </c>
      <c r="N93" s="247">
        <v>12.5</v>
      </c>
      <c r="O93" s="224" t="s">
        <v>4076</v>
      </c>
    </row>
    <row r="94" ht="15.0" customHeight="1">
      <c r="A94" s="116" t="s">
        <v>5341</v>
      </c>
      <c r="B94" s="224" t="s">
        <v>5203</v>
      </c>
      <c r="C94" s="116" t="s">
        <v>5342</v>
      </c>
      <c r="D94" s="252" t="s">
        <v>94</v>
      </c>
      <c r="E94" s="224" t="s">
        <v>5338</v>
      </c>
      <c r="F94" s="224" t="s">
        <v>5339</v>
      </c>
      <c r="G94" s="245" t="s">
        <v>5343</v>
      </c>
      <c r="H94" s="245"/>
      <c r="I94" s="245"/>
      <c r="J94" s="245">
        <v>4.0</v>
      </c>
      <c r="K94" s="245">
        <v>4.0</v>
      </c>
      <c r="L94" s="245">
        <v>4.0</v>
      </c>
      <c r="M94" s="245">
        <v>50.0</v>
      </c>
      <c r="N94" s="247">
        <v>12.5</v>
      </c>
      <c r="O94" s="224" t="s">
        <v>4076</v>
      </c>
    </row>
    <row r="95" ht="15.0" customHeight="1">
      <c r="A95" s="224" t="s">
        <v>5344</v>
      </c>
      <c r="B95" s="224" t="s">
        <v>5203</v>
      </c>
      <c r="C95" s="116" t="s">
        <v>5345</v>
      </c>
      <c r="D95" s="252" t="s">
        <v>94</v>
      </c>
      <c r="E95" s="224" t="s">
        <v>5346</v>
      </c>
      <c r="F95" s="224" t="s">
        <v>5347</v>
      </c>
      <c r="G95" s="245"/>
      <c r="H95" s="245"/>
      <c r="I95" s="245"/>
      <c r="J95" s="224">
        <v>4.0</v>
      </c>
      <c r="K95" s="245">
        <v>3.0</v>
      </c>
      <c r="L95" s="245">
        <v>4.0</v>
      </c>
      <c r="M95" s="245">
        <v>50.0</v>
      </c>
      <c r="N95" s="247">
        <v>12.5</v>
      </c>
      <c r="O95" s="224" t="s">
        <v>4076</v>
      </c>
    </row>
    <row r="96" ht="15.0" customHeight="1">
      <c r="A96" s="224" t="s">
        <v>5492</v>
      </c>
      <c r="B96" s="224" t="s">
        <v>5203</v>
      </c>
      <c r="C96" s="224" t="s">
        <v>5493</v>
      </c>
      <c r="D96" s="224" t="s">
        <v>94</v>
      </c>
      <c r="E96" s="224" t="s">
        <v>5494</v>
      </c>
      <c r="F96" s="224" t="s">
        <v>5495</v>
      </c>
      <c r="G96" s="245" t="s">
        <v>5568</v>
      </c>
      <c r="H96" s="246" t="s">
        <v>5497</v>
      </c>
      <c r="I96" s="245" t="s">
        <v>5372</v>
      </c>
      <c r="J96" s="245">
        <v>2.0</v>
      </c>
      <c r="K96" s="245">
        <v>2.0</v>
      </c>
      <c r="L96" s="245">
        <v>2.0</v>
      </c>
      <c r="M96" s="245">
        <v>100.0</v>
      </c>
      <c r="N96" s="247">
        <v>50.0</v>
      </c>
      <c r="O96" s="224" t="s">
        <v>4078</v>
      </c>
    </row>
    <row r="97" ht="15.0" customHeight="1">
      <c r="A97" s="224" t="s">
        <v>5498</v>
      </c>
      <c r="B97" s="224" t="s">
        <v>5203</v>
      </c>
      <c r="C97" s="224" t="s">
        <v>5493</v>
      </c>
      <c r="D97" s="224" t="s">
        <v>94</v>
      </c>
      <c r="E97" s="224" t="s">
        <v>5494</v>
      </c>
      <c r="F97" s="224" t="s">
        <v>5495</v>
      </c>
      <c r="G97" s="245" t="s">
        <v>5569</v>
      </c>
      <c r="H97" s="246" t="s">
        <v>5499</v>
      </c>
      <c r="I97" s="245" t="s">
        <v>5372</v>
      </c>
      <c r="J97" s="245">
        <v>2.0</v>
      </c>
      <c r="K97" s="245">
        <v>2.0</v>
      </c>
      <c r="L97" s="245">
        <v>2.0</v>
      </c>
      <c r="M97" s="245">
        <v>100.0</v>
      </c>
      <c r="N97" s="247">
        <v>50.0</v>
      </c>
      <c r="O97" s="224" t="s">
        <v>4078</v>
      </c>
    </row>
    <row r="98" ht="15.0" customHeight="1">
      <c r="A98" s="224" t="s">
        <v>5251</v>
      </c>
      <c r="B98" s="224" t="s">
        <v>5203</v>
      </c>
      <c r="C98" s="224" t="s">
        <v>5252</v>
      </c>
      <c r="D98" s="224" t="s">
        <v>182</v>
      </c>
      <c r="E98" s="224" t="s">
        <v>5253</v>
      </c>
      <c r="F98" s="224" t="s">
        <v>5254</v>
      </c>
      <c r="G98" s="245" t="s">
        <v>5255</v>
      </c>
      <c r="H98" s="245" t="s">
        <v>5256</v>
      </c>
      <c r="I98" s="245" t="s">
        <v>5257</v>
      </c>
      <c r="J98" s="245">
        <v>4.0</v>
      </c>
      <c r="K98" s="245">
        <v>3.0</v>
      </c>
      <c r="L98" s="245">
        <v>4.0</v>
      </c>
      <c r="M98" s="245">
        <v>100.0</v>
      </c>
      <c r="N98" s="247">
        <v>25.0</v>
      </c>
      <c r="O98" s="224" t="s">
        <v>5570</v>
      </c>
    </row>
    <row r="99" ht="15.0" customHeight="1">
      <c r="A99" s="224" t="s">
        <v>5571</v>
      </c>
      <c r="B99" s="224" t="s">
        <v>5214</v>
      </c>
      <c r="C99" s="116" t="s">
        <v>5572</v>
      </c>
      <c r="D99" s="261" t="s">
        <v>94</v>
      </c>
      <c r="E99" s="224" t="s">
        <v>5573</v>
      </c>
      <c r="F99" s="224" t="s">
        <v>5574</v>
      </c>
      <c r="G99" s="245"/>
      <c r="H99" s="245"/>
      <c r="I99" s="245" t="s">
        <v>5575</v>
      </c>
      <c r="J99" s="245">
        <v>6.0</v>
      </c>
      <c r="K99" s="245">
        <v>6.0</v>
      </c>
      <c r="L99" s="245">
        <v>6.0</v>
      </c>
      <c r="M99" s="245">
        <v>100.0</v>
      </c>
      <c r="N99" s="247">
        <v>16.66</v>
      </c>
      <c r="O99" s="224" t="s">
        <v>1047</v>
      </c>
    </row>
    <row r="100" ht="15.0" customHeight="1">
      <c r="A100" s="224" t="s">
        <v>5576</v>
      </c>
      <c r="B100" s="224" t="s">
        <v>5203</v>
      </c>
      <c r="C100" s="224" t="s">
        <v>5577</v>
      </c>
      <c r="D100" s="224" t="s">
        <v>147</v>
      </c>
      <c r="E100" s="224" t="s">
        <v>5578</v>
      </c>
      <c r="F100" s="224" t="s">
        <v>5579</v>
      </c>
      <c r="G100" s="245" t="s">
        <v>5580</v>
      </c>
      <c r="H100" s="245" t="s">
        <v>5581</v>
      </c>
      <c r="I100" s="245" t="s">
        <v>5582</v>
      </c>
      <c r="J100" s="245">
        <v>3.0</v>
      </c>
      <c r="K100" s="245">
        <v>3.0</v>
      </c>
      <c r="L100" s="245">
        <v>4.0</v>
      </c>
      <c r="M100" s="245">
        <v>100.0</v>
      </c>
      <c r="N100" s="247">
        <v>33.33</v>
      </c>
      <c r="O100" s="262" t="s">
        <v>154</v>
      </c>
      <c r="P100" s="107"/>
      <c r="Q100" s="107"/>
      <c r="R100" s="107"/>
      <c r="S100" s="107"/>
      <c r="T100" s="107"/>
      <c r="U100" s="107"/>
      <c r="V100" s="107"/>
      <c r="W100" s="107"/>
      <c r="X100" s="107"/>
      <c r="Y100" s="107"/>
      <c r="Z100" s="107"/>
      <c r="AA100" s="107"/>
      <c r="AB100" s="107"/>
      <c r="AC100" s="107"/>
      <c r="AD100" s="107"/>
      <c r="AE100" s="107"/>
      <c r="AF100" s="107"/>
    </row>
    <row r="101" ht="15.0" customHeight="1">
      <c r="A101" s="224" t="s">
        <v>5583</v>
      </c>
      <c r="B101" s="224" t="s">
        <v>5203</v>
      </c>
      <c r="C101" s="224" t="s">
        <v>5584</v>
      </c>
      <c r="D101" s="224" t="s">
        <v>147</v>
      </c>
      <c r="E101" s="224" t="s">
        <v>5585</v>
      </c>
      <c r="F101" s="224" t="s">
        <v>5586</v>
      </c>
      <c r="G101" s="245" t="s">
        <v>5587</v>
      </c>
      <c r="H101" s="245" t="s">
        <v>5588</v>
      </c>
      <c r="I101" s="245" t="s">
        <v>5589</v>
      </c>
      <c r="J101" s="245">
        <v>2.0</v>
      </c>
      <c r="K101" s="245">
        <v>2.0</v>
      </c>
      <c r="L101" s="245">
        <v>2.0</v>
      </c>
      <c r="M101" s="245">
        <v>100.0</v>
      </c>
      <c r="N101" s="247">
        <v>50.0</v>
      </c>
      <c r="O101" s="258" t="s">
        <v>149</v>
      </c>
      <c r="P101" s="3"/>
      <c r="Q101" s="3"/>
      <c r="R101" s="3"/>
      <c r="S101" s="3"/>
      <c r="T101" s="3"/>
      <c r="U101" s="3"/>
      <c r="V101" s="3"/>
      <c r="W101" s="3"/>
      <c r="X101" s="3"/>
      <c r="Y101" s="3"/>
      <c r="Z101" s="3"/>
      <c r="AA101" s="3"/>
      <c r="AB101" s="3"/>
      <c r="AC101" s="3"/>
      <c r="AD101" s="3"/>
      <c r="AE101" s="3"/>
      <c r="AF101" s="3"/>
    </row>
    <row r="102" ht="15.0" customHeight="1">
      <c r="A102" s="224" t="s">
        <v>5590</v>
      </c>
      <c r="B102" s="224" t="s">
        <v>5203</v>
      </c>
      <c r="C102" s="224" t="s">
        <v>5591</v>
      </c>
      <c r="D102" s="224" t="s">
        <v>147</v>
      </c>
      <c r="E102" s="224" t="s">
        <v>5592</v>
      </c>
      <c r="F102" s="224" t="s">
        <v>5593</v>
      </c>
      <c r="G102" s="245" t="s">
        <v>5594</v>
      </c>
      <c r="H102" s="245" t="s">
        <v>5595</v>
      </c>
      <c r="I102" s="245" t="s">
        <v>5596</v>
      </c>
      <c r="J102" s="245">
        <v>2.0</v>
      </c>
      <c r="K102" s="245">
        <v>2.0</v>
      </c>
      <c r="L102" s="245">
        <v>2.0</v>
      </c>
      <c r="M102" s="245">
        <v>100.0</v>
      </c>
      <c r="N102" s="247">
        <v>50.0</v>
      </c>
      <c r="O102" s="258" t="s">
        <v>149</v>
      </c>
      <c r="P102" s="3"/>
      <c r="Q102" s="3"/>
      <c r="R102" s="3"/>
      <c r="S102" s="3"/>
      <c r="T102" s="3"/>
      <c r="U102" s="3"/>
      <c r="V102" s="3"/>
      <c r="W102" s="3"/>
      <c r="X102" s="3"/>
      <c r="Y102" s="3"/>
      <c r="Z102" s="3"/>
      <c r="AA102" s="3"/>
      <c r="AB102" s="3"/>
      <c r="AC102" s="3"/>
      <c r="AD102" s="3"/>
      <c r="AE102" s="3"/>
      <c r="AF102" s="3"/>
    </row>
    <row r="103" ht="15.0" customHeight="1">
      <c r="A103" s="224" t="s">
        <v>5597</v>
      </c>
      <c r="B103" s="224" t="s">
        <v>5203</v>
      </c>
      <c r="C103" s="224" t="s">
        <v>5598</v>
      </c>
      <c r="D103" s="224" t="s">
        <v>147</v>
      </c>
      <c r="E103" s="224" t="s">
        <v>5599</v>
      </c>
      <c r="F103" s="224" t="s">
        <v>5579</v>
      </c>
      <c r="G103" s="245" t="s">
        <v>5600</v>
      </c>
      <c r="H103" s="245" t="s">
        <v>5601</v>
      </c>
      <c r="I103" s="245" t="s">
        <v>5582</v>
      </c>
      <c r="J103" s="245">
        <v>3.0</v>
      </c>
      <c r="K103" s="245">
        <v>3.0</v>
      </c>
      <c r="L103" s="245">
        <v>3.0</v>
      </c>
      <c r="M103" s="245">
        <v>100.0</v>
      </c>
      <c r="N103" s="247">
        <v>33.0</v>
      </c>
      <c r="O103" s="258" t="s">
        <v>4845</v>
      </c>
      <c r="P103" s="3"/>
      <c r="Q103" s="3"/>
      <c r="R103" s="3"/>
      <c r="S103" s="3"/>
      <c r="T103" s="3"/>
      <c r="U103" s="3"/>
      <c r="V103" s="3"/>
      <c r="W103" s="3"/>
      <c r="X103" s="3"/>
      <c r="Y103" s="3"/>
      <c r="Z103" s="3"/>
      <c r="AA103" s="3"/>
      <c r="AB103" s="3"/>
      <c r="AC103" s="3"/>
      <c r="AD103" s="3"/>
      <c r="AE103" s="3"/>
      <c r="AF103" s="3"/>
    </row>
    <row r="104" ht="15.0" customHeight="1">
      <c r="A104" s="224" t="s">
        <v>5602</v>
      </c>
      <c r="B104" s="224" t="s">
        <v>5203</v>
      </c>
      <c r="C104" s="224" t="s">
        <v>5603</v>
      </c>
      <c r="D104" s="224" t="s">
        <v>147</v>
      </c>
      <c r="E104" s="224" t="s">
        <v>5599</v>
      </c>
      <c r="F104" s="224" t="s">
        <v>5579</v>
      </c>
      <c r="G104" s="245" t="s">
        <v>5604</v>
      </c>
      <c r="H104" s="245" t="s">
        <v>5605</v>
      </c>
      <c r="I104" s="245" t="s">
        <v>5582</v>
      </c>
      <c r="J104" s="245">
        <v>3.0</v>
      </c>
      <c r="K104" s="245">
        <v>3.0</v>
      </c>
      <c r="L104" s="245">
        <v>3.0</v>
      </c>
      <c r="M104" s="245">
        <v>100.0</v>
      </c>
      <c r="N104" s="247">
        <v>33.0</v>
      </c>
      <c r="O104" s="258" t="s">
        <v>4845</v>
      </c>
      <c r="P104" s="3"/>
      <c r="Q104" s="3"/>
      <c r="R104" s="3"/>
      <c r="S104" s="3"/>
      <c r="T104" s="3"/>
      <c r="U104" s="3"/>
      <c r="V104" s="3"/>
      <c r="W104" s="3"/>
      <c r="X104" s="3"/>
      <c r="Y104" s="3"/>
      <c r="Z104" s="3"/>
      <c r="AA104" s="3"/>
      <c r="AB104" s="3"/>
      <c r="AC104" s="3"/>
      <c r="AD104" s="3"/>
      <c r="AE104" s="3"/>
      <c r="AF104" s="3"/>
    </row>
    <row r="105" ht="15.0" customHeight="1">
      <c r="A105" s="224" t="s">
        <v>5606</v>
      </c>
      <c r="B105" s="224" t="s">
        <v>5203</v>
      </c>
      <c r="C105" s="224" t="s">
        <v>5607</v>
      </c>
      <c r="D105" s="224" t="s">
        <v>147</v>
      </c>
      <c r="E105" s="224" t="s">
        <v>5608</v>
      </c>
      <c r="F105" s="224"/>
      <c r="G105" s="245"/>
      <c r="H105" s="245"/>
      <c r="I105" s="245" t="s">
        <v>5372</v>
      </c>
      <c r="J105" s="245">
        <v>1.0</v>
      </c>
      <c r="K105" s="245">
        <v>1.0</v>
      </c>
      <c r="L105" s="245">
        <v>5.0</v>
      </c>
      <c r="M105" s="245">
        <v>50.0</v>
      </c>
      <c r="N105" s="247">
        <v>50.0</v>
      </c>
      <c r="O105" s="258" t="s">
        <v>4845</v>
      </c>
      <c r="P105" s="3"/>
      <c r="Q105" s="3"/>
      <c r="R105" s="3"/>
      <c r="S105" s="3"/>
      <c r="T105" s="3"/>
      <c r="U105" s="3"/>
      <c r="V105" s="3"/>
      <c r="W105" s="3"/>
      <c r="X105" s="3"/>
      <c r="Y105" s="3"/>
      <c r="Z105" s="3"/>
      <c r="AA105" s="3"/>
      <c r="AB105" s="3"/>
      <c r="AC105" s="3"/>
      <c r="AD105" s="3"/>
      <c r="AE105" s="3"/>
      <c r="AF105" s="3"/>
    </row>
    <row r="106" ht="15.0" customHeight="1">
      <c r="A106" s="224" t="s">
        <v>5609</v>
      </c>
      <c r="B106" s="224" t="s">
        <v>5610</v>
      </c>
      <c r="C106" s="224"/>
      <c r="D106" s="224" t="s">
        <v>147</v>
      </c>
      <c r="E106" s="224" t="s">
        <v>5611</v>
      </c>
      <c r="F106" s="224"/>
      <c r="G106" s="245"/>
      <c r="H106" s="245"/>
      <c r="I106" s="245" t="s">
        <v>1184</v>
      </c>
      <c r="J106" s="245"/>
      <c r="K106" s="245"/>
      <c r="L106" s="245">
        <v>1.0</v>
      </c>
      <c r="M106" s="245">
        <v>25.0</v>
      </c>
      <c r="N106" s="247">
        <v>25.0</v>
      </c>
      <c r="O106" s="258" t="s">
        <v>4845</v>
      </c>
      <c r="P106" s="3"/>
      <c r="Q106" s="3"/>
      <c r="R106" s="3"/>
      <c r="S106" s="3"/>
      <c r="T106" s="3"/>
      <c r="U106" s="3"/>
      <c r="V106" s="3"/>
      <c r="W106" s="3"/>
      <c r="X106" s="3"/>
      <c r="Y106" s="3"/>
      <c r="Z106" s="3"/>
      <c r="AA106" s="3"/>
      <c r="AB106" s="3"/>
      <c r="AC106" s="3"/>
      <c r="AD106" s="3"/>
      <c r="AE106" s="3"/>
      <c r="AF106" s="3"/>
    </row>
    <row r="107" ht="15.0" customHeight="1">
      <c r="A107" s="224" t="s">
        <v>5612</v>
      </c>
      <c r="B107" s="224" t="s">
        <v>5610</v>
      </c>
      <c r="C107" s="224"/>
      <c r="D107" s="224" t="s">
        <v>147</v>
      </c>
      <c r="E107" s="224" t="s">
        <v>5613</v>
      </c>
      <c r="F107" s="224"/>
      <c r="G107" s="245"/>
      <c r="H107" s="245"/>
      <c r="I107" s="245" t="s">
        <v>1184</v>
      </c>
      <c r="J107" s="245"/>
      <c r="K107" s="245"/>
      <c r="L107" s="245">
        <v>1.0</v>
      </c>
      <c r="M107" s="245">
        <v>25.0</v>
      </c>
      <c r="N107" s="247">
        <v>25.0</v>
      </c>
      <c r="O107" s="258" t="s">
        <v>4845</v>
      </c>
      <c r="P107" s="3"/>
      <c r="Q107" s="3"/>
      <c r="R107" s="3"/>
      <c r="S107" s="3"/>
      <c r="T107" s="3"/>
      <c r="U107" s="3"/>
      <c r="V107" s="3"/>
      <c r="W107" s="3"/>
      <c r="X107" s="3"/>
      <c r="Y107" s="3"/>
      <c r="Z107" s="3"/>
      <c r="AA107" s="3"/>
      <c r="AB107" s="3"/>
      <c r="AC107" s="3"/>
      <c r="AD107" s="3"/>
      <c r="AE107" s="3"/>
      <c r="AF107" s="3"/>
    </row>
    <row r="108" ht="15.0" customHeight="1">
      <c r="A108" s="224" t="s">
        <v>5614</v>
      </c>
      <c r="B108" s="224" t="s">
        <v>5203</v>
      </c>
      <c r="C108" s="224" t="s">
        <v>5615</v>
      </c>
      <c r="D108" s="224" t="s">
        <v>147</v>
      </c>
      <c r="E108" s="224" t="s">
        <v>5616</v>
      </c>
      <c r="F108" s="224" t="s">
        <v>5617</v>
      </c>
      <c r="G108" s="245" t="s">
        <v>5618</v>
      </c>
      <c r="H108" s="245" t="s">
        <v>5619</v>
      </c>
      <c r="I108" s="245" t="s">
        <v>5620</v>
      </c>
      <c r="J108" s="245">
        <v>2.0</v>
      </c>
      <c r="K108" s="245">
        <v>2.0</v>
      </c>
      <c r="L108" s="245">
        <v>2.0</v>
      </c>
      <c r="M108" s="245">
        <v>100.0</v>
      </c>
      <c r="N108" s="247">
        <v>50.0</v>
      </c>
      <c r="O108" s="258" t="s">
        <v>159</v>
      </c>
      <c r="P108" s="3"/>
      <c r="Q108" s="3"/>
      <c r="R108" s="3"/>
      <c r="S108" s="3"/>
      <c r="T108" s="3"/>
      <c r="U108" s="3"/>
      <c r="V108" s="3"/>
      <c r="W108" s="3"/>
      <c r="X108" s="3"/>
      <c r="Y108" s="3"/>
      <c r="Z108" s="3"/>
      <c r="AA108" s="3"/>
      <c r="AB108" s="3"/>
      <c r="AC108" s="3"/>
      <c r="AD108" s="3"/>
      <c r="AE108" s="3"/>
      <c r="AF108" s="3"/>
    </row>
    <row r="109" ht="15.0" customHeight="1">
      <c r="A109" s="224" t="s">
        <v>5336</v>
      </c>
      <c r="B109" s="224" t="s">
        <v>5203</v>
      </c>
      <c r="C109" s="224" t="s">
        <v>5337</v>
      </c>
      <c r="D109" s="224" t="s">
        <v>147</v>
      </c>
      <c r="E109" s="224" t="s">
        <v>5338</v>
      </c>
      <c r="F109" s="224" t="s">
        <v>5339</v>
      </c>
      <c r="G109" s="245" t="s">
        <v>5340</v>
      </c>
      <c r="H109" s="245"/>
      <c r="I109" s="245"/>
      <c r="J109" s="245">
        <v>4.0</v>
      </c>
      <c r="K109" s="245">
        <v>4.0</v>
      </c>
      <c r="L109" s="245">
        <v>4.0</v>
      </c>
      <c r="M109" s="245">
        <v>50.0</v>
      </c>
      <c r="N109" s="247">
        <v>12.5</v>
      </c>
      <c r="O109" s="258" t="s">
        <v>165</v>
      </c>
      <c r="P109" s="3"/>
      <c r="Q109" s="3"/>
      <c r="R109" s="3"/>
      <c r="S109" s="3"/>
      <c r="T109" s="3"/>
      <c r="U109" s="3"/>
      <c r="V109" s="3"/>
      <c r="W109" s="3"/>
      <c r="X109" s="3"/>
      <c r="Y109" s="3"/>
      <c r="Z109" s="3"/>
      <c r="AA109" s="3"/>
      <c r="AB109" s="3"/>
      <c r="AC109" s="3"/>
      <c r="AD109" s="3"/>
      <c r="AE109" s="3"/>
      <c r="AF109" s="3"/>
    </row>
    <row r="110" ht="15.0" customHeight="1">
      <c r="A110" s="224" t="s">
        <v>5341</v>
      </c>
      <c r="B110" s="224" t="s">
        <v>5203</v>
      </c>
      <c r="C110" s="224" t="s">
        <v>5342</v>
      </c>
      <c r="D110" s="224" t="s">
        <v>147</v>
      </c>
      <c r="E110" s="224" t="s">
        <v>5338</v>
      </c>
      <c r="F110" s="224" t="s">
        <v>5339</v>
      </c>
      <c r="G110" s="245" t="s">
        <v>5343</v>
      </c>
      <c r="H110" s="245"/>
      <c r="I110" s="245"/>
      <c r="J110" s="245">
        <v>4.0</v>
      </c>
      <c r="K110" s="245">
        <v>4.0</v>
      </c>
      <c r="L110" s="245">
        <v>4.0</v>
      </c>
      <c r="M110" s="245">
        <v>50.0</v>
      </c>
      <c r="N110" s="247">
        <v>12.5</v>
      </c>
      <c r="O110" s="258" t="s">
        <v>165</v>
      </c>
      <c r="P110" s="3"/>
      <c r="Q110" s="3"/>
      <c r="R110" s="3"/>
      <c r="S110" s="3"/>
      <c r="T110" s="3"/>
      <c r="U110" s="3"/>
      <c r="V110" s="3"/>
      <c r="W110" s="3"/>
      <c r="X110" s="3"/>
      <c r="Y110" s="3"/>
      <c r="Z110" s="3"/>
      <c r="AA110" s="3"/>
      <c r="AB110" s="3"/>
      <c r="AC110" s="3"/>
      <c r="AD110" s="3"/>
      <c r="AE110" s="3"/>
      <c r="AF110" s="3"/>
    </row>
    <row r="111" ht="15.0" customHeight="1">
      <c r="A111" s="224" t="s">
        <v>5621</v>
      </c>
      <c r="B111" s="224" t="s">
        <v>5203</v>
      </c>
      <c r="C111" s="224" t="s">
        <v>5622</v>
      </c>
      <c r="D111" s="224" t="s">
        <v>147</v>
      </c>
      <c r="E111" s="224" t="s">
        <v>5623</v>
      </c>
      <c r="F111" s="224" t="s">
        <v>5624</v>
      </c>
      <c r="G111" s="245"/>
      <c r="H111" s="245" t="s">
        <v>5625</v>
      </c>
      <c r="I111" s="245" t="s">
        <v>5213</v>
      </c>
      <c r="J111" s="245">
        <v>2.0</v>
      </c>
      <c r="K111" s="245">
        <v>2.0</v>
      </c>
      <c r="L111" s="245">
        <v>2.0</v>
      </c>
      <c r="M111" s="245">
        <v>100.0</v>
      </c>
      <c r="N111" s="247">
        <v>50.0</v>
      </c>
      <c r="O111" s="258" t="s">
        <v>5626</v>
      </c>
      <c r="P111" s="3"/>
      <c r="Q111" s="3"/>
      <c r="R111" s="3"/>
      <c r="S111" s="3"/>
      <c r="T111" s="3"/>
      <c r="U111" s="3"/>
      <c r="V111" s="3"/>
      <c r="W111" s="3"/>
      <c r="X111" s="3"/>
      <c r="Y111" s="3"/>
      <c r="Z111" s="3"/>
      <c r="AA111" s="3"/>
      <c r="AB111" s="3"/>
      <c r="AC111" s="3"/>
      <c r="AD111" s="3"/>
      <c r="AE111" s="3"/>
      <c r="AF111" s="3"/>
    </row>
    <row r="112" ht="15.0" customHeight="1">
      <c r="A112" s="224" t="s">
        <v>5627</v>
      </c>
      <c r="B112" s="224" t="s">
        <v>5203</v>
      </c>
      <c r="C112" s="224" t="s">
        <v>5628</v>
      </c>
      <c r="D112" s="224" t="s">
        <v>147</v>
      </c>
      <c r="E112" s="224" t="s">
        <v>5623</v>
      </c>
      <c r="F112" s="224" t="s">
        <v>5624</v>
      </c>
      <c r="G112" s="245"/>
      <c r="H112" s="245" t="s">
        <v>5625</v>
      </c>
      <c r="I112" s="245" t="s">
        <v>5213</v>
      </c>
      <c r="J112" s="245">
        <v>2.0</v>
      </c>
      <c r="K112" s="245">
        <v>2.0</v>
      </c>
      <c r="L112" s="245">
        <v>2.0</v>
      </c>
      <c r="M112" s="245">
        <v>100.0</v>
      </c>
      <c r="N112" s="247">
        <v>50.0</v>
      </c>
      <c r="O112" s="258" t="s">
        <v>5626</v>
      </c>
      <c r="P112" s="3"/>
      <c r="Q112" s="3"/>
      <c r="R112" s="3"/>
      <c r="S112" s="3"/>
      <c r="T112" s="3"/>
      <c r="U112" s="3"/>
      <c r="V112" s="3"/>
      <c r="W112" s="3"/>
      <c r="X112" s="3"/>
      <c r="Y112" s="3"/>
      <c r="Z112" s="3"/>
      <c r="AA112" s="3"/>
      <c r="AB112" s="3"/>
      <c r="AC112" s="3"/>
      <c r="AD112" s="3"/>
      <c r="AE112" s="3"/>
      <c r="AF112" s="3"/>
    </row>
    <row r="113" ht="15.0" customHeight="1">
      <c r="A113" s="224" t="s">
        <v>5576</v>
      </c>
      <c r="B113" s="224" t="s">
        <v>5203</v>
      </c>
      <c r="C113" s="224" t="s">
        <v>5629</v>
      </c>
      <c r="D113" s="224" t="s">
        <v>147</v>
      </c>
      <c r="E113" s="224" t="s">
        <v>5623</v>
      </c>
      <c r="F113" s="224" t="s">
        <v>5624</v>
      </c>
      <c r="G113" s="245"/>
      <c r="H113" s="245" t="s">
        <v>5625</v>
      </c>
      <c r="I113" s="245" t="s">
        <v>5213</v>
      </c>
      <c r="J113" s="245">
        <v>3.0</v>
      </c>
      <c r="K113" s="245">
        <v>3.0</v>
      </c>
      <c r="L113" s="245">
        <v>4.0</v>
      </c>
      <c r="M113" s="245">
        <v>100.0</v>
      </c>
      <c r="N113" s="247">
        <v>33.34</v>
      </c>
      <c r="O113" s="258" t="s">
        <v>5626</v>
      </c>
      <c r="P113" s="3"/>
      <c r="Q113" s="3"/>
      <c r="R113" s="3"/>
      <c r="S113" s="3"/>
      <c r="T113" s="3"/>
      <c r="U113" s="3"/>
      <c r="V113" s="3"/>
      <c r="W113" s="3"/>
      <c r="X113" s="3"/>
      <c r="Y113" s="3"/>
      <c r="Z113" s="3"/>
      <c r="AA113" s="3"/>
      <c r="AB113" s="3"/>
      <c r="AC113" s="3"/>
      <c r="AD113" s="3"/>
      <c r="AE113" s="3"/>
      <c r="AF113" s="3"/>
    </row>
    <row r="114" ht="15.0" customHeight="1">
      <c r="A114" s="224" t="s">
        <v>5627</v>
      </c>
      <c r="B114" s="224" t="s">
        <v>5203</v>
      </c>
      <c r="C114" s="224" t="s">
        <v>5630</v>
      </c>
      <c r="D114" s="224" t="s">
        <v>147</v>
      </c>
      <c r="E114" s="224" t="s">
        <v>5631</v>
      </c>
      <c r="F114" s="224" t="s">
        <v>5632</v>
      </c>
      <c r="G114" s="245" t="s">
        <v>5633</v>
      </c>
      <c r="H114" s="245" t="s">
        <v>5634</v>
      </c>
      <c r="I114" s="245" t="s">
        <v>5635</v>
      </c>
      <c r="J114" s="245">
        <v>2.0</v>
      </c>
      <c r="K114" s="245">
        <v>2.0</v>
      </c>
      <c r="L114" s="245">
        <v>2.0</v>
      </c>
      <c r="M114" s="245">
        <v>100.0</v>
      </c>
      <c r="N114" s="247">
        <v>50.0</v>
      </c>
      <c r="O114" s="258" t="s">
        <v>170</v>
      </c>
      <c r="P114" s="3"/>
      <c r="Q114" s="3"/>
      <c r="R114" s="3"/>
      <c r="S114" s="3"/>
      <c r="T114" s="3"/>
      <c r="U114" s="3"/>
      <c r="V114" s="3"/>
      <c r="W114" s="3"/>
      <c r="X114" s="3"/>
      <c r="Y114" s="3"/>
      <c r="Z114" s="3"/>
      <c r="AA114" s="3"/>
      <c r="AB114" s="3"/>
      <c r="AC114" s="3"/>
      <c r="AD114" s="3"/>
      <c r="AE114" s="3"/>
      <c r="AF114" s="3"/>
    </row>
    <row r="115" ht="15.0" customHeight="1">
      <c r="A115" s="224" t="s">
        <v>5636</v>
      </c>
      <c r="B115" s="224" t="s">
        <v>5203</v>
      </c>
      <c r="C115" s="224" t="s">
        <v>5630</v>
      </c>
      <c r="D115" s="224" t="s">
        <v>147</v>
      </c>
      <c r="E115" s="224" t="s">
        <v>5637</v>
      </c>
      <c r="F115" s="224" t="s">
        <v>5632</v>
      </c>
      <c r="G115" s="245" t="s">
        <v>5638</v>
      </c>
      <c r="H115" s="245" t="s">
        <v>5639</v>
      </c>
      <c r="I115" s="245" t="s">
        <v>5635</v>
      </c>
      <c r="J115" s="245">
        <v>2.0</v>
      </c>
      <c r="K115" s="245">
        <v>2.0</v>
      </c>
      <c r="L115" s="245">
        <v>2.0</v>
      </c>
      <c r="M115" s="245">
        <v>100.0</v>
      </c>
      <c r="N115" s="247">
        <v>50.0</v>
      </c>
      <c r="O115" s="258" t="s">
        <v>170</v>
      </c>
      <c r="P115" s="3"/>
      <c r="Q115" s="3"/>
      <c r="R115" s="3"/>
      <c r="S115" s="3"/>
      <c r="T115" s="3"/>
      <c r="U115" s="3"/>
      <c r="V115" s="3"/>
      <c r="W115" s="3"/>
      <c r="X115" s="3"/>
      <c r="Y115" s="3"/>
      <c r="Z115" s="3"/>
      <c r="AA115" s="3"/>
      <c r="AB115" s="3"/>
      <c r="AC115" s="3"/>
      <c r="AD115" s="3"/>
      <c r="AE115" s="3"/>
      <c r="AF115" s="3"/>
    </row>
    <row r="116" ht="15.0" customHeight="1">
      <c r="A116" s="224" t="s">
        <v>5576</v>
      </c>
      <c r="B116" s="224" t="s">
        <v>5203</v>
      </c>
      <c r="C116" s="224" t="s">
        <v>5640</v>
      </c>
      <c r="D116" s="224" t="s">
        <v>147</v>
      </c>
      <c r="E116" s="224" t="s">
        <v>5637</v>
      </c>
      <c r="F116" s="224" t="s">
        <v>5632</v>
      </c>
      <c r="G116" s="245" t="s">
        <v>5641</v>
      </c>
      <c r="H116" s="245" t="s">
        <v>5642</v>
      </c>
      <c r="I116" s="245" t="s">
        <v>5635</v>
      </c>
      <c r="J116" s="245">
        <v>3.0</v>
      </c>
      <c r="K116" s="245">
        <v>3.0</v>
      </c>
      <c r="L116" s="245">
        <v>4.0</v>
      </c>
      <c r="M116" s="245">
        <v>100.0</v>
      </c>
      <c r="N116" s="247">
        <v>33.33</v>
      </c>
      <c r="O116" s="258" t="s">
        <v>170</v>
      </c>
      <c r="P116" s="3"/>
      <c r="Q116" s="3"/>
      <c r="R116" s="3"/>
      <c r="S116" s="3"/>
      <c r="T116" s="3"/>
      <c r="U116" s="3"/>
      <c r="V116" s="3"/>
      <c r="W116" s="3"/>
      <c r="X116" s="3"/>
      <c r="Y116" s="3"/>
      <c r="Z116" s="3"/>
      <c r="AA116" s="3"/>
      <c r="AB116" s="3"/>
      <c r="AC116" s="3"/>
      <c r="AD116" s="3"/>
      <c r="AE116" s="3"/>
      <c r="AF116" s="3"/>
    </row>
    <row r="117" ht="15.0" customHeight="1">
      <c r="A117" s="224" t="s">
        <v>5597</v>
      </c>
      <c r="B117" s="224" t="s">
        <v>5203</v>
      </c>
      <c r="C117" s="224" t="s">
        <v>5598</v>
      </c>
      <c r="D117" s="224" t="s">
        <v>147</v>
      </c>
      <c r="E117" s="224" t="s">
        <v>5599</v>
      </c>
      <c r="F117" s="224" t="s">
        <v>5579</v>
      </c>
      <c r="G117" s="245" t="s">
        <v>5600</v>
      </c>
      <c r="H117" s="245" t="s">
        <v>5643</v>
      </c>
      <c r="I117" s="245" t="s">
        <v>5582</v>
      </c>
      <c r="J117" s="245">
        <v>3.0</v>
      </c>
      <c r="K117" s="245">
        <v>3.0</v>
      </c>
      <c r="L117" s="245">
        <v>3.0</v>
      </c>
      <c r="M117" s="245">
        <v>100.0</v>
      </c>
      <c r="N117" s="247">
        <v>33.333333333333336</v>
      </c>
      <c r="O117" s="258" t="s">
        <v>171</v>
      </c>
      <c r="P117" s="3"/>
      <c r="Q117" s="3"/>
      <c r="R117" s="3"/>
      <c r="S117" s="3"/>
      <c r="T117" s="3"/>
      <c r="U117" s="3"/>
      <c r="V117" s="3"/>
      <c r="W117" s="3"/>
      <c r="X117" s="3"/>
      <c r="Y117" s="3"/>
      <c r="Z117" s="3"/>
      <c r="AA117" s="3"/>
      <c r="AB117" s="3"/>
      <c r="AC117" s="3"/>
      <c r="AD117" s="3"/>
      <c r="AE117" s="3"/>
      <c r="AF117" s="3"/>
    </row>
    <row r="118" ht="15.0" customHeight="1">
      <c r="A118" s="224" t="s">
        <v>5644</v>
      </c>
      <c r="B118" s="224" t="s">
        <v>5203</v>
      </c>
      <c r="C118" s="224" t="s">
        <v>5645</v>
      </c>
      <c r="D118" s="224" t="s">
        <v>147</v>
      </c>
      <c r="E118" s="224" t="s">
        <v>5646</v>
      </c>
      <c r="F118" s="224" t="s">
        <v>5647</v>
      </c>
      <c r="G118" s="245" t="s">
        <v>5648</v>
      </c>
      <c r="H118" s="245" t="s">
        <v>5649</v>
      </c>
      <c r="I118" s="245" t="s">
        <v>5582</v>
      </c>
      <c r="J118" s="245">
        <v>1.0</v>
      </c>
      <c r="K118" s="245">
        <v>1.0</v>
      </c>
      <c r="L118" s="245">
        <v>3.0</v>
      </c>
      <c r="M118" s="245">
        <v>100.0</v>
      </c>
      <c r="N118" s="247">
        <v>33.333333333333336</v>
      </c>
      <c r="O118" s="258" t="s">
        <v>171</v>
      </c>
      <c r="P118" s="3"/>
      <c r="Q118" s="3"/>
      <c r="R118" s="3"/>
      <c r="S118" s="3"/>
      <c r="T118" s="3"/>
      <c r="U118" s="3"/>
      <c r="V118" s="3"/>
      <c r="W118" s="3"/>
      <c r="X118" s="3"/>
      <c r="Y118" s="3"/>
      <c r="Z118" s="3"/>
      <c r="AA118" s="3"/>
      <c r="AB118" s="3"/>
      <c r="AC118" s="3"/>
      <c r="AD118" s="3"/>
      <c r="AE118" s="3"/>
      <c r="AF118" s="3"/>
    </row>
    <row r="119" ht="15.0" customHeight="1">
      <c r="A119" s="224" t="s">
        <v>5650</v>
      </c>
      <c r="B119" s="224" t="s">
        <v>5203</v>
      </c>
      <c r="C119" s="224" t="s">
        <v>5651</v>
      </c>
      <c r="D119" s="224" t="s">
        <v>147</v>
      </c>
      <c r="E119" s="224" t="s">
        <v>5599</v>
      </c>
      <c r="F119" s="224" t="s">
        <v>5579</v>
      </c>
      <c r="G119" s="245">
        <v>45364.0</v>
      </c>
      <c r="H119" s="245" t="s">
        <v>5652</v>
      </c>
      <c r="I119" s="245" t="s">
        <v>5653</v>
      </c>
      <c r="J119" s="245">
        <v>1.0</v>
      </c>
      <c r="K119" s="245">
        <v>1.0</v>
      </c>
      <c r="L119" s="245">
        <v>1.0</v>
      </c>
      <c r="M119" s="245">
        <v>100.0</v>
      </c>
      <c r="N119" s="247">
        <v>100.0</v>
      </c>
      <c r="O119" s="258" t="s">
        <v>5654</v>
      </c>
      <c r="P119" s="3"/>
      <c r="Q119" s="3"/>
      <c r="R119" s="3"/>
      <c r="S119" s="3"/>
      <c r="T119" s="3"/>
      <c r="U119" s="3"/>
      <c r="V119" s="3"/>
      <c r="W119" s="3"/>
      <c r="X119" s="3"/>
      <c r="Y119" s="3"/>
      <c r="Z119" s="3"/>
      <c r="AA119" s="3"/>
      <c r="AB119" s="3"/>
      <c r="AC119" s="3"/>
      <c r="AD119" s="3"/>
      <c r="AE119" s="3"/>
      <c r="AF119" s="3"/>
    </row>
    <row r="120" ht="15.0" customHeight="1">
      <c r="A120" s="224" t="s">
        <v>5583</v>
      </c>
      <c r="B120" s="224" t="s">
        <v>5203</v>
      </c>
      <c r="C120" s="224" t="s">
        <v>5655</v>
      </c>
      <c r="D120" s="224" t="s">
        <v>147</v>
      </c>
      <c r="E120" s="224" t="s">
        <v>5599</v>
      </c>
      <c r="F120" s="224" t="s">
        <v>5586</v>
      </c>
      <c r="G120" s="245" t="s">
        <v>5587</v>
      </c>
      <c r="H120" s="245" t="s">
        <v>5656</v>
      </c>
      <c r="I120" s="245" t="s">
        <v>5582</v>
      </c>
      <c r="J120" s="245">
        <v>2.0</v>
      </c>
      <c r="K120" s="245">
        <v>2.0</v>
      </c>
      <c r="L120" s="245">
        <v>2.0</v>
      </c>
      <c r="M120" s="245">
        <v>100.0</v>
      </c>
      <c r="N120" s="247">
        <v>50.0</v>
      </c>
      <c r="O120" s="258" t="s">
        <v>180</v>
      </c>
      <c r="P120" s="3"/>
      <c r="Q120" s="3"/>
      <c r="R120" s="3"/>
      <c r="S120" s="3"/>
      <c r="T120" s="3"/>
      <c r="U120" s="3"/>
      <c r="V120" s="3"/>
      <c r="W120" s="3"/>
      <c r="X120" s="3"/>
      <c r="Y120" s="3"/>
      <c r="Z120" s="3"/>
      <c r="AA120" s="3"/>
      <c r="AB120" s="3"/>
      <c r="AC120" s="3"/>
      <c r="AD120" s="3"/>
      <c r="AE120" s="3"/>
      <c r="AF120" s="3"/>
    </row>
    <row r="121" ht="15.75" customHeight="1">
      <c r="A121" s="224" t="s">
        <v>5657</v>
      </c>
      <c r="B121" s="224" t="s">
        <v>5203</v>
      </c>
      <c r="C121" s="224" t="s">
        <v>5658</v>
      </c>
      <c r="D121" s="224" t="s">
        <v>147</v>
      </c>
      <c r="E121" s="224" t="s">
        <v>5659</v>
      </c>
      <c r="F121" s="224" t="s">
        <v>5660</v>
      </c>
      <c r="G121" s="245">
        <v>45444.0</v>
      </c>
      <c r="H121" s="245" t="s">
        <v>5661</v>
      </c>
      <c r="I121" s="245" t="s">
        <v>5662</v>
      </c>
      <c r="J121" s="245">
        <v>4.0</v>
      </c>
      <c r="K121" s="245">
        <v>1.0</v>
      </c>
      <c r="L121" s="245">
        <v>6.0</v>
      </c>
      <c r="M121" s="245">
        <v>100.0</v>
      </c>
      <c r="N121" s="247">
        <v>25.0</v>
      </c>
      <c r="O121" s="258" t="s">
        <v>5125</v>
      </c>
      <c r="P121" s="3"/>
      <c r="Q121" s="3"/>
      <c r="R121" s="3"/>
      <c r="S121" s="3"/>
      <c r="T121" s="3"/>
      <c r="U121" s="3"/>
      <c r="V121" s="3"/>
      <c r="W121" s="3"/>
      <c r="X121" s="3"/>
      <c r="Y121" s="3"/>
      <c r="Z121" s="3"/>
      <c r="AA121" s="3"/>
      <c r="AB121" s="3"/>
      <c r="AC121" s="3"/>
      <c r="AD121" s="3"/>
      <c r="AE121" s="3"/>
      <c r="AF121" s="3"/>
    </row>
    <row r="122" ht="15.75" customHeight="1">
      <c r="A122" s="193" t="s">
        <v>185</v>
      </c>
      <c r="B122" s="61"/>
      <c r="C122" s="61"/>
      <c r="D122" s="1"/>
      <c r="E122" s="1"/>
      <c r="F122" s="1"/>
      <c r="G122" s="106"/>
      <c r="H122" s="263"/>
      <c r="I122" s="263"/>
      <c r="J122" s="263"/>
      <c r="K122" s="263"/>
      <c r="L122" s="263"/>
      <c r="M122" s="263"/>
      <c r="N122" s="263">
        <f>SUM(N11:N121)</f>
        <v>5112.656667</v>
      </c>
      <c r="O122" s="3"/>
      <c r="P122" s="3"/>
      <c r="Q122" s="3"/>
      <c r="R122" s="3"/>
      <c r="S122" s="3"/>
      <c r="T122" s="3"/>
      <c r="U122" s="3"/>
      <c r="V122" s="3"/>
      <c r="W122" s="3"/>
      <c r="X122" s="3"/>
      <c r="Y122" s="3"/>
      <c r="Z122" s="3"/>
      <c r="AA122" s="3"/>
      <c r="AB122" s="3"/>
      <c r="AC122" s="3"/>
      <c r="AD122" s="3"/>
      <c r="AE122" s="3"/>
      <c r="AF122" s="3"/>
    </row>
    <row r="123" ht="15.75" customHeight="1">
      <c r="A123" s="104"/>
      <c r="B123" s="61"/>
      <c r="C123" s="61"/>
      <c r="D123" s="1"/>
      <c r="E123" s="1"/>
      <c r="F123" s="1"/>
      <c r="G123" s="1"/>
      <c r="H123" s="1"/>
      <c r="I123" s="1"/>
      <c r="J123" s="1"/>
      <c r="K123" s="1"/>
      <c r="L123" s="1"/>
      <c r="M123" s="1"/>
      <c r="N123" s="1"/>
      <c r="O123" s="3"/>
      <c r="P123" s="3"/>
      <c r="Q123" s="3"/>
      <c r="R123" s="3"/>
      <c r="S123" s="3"/>
      <c r="T123" s="3"/>
      <c r="U123" s="3"/>
      <c r="V123" s="3"/>
      <c r="W123" s="3"/>
      <c r="X123" s="3"/>
      <c r="Y123" s="3"/>
      <c r="Z123" s="3"/>
      <c r="AA123" s="3"/>
      <c r="AB123" s="3"/>
      <c r="AC123" s="3"/>
      <c r="AD123" s="3"/>
      <c r="AE123" s="3"/>
      <c r="AF123" s="3"/>
    </row>
    <row r="124" ht="15.75" customHeight="1">
      <c r="A124" s="144" t="s">
        <v>1169</v>
      </c>
      <c r="B124" s="103"/>
      <c r="C124" s="103"/>
      <c r="D124" s="103"/>
      <c r="E124" s="103"/>
      <c r="F124" s="103"/>
      <c r="G124" s="103"/>
      <c r="H124" s="103"/>
      <c r="I124" s="103"/>
      <c r="J124" s="103"/>
      <c r="K124" s="103"/>
      <c r="L124" s="103"/>
      <c r="M124" s="103"/>
      <c r="N124" s="103"/>
      <c r="O124" s="3"/>
      <c r="P124" s="3"/>
      <c r="Q124" s="3"/>
      <c r="R124" s="3"/>
      <c r="S124" s="3"/>
      <c r="T124" s="3"/>
      <c r="U124" s="3"/>
      <c r="V124" s="3"/>
      <c r="W124" s="3"/>
      <c r="X124" s="3"/>
      <c r="Y124" s="3"/>
      <c r="Z124" s="3"/>
      <c r="AA124" s="3"/>
      <c r="AB124" s="3"/>
      <c r="AC124" s="3"/>
      <c r="AD124" s="3"/>
      <c r="AE124" s="3"/>
      <c r="AF124" s="3"/>
    </row>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N2"/>
    <mergeCell ref="A4:N4"/>
    <mergeCell ref="A5:N5"/>
    <mergeCell ref="A6:N6"/>
    <mergeCell ref="A7:N7"/>
    <mergeCell ref="A8:N8"/>
    <mergeCell ref="A124:N124"/>
  </mergeCells>
  <hyperlinks>
    <hyperlink r:id="rId1" ref="I15"/>
    <hyperlink r:id="rId2" ref="H21"/>
    <hyperlink r:id="rId3" ref="H22"/>
    <hyperlink r:id="rId4" ref="I26"/>
    <hyperlink r:id="rId5" ref="I27"/>
    <hyperlink r:id="rId6" ref="I28"/>
    <hyperlink r:id="rId7" ref="I29"/>
    <hyperlink r:id="rId8" ref="I30"/>
    <hyperlink r:id="rId9" ref="I31"/>
    <hyperlink r:id="rId10" ref="I41"/>
    <hyperlink r:id="rId11" ref="H51"/>
    <hyperlink r:id="rId12" ref="H63"/>
    <hyperlink r:id="rId13" ref="H64"/>
    <hyperlink r:id="rId14" ref="H66"/>
    <hyperlink r:id="rId15" ref="H67"/>
    <hyperlink r:id="rId16" ref="H73"/>
    <hyperlink r:id="rId17" ref="H74"/>
    <hyperlink r:id="rId18" ref="H77"/>
    <hyperlink r:id="rId19" ref="I77"/>
    <hyperlink r:id="rId20" ref="H78"/>
    <hyperlink r:id="rId21" ref="I78"/>
    <hyperlink r:id="rId22" ref="H79"/>
    <hyperlink r:id="rId23" ref="I79"/>
    <hyperlink r:id="rId24" ref="E80"/>
    <hyperlink r:id="rId25" ref="H80"/>
    <hyperlink r:id="rId26" ref="I80"/>
    <hyperlink r:id="rId27" ref="E81"/>
    <hyperlink r:id="rId28" ref="H81"/>
    <hyperlink r:id="rId29" ref="I81"/>
    <hyperlink r:id="rId30" ref="I82"/>
    <hyperlink r:id="rId31" ref="I83"/>
    <hyperlink r:id="rId32" ref="H84"/>
    <hyperlink r:id="rId33" ref="H89"/>
    <hyperlink r:id="rId34" ref="H90"/>
    <hyperlink r:id="rId35" ref="I91"/>
    <hyperlink r:id="rId36" ref="H96"/>
    <hyperlink r:id="rId37" ref="H97"/>
  </hyperlinks>
  <printOptions/>
  <pageMargins bottom="0.75" footer="0.0" header="0.0" left="0.7" right="0.7" top="0.75"/>
  <pageSetup orientation="landscape"/>
  <drawing r:id="rId38"/>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10" max="10" width="6.29"/>
    <col customWidth="1" min="11" max="11" width="8.14"/>
    <col customWidth="1" min="12" max="13" width="8.86"/>
    <col customWidth="1" min="14" max="31" width="8.0"/>
  </cols>
  <sheetData>
    <row r="1" ht="9.0" customHeight="1">
      <c r="A1" s="130"/>
      <c r="B1" s="70"/>
      <c r="C1" s="70"/>
      <c r="D1" s="264"/>
      <c r="E1" s="264"/>
      <c r="F1" s="264"/>
      <c r="G1" s="264"/>
      <c r="H1" s="264"/>
      <c r="I1" s="264"/>
      <c r="J1" s="264"/>
      <c r="K1" s="264"/>
      <c r="L1" s="227"/>
      <c r="M1" s="227"/>
      <c r="N1" s="227"/>
      <c r="O1" s="227"/>
      <c r="P1" s="227"/>
      <c r="Q1" s="227"/>
      <c r="R1" s="227"/>
      <c r="S1" s="227"/>
      <c r="T1" s="227"/>
      <c r="U1" s="227"/>
      <c r="V1" s="227"/>
      <c r="W1" s="227"/>
      <c r="X1" s="227"/>
      <c r="Y1" s="227"/>
      <c r="Z1" s="227"/>
      <c r="AA1" s="227"/>
      <c r="AB1" s="227"/>
      <c r="AC1" s="227"/>
      <c r="AD1" s="227"/>
      <c r="AE1" s="227"/>
    </row>
    <row r="2" ht="29.25" customHeight="1">
      <c r="A2" s="265" t="s">
        <v>5663</v>
      </c>
      <c r="B2" s="103"/>
      <c r="C2" s="103"/>
      <c r="D2" s="103"/>
      <c r="E2" s="103"/>
      <c r="F2" s="103"/>
      <c r="G2" s="103"/>
      <c r="H2" s="103"/>
      <c r="I2" s="103"/>
      <c r="J2" s="103"/>
      <c r="K2" s="103"/>
      <c r="L2" s="103"/>
      <c r="M2" s="103"/>
      <c r="N2" s="266"/>
      <c r="O2" s="266"/>
      <c r="P2" s="266"/>
      <c r="Q2" s="266"/>
      <c r="R2" s="266"/>
      <c r="S2" s="266"/>
      <c r="T2" s="266"/>
      <c r="U2" s="266"/>
      <c r="V2" s="266"/>
      <c r="W2" s="266"/>
      <c r="X2" s="266"/>
      <c r="Y2" s="266"/>
      <c r="Z2" s="266"/>
      <c r="AA2" s="266"/>
      <c r="AB2" s="266"/>
      <c r="AC2" s="266"/>
      <c r="AD2" s="266"/>
      <c r="AE2" s="266"/>
    </row>
    <row r="3">
      <c r="A3" s="267"/>
      <c r="B3" s="267"/>
      <c r="C3" s="267"/>
      <c r="D3" s="267"/>
      <c r="E3" s="267"/>
      <c r="F3" s="267"/>
      <c r="G3" s="267"/>
      <c r="H3" s="267"/>
      <c r="I3" s="267"/>
      <c r="J3" s="267"/>
      <c r="K3" s="267"/>
      <c r="L3" s="268"/>
      <c r="M3" s="268"/>
      <c r="N3" s="266"/>
      <c r="O3" s="266"/>
      <c r="P3" s="266"/>
      <c r="Q3" s="266"/>
      <c r="R3" s="266"/>
      <c r="S3" s="266"/>
      <c r="T3" s="266"/>
      <c r="U3" s="266"/>
      <c r="V3" s="266"/>
      <c r="W3" s="266"/>
      <c r="X3" s="266"/>
      <c r="Y3" s="266"/>
      <c r="Z3" s="266"/>
      <c r="AA3" s="266"/>
      <c r="AB3" s="266"/>
      <c r="AC3" s="266"/>
      <c r="AD3" s="266"/>
      <c r="AE3" s="266"/>
    </row>
    <row r="4" ht="25.5" customHeight="1">
      <c r="A4" s="108" t="s">
        <v>5664</v>
      </c>
      <c r="B4" s="64"/>
      <c r="C4" s="64"/>
      <c r="D4" s="64"/>
      <c r="E4" s="64"/>
      <c r="F4" s="64"/>
      <c r="G4" s="64"/>
      <c r="H4" s="64"/>
      <c r="I4" s="64"/>
      <c r="J4" s="64"/>
      <c r="K4" s="64"/>
      <c r="L4" s="64"/>
      <c r="M4" s="65"/>
      <c r="N4" s="269"/>
      <c r="O4" s="269"/>
      <c r="P4" s="269"/>
      <c r="Q4" s="269"/>
      <c r="R4" s="269"/>
      <c r="S4" s="269"/>
      <c r="T4" s="269"/>
      <c r="U4" s="269"/>
      <c r="V4" s="269"/>
      <c r="W4" s="269"/>
      <c r="X4" s="269"/>
      <c r="Y4" s="269"/>
      <c r="Z4" s="269"/>
      <c r="AA4" s="269"/>
      <c r="AB4" s="269"/>
      <c r="AC4" s="269"/>
      <c r="AD4" s="269"/>
      <c r="AE4" s="269"/>
    </row>
    <row r="5" ht="29.25" customHeight="1">
      <c r="A5" s="108" t="s">
        <v>5665</v>
      </c>
      <c r="B5" s="64"/>
      <c r="C5" s="64"/>
      <c r="D5" s="64"/>
      <c r="E5" s="64"/>
      <c r="F5" s="64"/>
      <c r="G5" s="64"/>
      <c r="H5" s="64"/>
      <c r="I5" s="64"/>
      <c r="J5" s="64"/>
      <c r="K5" s="64"/>
      <c r="L5" s="64"/>
      <c r="M5" s="65"/>
      <c r="N5" s="269"/>
      <c r="O5" s="269"/>
      <c r="P5" s="269"/>
      <c r="Q5" s="269"/>
      <c r="R5" s="269"/>
      <c r="S5" s="269"/>
      <c r="T5" s="269"/>
      <c r="U5" s="269"/>
      <c r="V5" s="269"/>
      <c r="W5" s="269"/>
      <c r="X5" s="269"/>
      <c r="Y5" s="269"/>
      <c r="Z5" s="269"/>
      <c r="AA5" s="269"/>
      <c r="AB5" s="269"/>
      <c r="AC5" s="269"/>
      <c r="AD5" s="269"/>
      <c r="AE5" s="269"/>
    </row>
    <row r="6" ht="18.75" customHeight="1">
      <c r="A6" s="108" t="s">
        <v>5666</v>
      </c>
      <c r="B6" s="64"/>
      <c r="C6" s="64"/>
      <c r="D6" s="64"/>
      <c r="E6" s="64"/>
      <c r="F6" s="64"/>
      <c r="G6" s="64"/>
      <c r="H6" s="64"/>
      <c r="I6" s="64"/>
      <c r="J6" s="64"/>
      <c r="K6" s="64"/>
      <c r="L6" s="64"/>
      <c r="M6" s="65"/>
      <c r="N6" s="269"/>
      <c r="O6" s="269"/>
      <c r="P6" s="269"/>
      <c r="Q6" s="269"/>
      <c r="R6" s="269"/>
      <c r="S6" s="269"/>
      <c r="T6" s="269"/>
      <c r="U6" s="269"/>
      <c r="V6" s="269"/>
      <c r="W6" s="269"/>
      <c r="X6" s="269"/>
      <c r="Y6" s="269"/>
      <c r="Z6" s="269"/>
      <c r="AA6" s="269"/>
      <c r="AB6" s="269"/>
      <c r="AC6" s="269"/>
      <c r="AD6" s="269"/>
      <c r="AE6" s="269"/>
    </row>
    <row r="7" ht="16.5" customHeight="1">
      <c r="A7" s="108" t="s">
        <v>5667</v>
      </c>
      <c r="B7" s="64"/>
      <c r="C7" s="64"/>
      <c r="D7" s="64"/>
      <c r="E7" s="64"/>
      <c r="F7" s="64"/>
      <c r="G7" s="64"/>
      <c r="H7" s="64"/>
      <c r="I7" s="64"/>
      <c r="J7" s="64"/>
      <c r="K7" s="64"/>
      <c r="L7" s="64"/>
      <c r="M7" s="65"/>
      <c r="N7" s="269"/>
      <c r="O7" s="269"/>
      <c r="P7" s="269"/>
      <c r="Q7" s="269"/>
      <c r="R7" s="269"/>
      <c r="S7" s="269"/>
      <c r="T7" s="269"/>
      <c r="U7" s="269"/>
      <c r="V7" s="269"/>
      <c r="W7" s="269"/>
      <c r="X7" s="269"/>
      <c r="Y7" s="269"/>
      <c r="Z7" s="269"/>
      <c r="AA7" s="269"/>
      <c r="AB7" s="269"/>
      <c r="AC7" s="269"/>
      <c r="AD7" s="269"/>
      <c r="AE7" s="269"/>
    </row>
    <row r="8" ht="14.25" customHeight="1">
      <c r="A8" s="108" t="s">
        <v>5668</v>
      </c>
      <c r="B8" s="64"/>
      <c r="C8" s="64"/>
      <c r="D8" s="64"/>
      <c r="E8" s="64"/>
      <c r="F8" s="64"/>
      <c r="G8" s="64"/>
      <c r="H8" s="64"/>
      <c r="I8" s="64"/>
      <c r="J8" s="64"/>
      <c r="K8" s="64"/>
      <c r="L8" s="64"/>
      <c r="M8" s="65"/>
      <c r="N8" s="269"/>
      <c r="O8" s="269"/>
      <c r="P8" s="269"/>
      <c r="Q8" s="269"/>
      <c r="R8" s="269"/>
      <c r="S8" s="269"/>
      <c r="T8" s="269"/>
      <c r="U8" s="269"/>
      <c r="V8" s="269"/>
      <c r="W8" s="269"/>
      <c r="X8" s="269"/>
      <c r="Y8" s="269"/>
      <c r="Z8" s="269"/>
      <c r="AA8" s="269"/>
      <c r="AB8" s="269"/>
      <c r="AC8" s="269"/>
      <c r="AD8" s="269"/>
      <c r="AE8" s="269"/>
    </row>
    <row r="9" ht="15.75" customHeight="1">
      <c r="A9" s="108" t="s">
        <v>5669</v>
      </c>
      <c r="B9" s="64"/>
      <c r="C9" s="64"/>
      <c r="D9" s="64"/>
      <c r="E9" s="64"/>
      <c r="F9" s="64"/>
      <c r="G9" s="64"/>
      <c r="H9" s="64"/>
      <c r="I9" s="64"/>
      <c r="J9" s="64"/>
      <c r="K9" s="64"/>
      <c r="L9" s="64"/>
      <c r="M9" s="65"/>
      <c r="N9" s="269"/>
      <c r="O9" s="269"/>
      <c r="P9" s="269"/>
      <c r="Q9" s="269"/>
      <c r="R9" s="269"/>
      <c r="S9" s="269"/>
      <c r="T9" s="269"/>
      <c r="U9" s="269"/>
      <c r="V9" s="269"/>
      <c r="W9" s="269"/>
      <c r="X9" s="269"/>
      <c r="Y9" s="269"/>
      <c r="Z9" s="269"/>
      <c r="AA9" s="269"/>
      <c r="AB9" s="269"/>
      <c r="AC9" s="269"/>
      <c r="AD9" s="269"/>
      <c r="AE9" s="269"/>
    </row>
    <row r="10" ht="26.25" customHeight="1">
      <c r="A10" s="108" t="s">
        <v>5670</v>
      </c>
      <c r="B10" s="64"/>
      <c r="C10" s="64"/>
      <c r="D10" s="64"/>
      <c r="E10" s="64"/>
      <c r="F10" s="64"/>
      <c r="G10" s="64"/>
      <c r="H10" s="64"/>
      <c r="I10" s="64"/>
      <c r="J10" s="64"/>
      <c r="K10" s="64"/>
      <c r="L10" s="64"/>
      <c r="M10" s="65"/>
      <c r="N10" s="269"/>
      <c r="O10" s="269"/>
      <c r="P10" s="269"/>
      <c r="Q10" s="269"/>
      <c r="R10" s="269"/>
      <c r="S10" s="269"/>
      <c r="T10" s="269"/>
      <c r="U10" s="269"/>
      <c r="V10" s="269"/>
      <c r="W10" s="269"/>
      <c r="X10" s="269"/>
      <c r="Y10" s="269"/>
      <c r="Z10" s="269"/>
      <c r="AA10" s="269"/>
      <c r="AB10" s="269"/>
      <c r="AC10" s="269"/>
      <c r="AD10" s="269"/>
      <c r="AE10" s="269"/>
    </row>
    <row r="11" ht="79.5" customHeight="1">
      <c r="A11" s="67" t="s">
        <v>5671</v>
      </c>
      <c r="B11" s="64"/>
      <c r="C11" s="64"/>
      <c r="D11" s="64"/>
      <c r="E11" s="64"/>
      <c r="F11" s="64"/>
      <c r="G11" s="64"/>
      <c r="H11" s="64"/>
      <c r="I11" s="64"/>
      <c r="J11" s="64"/>
      <c r="K11" s="64"/>
      <c r="L11" s="64"/>
      <c r="M11" s="65"/>
      <c r="N11" s="266"/>
      <c r="O11" s="266"/>
      <c r="P11" s="266"/>
      <c r="Q11" s="266"/>
      <c r="R11" s="266"/>
      <c r="S11" s="266"/>
      <c r="T11" s="266"/>
      <c r="U11" s="266"/>
      <c r="V11" s="266"/>
      <c r="W11" s="266"/>
      <c r="X11" s="266"/>
      <c r="Y11" s="266"/>
      <c r="Z11" s="266"/>
      <c r="AA11" s="266"/>
      <c r="AB11" s="266"/>
      <c r="AC11" s="266"/>
      <c r="AD11" s="266"/>
      <c r="AE11" s="266"/>
    </row>
    <row r="12">
      <c r="A12" s="109"/>
      <c r="B12" s="270"/>
      <c r="C12" s="270"/>
      <c r="D12" s="109"/>
      <c r="E12" s="109"/>
      <c r="F12" s="109"/>
      <c r="G12" s="109"/>
      <c r="H12" s="109"/>
      <c r="I12" s="109"/>
      <c r="J12" s="109"/>
      <c r="K12" s="109"/>
      <c r="L12" s="264"/>
      <c r="M12" s="264"/>
      <c r="N12" s="227"/>
      <c r="O12" s="227"/>
      <c r="P12" s="227"/>
      <c r="Q12" s="227"/>
      <c r="R12" s="227"/>
      <c r="S12" s="227"/>
      <c r="T12" s="227"/>
      <c r="U12" s="227"/>
      <c r="V12" s="227"/>
      <c r="W12" s="227"/>
      <c r="X12" s="227"/>
      <c r="Y12" s="227"/>
      <c r="Z12" s="227"/>
      <c r="AA12" s="227"/>
      <c r="AB12" s="227"/>
      <c r="AC12" s="227"/>
      <c r="AD12" s="227"/>
      <c r="AE12" s="227"/>
    </row>
    <row r="13">
      <c r="A13" s="130"/>
      <c r="B13" s="70"/>
      <c r="C13" s="70"/>
      <c r="D13" s="264"/>
      <c r="E13" s="264"/>
      <c r="F13" s="264"/>
      <c r="G13" s="264"/>
      <c r="H13" s="264"/>
      <c r="I13" s="264"/>
      <c r="J13" s="264"/>
      <c r="K13" s="264"/>
      <c r="L13" s="227"/>
      <c r="M13" s="227"/>
      <c r="N13" s="227"/>
      <c r="O13" s="227"/>
      <c r="P13" s="227"/>
      <c r="Q13" s="227"/>
      <c r="R13" s="227"/>
      <c r="S13" s="227"/>
      <c r="T13" s="227"/>
      <c r="U13" s="227"/>
      <c r="V13" s="227"/>
      <c r="W13" s="227"/>
      <c r="X13" s="227"/>
      <c r="Y13" s="227"/>
      <c r="Z13" s="227"/>
      <c r="AA13" s="227"/>
      <c r="AB13" s="227"/>
      <c r="AC13" s="227"/>
      <c r="AD13" s="227"/>
      <c r="AE13" s="227"/>
    </row>
    <row r="14" ht="51.75" customHeight="1">
      <c r="A14" s="131" t="s">
        <v>1177</v>
      </c>
      <c r="B14" s="228" t="s">
        <v>5672</v>
      </c>
      <c r="C14" s="132" t="s">
        <v>8</v>
      </c>
      <c r="D14" s="271" t="s">
        <v>5673</v>
      </c>
      <c r="E14" s="228" t="s">
        <v>5674</v>
      </c>
      <c r="F14" s="228" t="s">
        <v>212</v>
      </c>
      <c r="G14" s="228" t="s">
        <v>5675</v>
      </c>
      <c r="H14" s="272" t="s">
        <v>5676</v>
      </c>
      <c r="I14" s="112" t="s">
        <v>214</v>
      </c>
      <c r="J14" s="112" t="s">
        <v>215</v>
      </c>
      <c r="K14" s="112" t="s">
        <v>216</v>
      </c>
      <c r="L14" s="131" t="s">
        <v>217</v>
      </c>
      <c r="M14" s="131" t="s">
        <v>221</v>
      </c>
      <c r="N14" s="273" t="s">
        <v>222</v>
      </c>
      <c r="O14" s="227"/>
      <c r="P14" s="227"/>
      <c r="Q14" s="227"/>
      <c r="R14" s="227"/>
      <c r="S14" s="227"/>
      <c r="T14" s="227"/>
      <c r="U14" s="227"/>
      <c r="V14" s="227"/>
      <c r="W14" s="227"/>
      <c r="X14" s="227"/>
      <c r="Y14" s="227"/>
      <c r="Z14" s="227"/>
      <c r="AA14" s="227"/>
      <c r="AB14" s="227"/>
      <c r="AC14" s="227"/>
      <c r="AD14" s="227"/>
      <c r="AE14" s="227"/>
    </row>
    <row r="15" ht="15.0" customHeight="1">
      <c r="A15" s="82" t="s">
        <v>5677</v>
      </c>
      <c r="B15" s="82" t="s">
        <v>5678</v>
      </c>
      <c r="C15" s="82" t="s">
        <v>94</v>
      </c>
      <c r="D15" s="86" t="s">
        <v>5679</v>
      </c>
      <c r="E15" s="152" t="s">
        <v>5680</v>
      </c>
      <c r="F15" s="83">
        <v>2023.0</v>
      </c>
      <c r="G15" s="83">
        <v>7.0</v>
      </c>
      <c r="H15" s="274">
        <v>200.0</v>
      </c>
      <c r="I15" s="92">
        <v>3.0</v>
      </c>
      <c r="J15" s="92">
        <v>3.0</v>
      </c>
      <c r="K15" s="92">
        <v>3.0</v>
      </c>
      <c r="L15" s="155">
        <v>400.0</v>
      </c>
      <c r="M15" s="155">
        <v>133.3333</v>
      </c>
      <c r="N15" s="82" t="s">
        <v>5258</v>
      </c>
      <c r="O15" s="227"/>
      <c r="P15" s="227"/>
      <c r="Q15" s="227"/>
      <c r="R15" s="227"/>
      <c r="S15" s="227"/>
      <c r="T15" s="227"/>
      <c r="U15" s="227"/>
      <c r="V15" s="227"/>
      <c r="W15" s="227"/>
      <c r="X15" s="227"/>
      <c r="Y15" s="227"/>
      <c r="Z15" s="227"/>
      <c r="AA15" s="227"/>
      <c r="AB15" s="227"/>
      <c r="AC15" s="227"/>
      <c r="AD15" s="227"/>
      <c r="AE15" s="227"/>
    </row>
    <row r="16" ht="15.0" customHeight="1">
      <c r="A16" s="82" t="s">
        <v>5681</v>
      </c>
      <c r="B16" s="82" t="s">
        <v>5678</v>
      </c>
      <c r="C16" s="82" t="s">
        <v>94</v>
      </c>
      <c r="D16" s="86" t="s">
        <v>5682</v>
      </c>
      <c r="E16" s="152" t="s">
        <v>5683</v>
      </c>
      <c r="F16" s="83">
        <v>2023.0</v>
      </c>
      <c r="G16" s="83">
        <v>7.0</v>
      </c>
      <c r="H16" s="274">
        <v>200.0</v>
      </c>
      <c r="I16" s="92">
        <v>3.0</v>
      </c>
      <c r="J16" s="92">
        <v>3.0</v>
      </c>
      <c r="K16" s="92">
        <v>3.0</v>
      </c>
      <c r="L16" s="155">
        <v>400.0</v>
      </c>
      <c r="M16" s="155">
        <v>133.3333</v>
      </c>
      <c r="N16" s="82" t="s">
        <v>5258</v>
      </c>
      <c r="O16" s="227"/>
      <c r="P16" s="227"/>
      <c r="Q16" s="227"/>
      <c r="R16" s="227"/>
      <c r="S16" s="227"/>
      <c r="T16" s="227"/>
      <c r="U16" s="227"/>
      <c r="V16" s="227"/>
      <c r="W16" s="227"/>
      <c r="X16" s="227"/>
      <c r="Y16" s="227"/>
      <c r="Z16" s="227"/>
      <c r="AA16" s="227"/>
      <c r="AB16" s="227"/>
      <c r="AC16" s="227"/>
      <c r="AD16" s="227"/>
      <c r="AE16" s="227"/>
    </row>
    <row r="17" ht="15.0" customHeight="1">
      <c r="A17" s="82" t="s">
        <v>5684</v>
      </c>
      <c r="B17" s="82" t="s">
        <v>5678</v>
      </c>
      <c r="C17" s="82" t="s">
        <v>94</v>
      </c>
      <c r="D17" s="86" t="s">
        <v>5685</v>
      </c>
      <c r="E17" s="152" t="s">
        <v>5686</v>
      </c>
      <c r="F17" s="83">
        <v>2023.0</v>
      </c>
      <c r="G17" s="83">
        <v>7.0</v>
      </c>
      <c r="H17" s="274">
        <v>196.0</v>
      </c>
      <c r="I17" s="92">
        <v>3.0</v>
      </c>
      <c r="J17" s="92">
        <v>3.0</v>
      </c>
      <c r="K17" s="92">
        <v>3.0</v>
      </c>
      <c r="L17" s="155">
        <v>392.0</v>
      </c>
      <c r="M17" s="155">
        <v>130.6667</v>
      </c>
      <c r="N17" s="82" t="s">
        <v>5258</v>
      </c>
      <c r="O17" s="227"/>
      <c r="P17" s="227"/>
      <c r="Q17" s="227"/>
      <c r="R17" s="227"/>
      <c r="S17" s="227"/>
      <c r="T17" s="227"/>
      <c r="U17" s="227"/>
      <c r="V17" s="227"/>
      <c r="W17" s="227"/>
      <c r="X17" s="227"/>
      <c r="Y17" s="227"/>
      <c r="Z17" s="227"/>
      <c r="AA17" s="227"/>
      <c r="AB17" s="227"/>
      <c r="AC17" s="227"/>
      <c r="AD17" s="227"/>
      <c r="AE17" s="227"/>
    </row>
    <row r="18" ht="15.0" customHeight="1">
      <c r="A18" s="82" t="s">
        <v>5687</v>
      </c>
      <c r="B18" s="82" t="s">
        <v>5678</v>
      </c>
      <c r="C18" s="82" t="s">
        <v>94</v>
      </c>
      <c r="D18" s="86" t="s">
        <v>5688</v>
      </c>
      <c r="E18" s="152" t="s">
        <v>5689</v>
      </c>
      <c r="F18" s="83">
        <v>2023.0</v>
      </c>
      <c r="G18" s="83">
        <v>7.0</v>
      </c>
      <c r="H18" s="274">
        <v>204.0</v>
      </c>
      <c r="I18" s="92">
        <v>3.0</v>
      </c>
      <c r="J18" s="92">
        <v>3.0</v>
      </c>
      <c r="K18" s="92">
        <v>3.0</v>
      </c>
      <c r="L18" s="155">
        <v>408.0</v>
      </c>
      <c r="M18" s="155">
        <v>136.0</v>
      </c>
      <c r="N18" s="82" t="s">
        <v>5258</v>
      </c>
      <c r="O18" s="227"/>
      <c r="P18" s="227"/>
      <c r="Q18" s="227"/>
      <c r="R18" s="227"/>
      <c r="S18" s="227"/>
      <c r="T18" s="227"/>
      <c r="U18" s="227"/>
      <c r="V18" s="227"/>
      <c r="W18" s="227"/>
      <c r="X18" s="227"/>
      <c r="Y18" s="227"/>
      <c r="Z18" s="227"/>
      <c r="AA18" s="227"/>
      <c r="AB18" s="227"/>
      <c r="AC18" s="227"/>
      <c r="AD18" s="227"/>
      <c r="AE18" s="227"/>
    </row>
    <row r="19" ht="15.0" customHeight="1">
      <c r="A19" s="82" t="s">
        <v>5690</v>
      </c>
      <c r="B19" s="82" t="s">
        <v>5678</v>
      </c>
      <c r="C19" s="82" t="s">
        <v>94</v>
      </c>
      <c r="D19" s="86" t="s">
        <v>5691</v>
      </c>
      <c r="E19" s="152" t="s">
        <v>5692</v>
      </c>
      <c r="F19" s="83">
        <v>2023.0</v>
      </c>
      <c r="G19" s="83">
        <v>7.0</v>
      </c>
      <c r="H19" s="274">
        <v>208.0</v>
      </c>
      <c r="I19" s="92">
        <v>3.0</v>
      </c>
      <c r="J19" s="92">
        <v>3.0</v>
      </c>
      <c r="K19" s="92">
        <v>3.0</v>
      </c>
      <c r="L19" s="155">
        <v>416.0</v>
      </c>
      <c r="M19" s="155">
        <v>138.6667</v>
      </c>
      <c r="N19" s="82" t="s">
        <v>5258</v>
      </c>
      <c r="O19" s="227"/>
      <c r="P19" s="227"/>
      <c r="Q19" s="227"/>
      <c r="R19" s="227"/>
      <c r="S19" s="227"/>
      <c r="T19" s="227"/>
      <c r="U19" s="227"/>
      <c r="V19" s="227"/>
      <c r="W19" s="227"/>
      <c r="X19" s="227"/>
      <c r="Y19" s="227"/>
      <c r="Z19" s="227"/>
      <c r="AA19" s="227"/>
      <c r="AB19" s="227"/>
      <c r="AC19" s="227"/>
      <c r="AD19" s="227"/>
      <c r="AE19" s="227"/>
    </row>
    <row r="20" ht="15.0" customHeight="1">
      <c r="A20" s="82" t="s">
        <v>5693</v>
      </c>
      <c r="B20" s="82" t="s">
        <v>5694</v>
      </c>
      <c r="C20" s="82" t="s">
        <v>94</v>
      </c>
      <c r="D20" s="86" t="s">
        <v>5695</v>
      </c>
      <c r="E20" s="152" t="s">
        <v>5696</v>
      </c>
      <c r="F20" s="83">
        <v>2023.0</v>
      </c>
      <c r="G20" s="83" t="s">
        <v>5697</v>
      </c>
      <c r="H20" s="274">
        <v>450.0</v>
      </c>
      <c r="I20" s="92"/>
      <c r="J20" s="92">
        <v>2.0</v>
      </c>
      <c r="K20" s="92">
        <v>2.0</v>
      </c>
      <c r="L20" s="82">
        <f>450*2</f>
        <v>900</v>
      </c>
      <c r="M20" s="82">
        <v>450.0</v>
      </c>
      <c r="N20" s="82" t="s">
        <v>5698</v>
      </c>
      <c r="O20" s="227"/>
      <c r="P20" s="227"/>
      <c r="Q20" s="227"/>
      <c r="R20" s="227"/>
      <c r="S20" s="227"/>
      <c r="T20" s="227"/>
      <c r="U20" s="227"/>
      <c r="V20" s="227"/>
      <c r="W20" s="227"/>
      <c r="X20" s="227"/>
      <c r="Y20" s="227"/>
      <c r="Z20" s="227"/>
      <c r="AA20" s="227"/>
      <c r="AB20" s="227"/>
      <c r="AC20" s="227"/>
      <c r="AD20" s="227"/>
      <c r="AE20" s="227"/>
    </row>
    <row r="21" ht="15.0" customHeight="1">
      <c r="A21" s="82" t="s">
        <v>5699</v>
      </c>
      <c r="B21" s="82" t="s">
        <v>5700</v>
      </c>
      <c r="C21" s="82" t="s">
        <v>94</v>
      </c>
      <c r="D21" s="86" t="s">
        <v>5701</v>
      </c>
      <c r="E21" s="152" t="s">
        <v>5702</v>
      </c>
      <c r="F21" s="83">
        <v>2023.0</v>
      </c>
      <c r="G21" s="83" t="s">
        <v>5703</v>
      </c>
      <c r="H21" s="274">
        <v>172.0</v>
      </c>
      <c r="I21" s="92">
        <v>2.0</v>
      </c>
      <c r="J21" s="92">
        <v>2.0</v>
      </c>
      <c r="K21" s="92">
        <v>2.0</v>
      </c>
      <c r="L21" s="155" t="s">
        <v>5704</v>
      </c>
      <c r="M21" s="155">
        <v>344.0</v>
      </c>
      <c r="N21" s="82" t="s">
        <v>590</v>
      </c>
      <c r="O21" s="227"/>
      <c r="P21" s="227"/>
      <c r="Q21" s="227"/>
      <c r="R21" s="227"/>
      <c r="S21" s="227"/>
      <c r="T21" s="227"/>
      <c r="U21" s="227"/>
      <c r="V21" s="227"/>
      <c r="W21" s="227"/>
      <c r="X21" s="227"/>
      <c r="Y21" s="227"/>
      <c r="Z21" s="227"/>
      <c r="AA21" s="227"/>
      <c r="AB21" s="227"/>
      <c r="AC21" s="227"/>
      <c r="AD21" s="227"/>
      <c r="AE21" s="227"/>
    </row>
    <row r="22" ht="15.0" customHeight="1">
      <c r="A22" s="82" t="s">
        <v>5705</v>
      </c>
      <c r="B22" s="82" t="s">
        <v>5706</v>
      </c>
      <c r="C22" s="82" t="s">
        <v>94</v>
      </c>
      <c r="D22" s="86" t="s">
        <v>5701</v>
      </c>
      <c r="E22" s="152" t="s">
        <v>5707</v>
      </c>
      <c r="F22" s="83">
        <v>2023.0</v>
      </c>
      <c r="G22" s="83" t="s">
        <v>5708</v>
      </c>
      <c r="H22" s="274">
        <v>319.0</v>
      </c>
      <c r="I22" s="92">
        <v>1.0</v>
      </c>
      <c r="J22" s="92">
        <v>1.0</v>
      </c>
      <c r="K22" s="92">
        <v>1.0</v>
      </c>
      <c r="L22" s="155">
        <v>1276.0</v>
      </c>
      <c r="M22" s="155">
        <v>1276.0</v>
      </c>
      <c r="N22" s="82" t="s">
        <v>5709</v>
      </c>
      <c r="O22" s="227"/>
      <c r="P22" s="227"/>
      <c r="Q22" s="227"/>
      <c r="R22" s="227"/>
      <c r="S22" s="227"/>
      <c r="T22" s="227"/>
      <c r="U22" s="227"/>
      <c r="V22" s="227"/>
      <c r="W22" s="227"/>
      <c r="X22" s="227"/>
      <c r="Y22" s="227"/>
      <c r="Z22" s="227"/>
      <c r="AA22" s="227"/>
      <c r="AB22" s="227"/>
      <c r="AC22" s="227"/>
      <c r="AD22" s="227"/>
      <c r="AE22" s="227"/>
    </row>
    <row r="23" ht="15.0" customHeight="1">
      <c r="A23" s="82" t="s">
        <v>5710</v>
      </c>
      <c r="B23" s="82" t="s">
        <v>5711</v>
      </c>
      <c r="C23" s="82" t="s">
        <v>94</v>
      </c>
      <c r="D23" s="86" t="s">
        <v>5712</v>
      </c>
      <c r="E23" s="152" t="s">
        <v>5713</v>
      </c>
      <c r="F23" s="83">
        <v>2023.0</v>
      </c>
      <c r="G23" s="83"/>
      <c r="H23" s="274">
        <v>26.0</v>
      </c>
      <c r="I23" s="92">
        <v>3.0</v>
      </c>
      <c r="J23" s="92">
        <v>2.0</v>
      </c>
      <c r="K23" s="92">
        <v>3.0</v>
      </c>
      <c r="L23" s="82">
        <v>52.0</v>
      </c>
      <c r="M23" s="82">
        <f>52/3</f>
        <v>17.33333333</v>
      </c>
      <c r="N23" s="82" t="s">
        <v>689</v>
      </c>
      <c r="O23" s="227"/>
      <c r="P23" s="227"/>
      <c r="Q23" s="227"/>
      <c r="R23" s="227"/>
      <c r="S23" s="227"/>
      <c r="T23" s="227"/>
      <c r="U23" s="227"/>
      <c r="V23" s="227"/>
      <c r="W23" s="227"/>
      <c r="X23" s="227"/>
      <c r="Y23" s="227"/>
      <c r="Z23" s="227"/>
      <c r="AA23" s="227"/>
      <c r="AB23" s="227"/>
      <c r="AC23" s="227"/>
      <c r="AD23" s="227"/>
      <c r="AE23" s="227"/>
    </row>
    <row r="24" ht="15.0" customHeight="1">
      <c r="A24" s="82" t="s">
        <v>5714</v>
      </c>
      <c r="B24" s="82" t="s">
        <v>861</v>
      </c>
      <c r="C24" s="82" t="s">
        <v>94</v>
      </c>
      <c r="D24" s="86" t="s">
        <v>5715</v>
      </c>
      <c r="E24" s="152" t="s">
        <v>5716</v>
      </c>
      <c r="F24" s="83">
        <v>2023.0</v>
      </c>
      <c r="G24" s="83" t="s">
        <v>5717</v>
      </c>
      <c r="H24" s="274">
        <v>286.0</v>
      </c>
      <c r="I24" s="92">
        <v>1.0</v>
      </c>
      <c r="J24" s="92">
        <v>1.0</v>
      </c>
      <c r="K24" s="92">
        <v>1.0</v>
      </c>
      <c r="L24" s="82">
        <v>572.0</v>
      </c>
      <c r="M24" s="82">
        <v>572.0</v>
      </c>
      <c r="N24" s="82" t="s">
        <v>861</v>
      </c>
      <c r="O24" s="227"/>
      <c r="P24" s="227"/>
      <c r="Q24" s="227"/>
      <c r="R24" s="227"/>
      <c r="S24" s="227"/>
      <c r="T24" s="227"/>
      <c r="U24" s="227"/>
      <c r="V24" s="227"/>
      <c r="W24" s="227"/>
      <c r="X24" s="227"/>
      <c r="Y24" s="227"/>
      <c r="Z24" s="227"/>
      <c r="AA24" s="227"/>
      <c r="AB24" s="227"/>
      <c r="AC24" s="227"/>
      <c r="AD24" s="227"/>
      <c r="AE24" s="227"/>
    </row>
    <row r="25" ht="15.0" customHeight="1">
      <c r="A25" s="82" t="s">
        <v>5718</v>
      </c>
      <c r="B25" s="82" t="s">
        <v>5719</v>
      </c>
      <c r="C25" s="82" t="s">
        <v>94</v>
      </c>
      <c r="D25" s="86" t="s">
        <v>5720</v>
      </c>
      <c r="E25" s="152" t="s">
        <v>5721</v>
      </c>
      <c r="F25" s="83">
        <v>2023.0</v>
      </c>
      <c r="G25" s="83" t="s">
        <v>5708</v>
      </c>
      <c r="H25" s="275">
        <v>233.0</v>
      </c>
      <c r="I25" s="83">
        <v>2.0</v>
      </c>
      <c r="J25" s="83">
        <v>2.0</v>
      </c>
      <c r="K25" s="83">
        <v>2.0</v>
      </c>
      <c r="L25" s="82">
        <v>466.0</v>
      </c>
      <c r="M25" s="82">
        <v>233.0</v>
      </c>
      <c r="N25" s="82" t="s">
        <v>954</v>
      </c>
      <c r="O25" s="227"/>
      <c r="P25" s="227"/>
      <c r="Q25" s="227"/>
      <c r="R25" s="227"/>
      <c r="S25" s="227"/>
      <c r="T25" s="227"/>
      <c r="U25" s="227"/>
      <c r="V25" s="227"/>
      <c r="W25" s="227"/>
      <c r="X25" s="227"/>
      <c r="Y25" s="227"/>
      <c r="Z25" s="227"/>
      <c r="AA25" s="227"/>
      <c r="AB25" s="227"/>
      <c r="AC25" s="227"/>
      <c r="AD25" s="227"/>
      <c r="AE25" s="227"/>
    </row>
    <row r="26" ht="15.0" customHeight="1">
      <c r="A26" s="82" t="s">
        <v>5722</v>
      </c>
      <c r="B26" s="82" t="s">
        <v>4001</v>
      </c>
      <c r="C26" s="82" t="s">
        <v>94</v>
      </c>
      <c r="D26" s="86" t="s">
        <v>5723</v>
      </c>
      <c r="E26" s="152" t="s">
        <v>5724</v>
      </c>
      <c r="F26" s="83">
        <v>2023.0</v>
      </c>
      <c r="G26" s="83" t="s">
        <v>5725</v>
      </c>
      <c r="H26" s="275">
        <v>179.0</v>
      </c>
      <c r="I26" s="83">
        <v>1.0</v>
      </c>
      <c r="J26" s="83">
        <v>1.0</v>
      </c>
      <c r="K26" s="83">
        <v>1.0</v>
      </c>
      <c r="L26" s="82">
        <v>716.0</v>
      </c>
      <c r="M26" s="82">
        <v>716.0</v>
      </c>
      <c r="N26" s="82" t="s">
        <v>954</v>
      </c>
      <c r="O26" s="227"/>
      <c r="P26" s="227"/>
      <c r="Q26" s="227"/>
      <c r="R26" s="227"/>
      <c r="S26" s="227"/>
      <c r="T26" s="227"/>
      <c r="U26" s="227"/>
      <c r="V26" s="227"/>
      <c r="W26" s="227"/>
      <c r="X26" s="227"/>
      <c r="Y26" s="227"/>
      <c r="Z26" s="227"/>
      <c r="AA26" s="227"/>
      <c r="AB26" s="227"/>
      <c r="AC26" s="227"/>
      <c r="AD26" s="227"/>
      <c r="AE26" s="227"/>
    </row>
    <row r="27" ht="15.75" customHeight="1">
      <c r="A27" s="82" t="s">
        <v>5726</v>
      </c>
      <c r="B27" s="148" t="s">
        <v>5727</v>
      </c>
      <c r="C27" s="148" t="s">
        <v>182</v>
      </c>
      <c r="D27" s="160" t="s">
        <v>5728</v>
      </c>
      <c r="E27" s="160" t="s">
        <v>5729</v>
      </c>
      <c r="F27" s="160">
        <v>2023.0</v>
      </c>
      <c r="G27" s="160" t="s">
        <v>5730</v>
      </c>
      <c r="H27" s="160">
        <v>244.0</v>
      </c>
      <c r="I27" s="160">
        <v>2.0</v>
      </c>
      <c r="J27" s="160">
        <v>2.0</v>
      </c>
      <c r="K27" s="160">
        <v>3.0</v>
      </c>
      <c r="L27" s="160">
        <v>244.0</v>
      </c>
      <c r="M27" s="148">
        <v>122.0</v>
      </c>
      <c r="N27" s="82" t="s">
        <v>5513</v>
      </c>
      <c r="O27" s="227"/>
      <c r="P27" s="227"/>
      <c r="Q27" s="227"/>
      <c r="R27" s="227"/>
      <c r="S27" s="227"/>
      <c r="T27" s="227"/>
      <c r="U27" s="227"/>
      <c r="V27" s="227"/>
      <c r="W27" s="227"/>
      <c r="X27" s="227"/>
      <c r="Y27" s="227"/>
      <c r="Z27" s="227"/>
      <c r="AA27" s="227"/>
      <c r="AB27" s="227"/>
      <c r="AC27" s="227"/>
      <c r="AD27" s="227"/>
      <c r="AE27" s="227"/>
    </row>
    <row r="28" ht="164.25" customHeight="1">
      <c r="A28" s="148" t="s">
        <v>5731</v>
      </c>
      <c r="B28" s="148" t="s">
        <v>5732</v>
      </c>
      <c r="C28" s="148" t="s">
        <v>94</v>
      </c>
      <c r="D28" s="160" t="s">
        <v>5733</v>
      </c>
      <c r="E28" s="173" t="s">
        <v>5734</v>
      </c>
      <c r="F28" s="191">
        <v>2023.0</v>
      </c>
      <c r="G28" s="191" t="s">
        <v>5735</v>
      </c>
      <c r="H28" s="276" t="s">
        <v>5736</v>
      </c>
      <c r="I28" s="162" t="s">
        <v>5737</v>
      </c>
      <c r="J28" s="162">
        <v>1.0</v>
      </c>
      <c r="K28" s="162" t="s">
        <v>5738</v>
      </c>
      <c r="L28" s="148" t="s">
        <v>5739</v>
      </c>
      <c r="M28" s="148">
        <v>184.0</v>
      </c>
      <c r="N28" s="82" t="s">
        <v>4024</v>
      </c>
      <c r="O28" s="227"/>
      <c r="P28" s="227"/>
      <c r="Q28" s="227"/>
      <c r="R28" s="227"/>
      <c r="S28" s="227"/>
      <c r="T28" s="227"/>
      <c r="U28" s="227"/>
      <c r="V28" s="227"/>
      <c r="W28" s="227"/>
      <c r="X28" s="227"/>
      <c r="Y28" s="227"/>
      <c r="Z28" s="227"/>
      <c r="AA28" s="227"/>
      <c r="AB28" s="227"/>
      <c r="AC28" s="227"/>
      <c r="AD28" s="227"/>
      <c r="AE28" s="227"/>
    </row>
    <row r="29" ht="15.0" customHeight="1">
      <c r="A29" s="82" t="s">
        <v>5677</v>
      </c>
      <c r="B29" s="82" t="s">
        <v>5678</v>
      </c>
      <c r="C29" s="82" t="s">
        <v>94</v>
      </c>
      <c r="D29" s="82" t="s">
        <v>5740</v>
      </c>
      <c r="E29" s="82" t="s">
        <v>5680</v>
      </c>
      <c r="F29" s="83">
        <v>2023.0</v>
      </c>
      <c r="G29" s="83">
        <v>7.0</v>
      </c>
      <c r="H29" s="274">
        <v>200.0</v>
      </c>
      <c r="I29" s="92">
        <v>3.0</v>
      </c>
      <c r="J29" s="92">
        <v>3.0</v>
      </c>
      <c r="K29" s="92">
        <v>3.0</v>
      </c>
      <c r="L29" s="82">
        <f t="shared" ref="L29:L33" si="1">H29*2</f>
        <v>400</v>
      </c>
      <c r="M29" s="82">
        <f t="shared" ref="M29:M33" si="2">L29/3</f>
        <v>133.3333333</v>
      </c>
      <c r="N29" s="82" t="s">
        <v>4078</v>
      </c>
      <c r="O29" s="227"/>
      <c r="P29" s="227"/>
      <c r="Q29" s="227"/>
      <c r="R29" s="227"/>
      <c r="S29" s="227"/>
      <c r="T29" s="227"/>
      <c r="U29" s="227"/>
      <c r="V29" s="227"/>
      <c r="W29" s="227"/>
      <c r="X29" s="227"/>
      <c r="Y29" s="227"/>
      <c r="Z29" s="227"/>
      <c r="AA29" s="227"/>
      <c r="AB29" s="227"/>
      <c r="AC29" s="227"/>
      <c r="AD29" s="227"/>
      <c r="AE29" s="227"/>
    </row>
    <row r="30" ht="15.0" customHeight="1">
      <c r="A30" s="82" t="s">
        <v>5681</v>
      </c>
      <c r="B30" s="82" t="s">
        <v>5678</v>
      </c>
      <c r="C30" s="82" t="s">
        <v>94</v>
      </c>
      <c r="D30" s="82" t="s">
        <v>5741</v>
      </c>
      <c r="E30" s="82" t="s">
        <v>5742</v>
      </c>
      <c r="F30" s="83">
        <v>2023.0</v>
      </c>
      <c r="G30" s="83">
        <v>7.0</v>
      </c>
      <c r="H30" s="274">
        <v>200.0</v>
      </c>
      <c r="I30" s="92">
        <v>3.0</v>
      </c>
      <c r="J30" s="92">
        <v>3.0</v>
      </c>
      <c r="K30" s="92">
        <v>3.0</v>
      </c>
      <c r="L30" s="82">
        <f t="shared" si="1"/>
        <v>400</v>
      </c>
      <c r="M30" s="82">
        <f t="shared" si="2"/>
        <v>133.3333333</v>
      </c>
      <c r="N30" s="82" t="s">
        <v>4078</v>
      </c>
      <c r="O30" s="227"/>
      <c r="P30" s="227"/>
      <c r="Q30" s="227"/>
      <c r="R30" s="227"/>
      <c r="S30" s="227"/>
      <c r="T30" s="227"/>
      <c r="U30" s="227"/>
      <c r="V30" s="227"/>
      <c r="W30" s="227"/>
      <c r="X30" s="227"/>
      <c r="Y30" s="227"/>
      <c r="Z30" s="227"/>
      <c r="AA30" s="227"/>
      <c r="AB30" s="227"/>
      <c r="AC30" s="227"/>
      <c r="AD30" s="227"/>
      <c r="AE30" s="227"/>
    </row>
    <row r="31" ht="15.0" customHeight="1">
      <c r="A31" s="82" t="s">
        <v>5684</v>
      </c>
      <c r="B31" s="82" t="s">
        <v>5678</v>
      </c>
      <c r="C31" s="82" t="s">
        <v>94</v>
      </c>
      <c r="D31" s="82" t="s">
        <v>5685</v>
      </c>
      <c r="E31" s="82" t="s">
        <v>5686</v>
      </c>
      <c r="F31" s="83">
        <v>2023.0</v>
      </c>
      <c r="G31" s="83">
        <v>7.0</v>
      </c>
      <c r="H31" s="274">
        <v>196.0</v>
      </c>
      <c r="I31" s="92">
        <v>3.0</v>
      </c>
      <c r="J31" s="92">
        <v>3.0</v>
      </c>
      <c r="K31" s="92">
        <v>3.0</v>
      </c>
      <c r="L31" s="82">
        <f t="shared" si="1"/>
        <v>392</v>
      </c>
      <c r="M31" s="82">
        <f t="shared" si="2"/>
        <v>130.6666667</v>
      </c>
      <c r="N31" s="82" t="s">
        <v>4078</v>
      </c>
      <c r="O31" s="227"/>
      <c r="P31" s="227"/>
      <c r="Q31" s="227"/>
      <c r="R31" s="227"/>
      <c r="S31" s="227"/>
      <c r="T31" s="227"/>
      <c r="U31" s="227"/>
      <c r="V31" s="227"/>
      <c r="W31" s="227"/>
      <c r="X31" s="227"/>
      <c r="Y31" s="227"/>
      <c r="Z31" s="227"/>
      <c r="AA31" s="227"/>
      <c r="AB31" s="227"/>
      <c r="AC31" s="227"/>
      <c r="AD31" s="227"/>
      <c r="AE31" s="227"/>
    </row>
    <row r="32" ht="15.0" customHeight="1">
      <c r="A32" s="82" t="s">
        <v>5687</v>
      </c>
      <c r="B32" s="82" t="s">
        <v>5678</v>
      </c>
      <c r="C32" s="82" t="s">
        <v>94</v>
      </c>
      <c r="D32" s="82" t="s">
        <v>5688</v>
      </c>
      <c r="E32" s="82" t="s">
        <v>5689</v>
      </c>
      <c r="F32" s="83">
        <v>2023.0</v>
      </c>
      <c r="G32" s="83">
        <v>7.0</v>
      </c>
      <c r="H32" s="274">
        <v>204.0</v>
      </c>
      <c r="I32" s="92">
        <v>3.0</v>
      </c>
      <c r="J32" s="92">
        <v>3.0</v>
      </c>
      <c r="K32" s="92">
        <v>3.0</v>
      </c>
      <c r="L32" s="82">
        <f t="shared" si="1"/>
        <v>408</v>
      </c>
      <c r="M32" s="82">
        <f t="shared" si="2"/>
        <v>136</v>
      </c>
      <c r="N32" s="82" t="s">
        <v>4078</v>
      </c>
      <c r="O32" s="227"/>
      <c r="P32" s="227"/>
      <c r="Q32" s="227"/>
      <c r="R32" s="227"/>
      <c r="S32" s="227"/>
      <c r="T32" s="227"/>
      <c r="U32" s="227"/>
      <c r="V32" s="227"/>
      <c r="W32" s="227"/>
      <c r="X32" s="227"/>
      <c r="Y32" s="227"/>
      <c r="Z32" s="227"/>
      <c r="AA32" s="227"/>
      <c r="AB32" s="227"/>
      <c r="AC32" s="227"/>
      <c r="AD32" s="227"/>
      <c r="AE32" s="227"/>
    </row>
    <row r="33" ht="15.0" customHeight="1">
      <c r="A33" s="82" t="s">
        <v>5690</v>
      </c>
      <c r="B33" s="82" t="s">
        <v>5678</v>
      </c>
      <c r="C33" s="82" t="s">
        <v>94</v>
      </c>
      <c r="D33" s="82" t="s">
        <v>5691</v>
      </c>
      <c r="E33" s="82" t="s">
        <v>5743</v>
      </c>
      <c r="F33" s="83">
        <v>2023.0</v>
      </c>
      <c r="G33" s="83">
        <v>7.0</v>
      </c>
      <c r="H33" s="274">
        <v>208.0</v>
      </c>
      <c r="I33" s="92">
        <v>3.0</v>
      </c>
      <c r="J33" s="92">
        <v>3.0</v>
      </c>
      <c r="K33" s="92">
        <v>3.0</v>
      </c>
      <c r="L33" s="82">
        <f t="shared" si="1"/>
        <v>416</v>
      </c>
      <c r="M33" s="82">
        <f t="shared" si="2"/>
        <v>138.6666667</v>
      </c>
      <c r="N33" s="82" t="s">
        <v>4078</v>
      </c>
      <c r="O33" s="227"/>
      <c r="P33" s="227"/>
      <c r="Q33" s="227"/>
      <c r="R33" s="227"/>
      <c r="S33" s="227"/>
      <c r="T33" s="227"/>
      <c r="U33" s="227"/>
      <c r="V33" s="227"/>
      <c r="W33" s="227"/>
      <c r="X33" s="227"/>
      <c r="Y33" s="227"/>
      <c r="Z33" s="227"/>
      <c r="AA33" s="227"/>
      <c r="AB33" s="227"/>
      <c r="AC33" s="227"/>
      <c r="AD33" s="227"/>
      <c r="AE33" s="227"/>
    </row>
    <row r="34" ht="15.0" customHeight="1">
      <c r="A34" s="82" t="s">
        <v>5693</v>
      </c>
      <c r="B34" s="82" t="s">
        <v>5694</v>
      </c>
      <c r="C34" s="82" t="s">
        <v>94</v>
      </c>
      <c r="D34" s="86" t="s">
        <v>5695</v>
      </c>
      <c r="E34" s="152" t="s">
        <v>5744</v>
      </c>
      <c r="F34" s="83">
        <v>2023.0</v>
      </c>
      <c r="G34" s="83" t="s">
        <v>5697</v>
      </c>
      <c r="H34" s="274">
        <v>450.0</v>
      </c>
      <c r="I34" s="92"/>
      <c r="J34" s="92">
        <v>2.0</v>
      </c>
      <c r="K34" s="92">
        <v>2.0</v>
      </c>
      <c r="L34" s="82">
        <f>450*2</f>
        <v>900</v>
      </c>
      <c r="M34" s="82">
        <v>450.0</v>
      </c>
      <c r="N34" s="82" t="s">
        <v>5745</v>
      </c>
      <c r="O34" s="227"/>
      <c r="P34" s="227"/>
      <c r="Q34" s="227"/>
      <c r="R34" s="227"/>
      <c r="S34" s="227"/>
      <c r="T34" s="227"/>
      <c r="U34" s="227"/>
      <c r="V34" s="227"/>
      <c r="W34" s="227"/>
      <c r="X34" s="227"/>
      <c r="Y34" s="227"/>
      <c r="Z34" s="227"/>
      <c r="AA34" s="227"/>
      <c r="AB34" s="227"/>
      <c r="AC34" s="227"/>
      <c r="AD34" s="227"/>
      <c r="AE34" s="227"/>
    </row>
    <row r="35" ht="15.0" customHeight="1">
      <c r="A35" s="82" t="s">
        <v>5746</v>
      </c>
      <c r="B35" s="82" t="s">
        <v>5747</v>
      </c>
      <c r="C35" s="82" t="s">
        <v>147</v>
      </c>
      <c r="D35" s="86" t="s">
        <v>5748</v>
      </c>
      <c r="E35" s="152" t="s">
        <v>5749</v>
      </c>
      <c r="F35" s="83">
        <v>2023.0</v>
      </c>
      <c r="G35" s="83">
        <v>12.0</v>
      </c>
      <c r="H35" s="274">
        <v>250.0</v>
      </c>
      <c r="I35" s="92">
        <v>1.0</v>
      </c>
      <c r="J35" s="92">
        <v>1.0</v>
      </c>
      <c r="K35" s="92">
        <v>1.0</v>
      </c>
      <c r="L35" s="155" t="s">
        <v>5750</v>
      </c>
      <c r="M35" s="277">
        <v>500.0</v>
      </c>
      <c r="N35" s="155" t="s">
        <v>5654</v>
      </c>
      <c r="O35" s="227"/>
      <c r="P35" s="227"/>
      <c r="Q35" s="227"/>
      <c r="R35" s="227"/>
      <c r="S35" s="227"/>
      <c r="T35" s="227"/>
      <c r="U35" s="227"/>
      <c r="V35" s="227"/>
      <c r="W35" s="227"/>
      <c r="X35" s="227"/>
      <c r="Y35" s="227"/>
      <c r="Z35" s="227"/>
      <c r="AA35" s="227"/>
      <c r="AB35" s="227"/>
      <c r="AC35" s="227"/>
      <c r="AD35" s="227"/>
      <c r="AE35" s="227"/>
    </row>
    <row r="36" ht="15.0" customHeight="1">
      <c r="A36" s="82" t="s">
        <v>5751</v>
      </c>
      <c r="B36" s="82" t="s">
        <v>5752</v>
      </c>
      <c r="C36" s="82" t="s">
        <v>5753</v>
      </c>
      <c r="D36" s="86" t="s">
        <v>5754</v>
      </c>
      <c r="E36" s="152" t="s">
        <v>5755</v>
      </c>
      <c r="F36" s="83">
        <v>2023.0</v>
      </c>
      <c r="G36" s="83" t="s">
        <v>5708</v>
      </c>
      <c r="H36" s="274">
        <v>191.0</v>
      </c>
      <c r="I36" s="92">
        <v>6.0</v>
      </c>
      <c r="J36" s="92">
        <v>1.0</v>
      </c>
      <c r="K36" s="92">
        <v>6.0</v>
      </c>
      <c r="L36" s="155" t="s">
        <v>5756</v>
      </c>
      <c r="M36" s="277">
        <v>63.6</v>
      </c>
      <c r="N36" s="155" t="s">
        <v>174</v>
      </c>
      <c r="O36" s="227"/>
      <c r="P36" s="227"/>
      <c r="Q36" s="227"/>
      <c r="R36" s="227"/>
      <c r="S36" s="227"/>
      <c r="T36" s="227"/>
      <c r="U36" s="227"/>
      <c r="V36" s="227"/>
      <c r="W36" s="227"/>
      <c r="X36" s="227"/>
      <c r="Y36" s="227"/>
      <c r="Z36" s="227"/>
      <c r="AA36" s="227"/>
      <c r="AB36" s="227"/>
      <c r="AC36" s="227"/>
      <c r="AD36" s="227"/>
      <c r="AE36" s="227"/>
    </row>
    <row r="37" ht="15.0" customHeight="1">
      <c r="A37" s="82" t="s">
        <v>5757</v>
      </c>
      <c r="B37" s="82" t="s">
        <v>5752</v>
      </c>
      <c r="C37" s="82" t="s">
        <v>5753</v>
      </c>
      <c r="D37" s="86" t="s">
        <v>5754</v>
      </c>
      <c r="E37" s="152" t="s">
        <v>5758</v>
      </c>
      <c r="F37" s="83">
        <v>2023.0</v>
      </c>
      <c r="G37" s="83" t="s">
        <v>5708</v>
      </c>
      <c r="H37" s="274">
        <v>214.0</v>
      </c>
      <c r="I37" s="92">
        <v>6.0</v>
      </c>
      <c r="J37" s="92">
        <v>1.0</v>
      </c>
      <c r="K37" s="92">
        <v>6.0</v>
      </c>
      <c r="L37" s="155" t="s">
        <v>5759</v>
      </c>
      <c r="M37" s="277">
        <v>71.3</v>
      </c>
      <c r="N37" s="155" t="s">
        <v>174</v>
      </c>
      <c r="O37" s="227"/>
      <c r="P37" s="227"/>
      <c r="Q37" s="227"/>
      <c r="R37" s="227"/>
      <c r="S37" s="227"/>
      <c r="T37" s="227"/>
      <c r="U37" s="227"/>
      <c r="V37" s="227"/>
      <c r="W37" s="227"/>
      <c r="X37" s="227"/>
      <c r="Y37" s="227"/>
      <c r="Z37" s="227"/>
      <c r="AA37" s="227"/>
      <c r="AB37" s="227"/>
      <c r="AC37" s="227"/>
      <c r="AD37" s="227"/>
      <c r="AE37" s="227"/>
    </row>
    <row r="38" ht="15.75" customHeight="1">
      <c r="A38" s="109" t="s">
        <v>185</v>
      </c>
      <c r="B38" s="70"/>
      <c r="C38" s="70"/>
      <c r="D38" s="70"/>
      <c r="E38" s="268"/>
      <c r="F38" s="278"/>
      <c r="G38" s="278"/>
      <c r="H38" s="227"/>
      <c r="I38" s="227"/>
      <c r="J38" s="227"/>
      <c r="K38" s="227"/>
      <c r="L38" s="227"/>
      <c r="M38" s="278">
        <f>SUM(M15:M37)</f>
        <v>6343.233333</v>
      </c>
      <c r="N38" s="227"/>
      <c r="O38" s="227"/>
      <c r="P38" s="227"/>
      <c r="Q38" s="227"/>
      <c r="R38" s="227"/>
      <c r="S38" s="227"/>
      <c r="T38" s="227"/>
      <c r="U38" s="227"/>
      <c r="V38" s="227"/>
      <c r="W38" s="227"/>
      <c r="X38" s="227"/>
      <c r="Y38" s="227"/>
      <c r="Z38" s="227"/>
      <c r="AA38" s="227"/>
      <c r="AB38" s="227"/>
      <c r="AC38" s="227"/>
      <c r="AD38" s="227"/>
      <c r="AE38" s="227"/>
    </row>
    <row r="39" ht="15.75" customHeight="1">
      <c r="A39" s="130"/>
      <c r="B39" s="70"/>
      <c r="C39" s="70"/>
      <c r="D39" s="70"/>
      <c r="E39" s="70"/>
      <c r="F39" s="70"/>
      <c r="G39" s="70"/>
      <c r="H39" s="70"/>
      <c r="I39" s="70"/>
      <c r="J39" s="70"/>
      <c r="K39" s="70"/>
      <c r="L39" s="227"/>
      <c r="M39" s="227"/>
      <c r="N39" s="227"/>
      <c r="O39" s="227"/>
      <c r="P39" s="227"/>
      <c r="Q39" s="227"/>
      <c r="R39" s="227"/>
      <c r="S39" s="227"/>
      <c r="T39" s="227"/>
      <c r="U39" s="227"/>
      <c r="V39" s="227"/>
      <c r="W39" s="227"/>
      <c r="X39" s="227"/>
      <c r="Y39" s="227"/>
      <c r="Z39" s="227"/>
      <c r="AA39" s="227"/>
      <c r="AB39" s="227"/>
      <c r="AC39" s="227"/>
      <c r="AD39" s="227"/>
      <c r="AE39" s="227"/>
    </row>
    <row r="40" ht="15.75" customHeight="1">
      <c r="A40" s="279" t="s">
        <v>1169</v>
      </c>
      <c r="B40" s="103"/>
      <c r="C40" s="103"/>
      <c r="D40" s="103"/>
      <c r="E40" s="103"/>
      <c r="F40" s="103"/>
      <c r="G40" s="103"/>
      <c r="H40" s="103"/>
      <c r="I40" s="227"/>
      <c r="J40" s="227"/>
      <c r="K40" s="227"/>
      <c r="L40" s="227"/>
      <c r="M40" s="227"/>
      <c r="N40" s="227"/>
      <c r="O40" s="227"/>
      <c r="P40" s="227"/>
      <c r="Q40" s="227"/>
      <c r="R40" s="227"/>
      <c r="S40" s="227"/>
      <c r="T40" s="227"/>
      <c r="U40" s="227"/>
      <c r="V40" s="227"/>
      <c r="W40" s="227"/>
      <c r="X40" s="227"/>
      <c r="Y40" s="227"/>
      <c r="Z40" s="227"/>
      <c r="AA40" s="227"/>
      <c r="AB40" s="227"/>
      <c r="AC40" s="227"/>
      <c r="AD40" s="227"/>
      <c r="AE40" s="227"/>
    </row>
    <row r="41" ht="15.75" customHeight="1">
      <c r="A41" s="227"/>
      <c r="B41" s="227"/>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row>
    <row r="42" ht="15.75" customHeight="1">
      <c r="A42" s="227"/>
      <c r="B42" s="227"/>
      <c r="C42" s="227"/>
      <c r="D42" s="227"/>
      <c r="E42" s="227"/>
      <c r="F42" s="227"/>
      <c r="G42" s="227"/>
      <c r="H42" s="227"/>
      <c r="I42" s="227"/>
      <c r="J42" s="227"/>
      <c r="K42" s="227"/>
      <c r="L42" s="227"/>
      <c r="M42" s="227"/>
      <c r="N42" s="227"/>
      <c r="O42" s="227"/>
      <c r="P42" s="227"/>
      <c r="Q42" s="227"/>
      <c r="R42" s="227"/>
      <c r="S42" s="227"/>
      <c r="T42" s="227"/>
      <c r="U42" s="227"/>
      <c r="V42" s="227"/>
      <c r="W42" s="227"/>
      <c r="X42" s="227"/>
      <c r="Y42" s="227"/>
      <c r="Z42" s="227"/>
      <c r="AA42" s="227"/>
      <c r="AB42" s="227"/>
      <c r="AC42" s="227"/>
      <c r="AD42" s="227"/>
      <c r="AE42" s="227"/>
    </row>
    <row r="43" ht="15.75" customHeight="1">
      <c r="A43" s="227"/>
      <c r="B43" s="227"/>
      <c r="C43" s="227"/>
      <c r="D43" s="227"/>
      <c r="E43" s="227"/>
      <c r="F43" s="227"/>
      <c r="G43" s="227"/>
      <c r="H43" s="227"/>
      <c r="I43" s="227"/>
      <c r="J43" s="227"/>
      <c r="K43" s="227"/>
      <c r="L43" s="227"/>
      <c r="M43" s="227"/>
      <c r="N43" s="227"/>
      <c r="O43" s="227"/>
      <c r="P43" s="227"/>
      <c r="Q43" s="227"/>
      <c r="R43" s="227"/>
      <c r="S43" s="227"/>
      <c r="T43" s="227"/>
      <c r="U43" s="227"/>
      <c r="V43" s="227"/>
      <c r="W43" s="227"/>
      <c r="X43" s="227"/>
      <c r="Y43" s="227"/>
      <c r="Z43" s="227"/>
      <c r="AA43" s="227"/>
      <c r="AB43" s="227"/>
      <c r="AC43" s="227"/>
      <c r="AD43" s="227"/>
      <c r="AE43" s="227"/>
    </row>
    <row r="44" ht="15.75" customHeight="1">
      <c r="A44" s="227"/>
      <c r="B44" s="227"/>
      <c r="C44" s="227"/>
      <c r="D44" s="227"/>
      <c r="E44" s="227"/>
      <c r="F44" s="227"/>
      <c r="G44" s="227"/>
      <c r="H44" s="227"/>
      <c r="I44" s="227"/>
      <c r="J44" s="227"/>
      <c r="K44" s="227"/>
      <c r="L44" s="227"/>
      <c r="M44" s="227"/>
      <c r="N44" s="227"/>
      <c r="O44" s="227"/>
      <c r="P44" s="227"/>
      <c r="Q44" s="227"/>
      <c r="R44" s="227"/>
      <c r="S44" s="227"/>
      <c r="T44" s="227"/>
      <c r="U44" s="227"/>
      <c r="V44" s="227"/>
      <c r="W44" s="227"/>
      <c r="X44" s="227"/>
      <c r="Y44" s="227"/>
      <c r="Z44" s="227"/>
      <c r="AA44" s="227"/>
      <c r="AB44" s="227"/>
      <c r="AC44" s="227"/>
      <c r="AD44" s="227"/>
      <c r="AE44" s="227"/>
    </row>
    <row r="45" ht="15.75" customHeight="1">
      <c r="A45" s="227"/>
      <c r="B45" s="227"/>
      <c r="C45" s="227"/>
      <c r="D45" s="227"/>
      <c r="E45" s="227"/>
      <c r="F45" s="227"/>
      <c r="G45" s="227"/>
      <c r="H45" s="227"/>
      <c r="I45" s="227"/>
      <c r="J45" s="227"/>
      <c r="K45" s="227"/>
      <c r="L45" s="227"/>
      <c r="M45" s="227"/>
      <c r="N45" s="227"/>
      <c r="O45" s="227"/>
      <c r="P45" s="227"/>
      <c r="Q45" s="227"/>
      <c r="R45" s="227"/>
      <c r="S45" s="227"/>
      <c r="T45" s="227"/>
      <c r="U45" s="227"/>
      <c r="V45" s="227"/>
      <c r="W45" s="227"/>
      <c r="X45" s="227"/>
      <c r="Y45" s="227"/>
      <c r="Z45" s="227"/>
      <c r="AA45" s="227"/>
      <c r="AB45" s="227"/>
      <c r="AC45" s="227"/>
      <c r="AD45" s="227"/>
      <c r="AE45" s="227"/>
    </row>
    <row r="46" ht="15.75" customHeight="1">
      <c r="A46" s="227"/>
      <c r="B46" s="227"/>
      <c r="C46" s="227"/>
      <c r="D46" s="227"/>
      <c r="E46" s="227"/>
      <c r="F46" s="227"/>
      <c r="G46" s="227"/>
      <c r="H46" s="227"/>
      <c r="I46" s="227"/>
      <c r="J46" s="227"/>
      <c r="K46" s="227"/>
      <c r="L46" s="227"/>
      <c r="M46" s="227"/>
      <c r="N46" s="227"/>
      <c r="O46" s="227"/>
      <c r="P46" s="227"/>
      <c r="Q46" s="227"/>
      <c r="R46" s="227"/>
      <c r="S46" s="227"/>
      <c r="T46" s="227"/>
      <c r="U46" s="227"/>
      <c r="V46" s="227"/>
      <c r="W46" s="227"/>
      <c r="X46" s="227"/>
      <c r="Y46" s="227"/>
      <c r="Z46" s="227"/>
      <c r="AA46" s="227"/>
      <c r="AB46" s="227"/>
      <c r="AC46" s="227"/>
      <c r="AD46" s="227"/>
      <c r="AE46" s="227"/>
    </row>
    <row r="47" ht="15.75" customHeight="1">
      <c r="A47" s="227"/>
      <c r="B47" s="227"/>
      <c r="C47" s="227"/>
      <c r="D47" s="227"/>
      <c r="E47" s="227"/>
      <c r="F47" s="227"/>
      <c r="G47" s="227"/>
      <c r="H47" s="227"/>
      <c r="I47" s="227"/>
      <c r="J47" s="227"/>
      <c r="K47" s="227"/>
      <c r="L47" s="227"/>
      <c r="M47" s="227"/>
      <c r="N47" s="227"/>
      <c r="O47" s="227"/>
      <c r="P47" s="227"/>
      <c r="Q47" s="227"/>
      <c r="R47" s="227"/>
      <c r="S47" s="227"/>
      <c r="T47" s="227"/>
      <c r="U47" s="227"/>
      <c r="V47" s="227"/>
      <c r="W47" s="227"/>
      <c r="X47" s="227"/>
      <c r="Y47" s="227"/>
      <c r="Z47" s="227"/>
      <c r="AA47" s="227"/>
      <c r="AB47" s="227"/>
      <c r="AC47" s="227"/>
      <c r="AD47" s="227"/>
      <c r="AE47" s="227"/>
    </row>
    <row r="48" ht="15.75" customHeight="1">
      <c r="A48" s="227"/>
      <c r="B48" s="227"/>
      <c r="C48" s="227"/>
      <c r="D48" s="227"/>
      <c r="E48" s="227"/>
      <c r="F48" s="227"/>
      <c r="G48" s="227"/>
      <c r="H48" s="227"/>
      <c r="I48" s="227"/>
      <c r="J48" s="227"/>
      <c r="K48" s="227"/>
      <c r="L48" s="227"/>
      <c r="M48" s="227"/>
      <c r="N48" s="227"/>
      <c r="O48" s="227"/>
      <c r="P48" s="227"/>
      <c r="Q48" s="227"/>
      <c r="R48" s="227"/>
      <c r="S48" s="227"/>
      <c r="T48" s="227"/>
      <c r="U48" s="227"/>
      <c r="V48" s="227"/>
      <c r="W48" s="227"/>
      <c r="X48" s="227"/>
      <c r="Y48" s="227"/>
      <c r="Z48" s="227"/>
      <c r="AA48" s="227"/>
      <c r="AB48" s="227"/>
      <c r="AC48" s="227"/>
      <c r="AD48" s="227"/>
      <c r="AE48" s="227"/>
    </row>
    <row r="49" ht="15.75" customHeight="1">
      <c r="A49" s="227"/>
      <c r="B49" s="227"/>
      <c r="C49" s="227"/>
      <c r="D49" s="227"/>
      <c r="E49" s="227"/>
      <c r="F49" s="227"/>
      <c r="G49" s="227"/>
      <c r="H49" s="227"/>
      <c r="I49" s="227"/>
      <c r="J49" s="227"/>
      <c r="K49" s="227"/>
      <c r="L49" s="227"/>
      <c r="M49" s="227"/>
      <c r="N49" s="227"/>
      <c r="O49" s="227"/>
      <c r="P49" s="227"/>
      <c r="Q49" s="227"/>
      <c r="R49" s="227"/>
      <c r="S49" s="227"/>
      <c r="T49" s="227"/>
      <c r="U49" s="227"/>
      <c r="V49" s="227"/>
      <c r="W49" s="227"/>
      <c r="X49" s="227"/>
      <c r="Y49" s="227"/>
      <c r="Z49" s="227"/>
      <c r="AA49" s="227"/>
      <c r="AB49" s="227"/>
      <c r="AC49" s="227"/>
      <c r="AD49" s="227"/>
      <c r="AE49" s="227"/>
    </row>
    <row r="50" ht="15.75" customHeight="1">
      <c r="A50" s="227"/>
      <c r="B50" s="227"/>
      <c r="C50" s="227"/>
      <c r="D50" s="227"/>
      <c r="E50" s="227"/>
      <c r="F50" s="227"/>
      <c r="G50" s="227"/>
      <c r="H50" s="227"/>
      <c r="I50" s="227"/>
      <c r="J50" s="227"/>
      <c r="K50" s="227"/>
      <c r="L50" s="227"/>
      <c r="M50" s="227"/>
      <c r="N50" s="227"/>
      <c r="O50" s="227"/>
      <c r="P50" s="227"/>
      <c r="Q50" s="227"/>
      <c r="R50" s="227"/>
      <c r="S50" s="227"/>
      <c r="T50" s="227"/>
      <c r="U50" s="227"/>
      <c r="V50" s="227"/>
      <c r="W50" s="227"/>
      <c r="X50" s="227"/>
      <c r="Y50" s="227"/>
      <c r="Z50" s="227"/>
      <c r="AA50" s="227"/>
      <c r="AB50" s="227"/>
      <c r="AC50" s="227"/>
      <c r="AD50" s="227"/>
      <c r="AE50" s="227"/>
    </row>
    <row r="51" ht="15.75" customHeight="1">
      <c r="A51" s="227"/>
      <c r="B51" s="227"/>
      <c r="C51" s="227"/>
      <c r="D51" s="227"/>
      <c r="E51" s="227"/>
      <c r="F51" s="227"/>
      <c r="G51" s="227"/>
      <c r="H51" s="227"/>
      <c r="I51" s="227"/>
      <c r="J51" s="227"/>
      <c r="K51" s="227"/>
      <c r="L51" s="227"/>
      <c r="M51" s="227"/>
      <c r="N51" s="227"/>
      <c r="O51" s="227"/>
      <c r="P51" s="227"/>
      <c r="Q51" s="227"/>
      <c r="R51" s="227"/>
      <c r="S51" s="227"/>
      <c r="T51" s="227"/>
      <c r="U51" s="227"/>
      <c r="V51" s="227"/>
      <c r="W51" s="227"/>
      <c r="X51" s="227"/>
      <c r="Y51" s="227"/>
      <c r="Z51" s="227"/>
      <c r="AA51" s="227"/>
      <c r="AB51" s="227"/>
      <c r="AC51" s="227"/>
      <c r="AD51" s="227"/>
      <c r="AE51" s="227"/>
    </row>
    <row r="52" ht="15.75" customHeight="1">
      <c r="A52" s="227"/>
      <c r="B52" s="227"/>
      <c r="C52" s="227"/>
      <c r="D52" s="227"/>
      <c r="E52" s="227"/>
      <c r="F52" s="227"/>
      <c r="G52" s="227"/>
      <c r="H52" s="227"/>
      <c r="I52" s="227"/>
      <c r="J52" s="227"/>
      <c r="K52" s="227"/>
      <c r="L52" s="227"/>
      <c r="M52" s="227"/>
      <c r="N52" s="227"/>
      <c r="O52" s="227"/>
      <c r="P52" s="227"/>
      <c r="Q52" s="227"/>
      <c r="R52" s="227"/>
      <c r="S52" s="227"/>
      <c r="T52" s="227"/>
      <c r="U52" s="227"/>
      <c r="V52" s="227"/>
      <c r="W52" s="227"/>
      <c r="X52" s="227"/>
      <c r="Y52" s="227"/>
      <c r="Z52" s="227"/>
      <c r="AA52" s="227"/>
      <c r="AB52" s="227"/>
      <c r="AC52" s="227"/>
      <c r="AD52" s="227"/>
      <c r="AE52" s="227"/>
    </row>
    <row r="53" ht="15.75" customHeight="1">
      <c r="A53" s="227"/>
      <c r="B53" s="227"/>
      <c r="C53" s="227"/>
      <c r="D53" s="227"/>
      <c r="E53" s="227"/>
      <c r="F53" s="227"/>
      <c r="G53" s="227"/>
      <c r="H53" s="227"/>
      <c r="I53" s="227"/>
      <c r="J53" s="227"/>
      <c r="K53" s="227"/>
      <c r="L53" s="227"/>
      <c r="M53" s="227"/>
      <c r="N53" s="227"/>
      <c r="O53" s="227"/>
      <c r="P53" s="227"/>
      <c r="Q53" s="227"/>
      <c r="R53" s="227"/>
      <c r="S53" s="227"/>
      <c r="T53" s="227"/>
      <c r="U53" s="227"/>
      <c r="V53" s="227"/>
      <c r="W53" s="227"/>
      <c r="X53" s="227"/>
      <c r="Y53" s="227"/>
      <c r="Z53" s="227"/>
      <c r="AA53" s="227"/>
      <c r="AB53" s="227"/>
      <c r="AC53" s="227"/>
      <c r="AD53" s="227"/>
      <c r="AE53" s="227"/>
    </row>
    <row r="54" ht="15.75" customHeight="1">
      <c r="A54" s="227"/>
      <c r="B54" s="227"/>
      <c r="C54" s="227"/>
      <c r="D54" s="227"/>
      <c r="E54" s="227"/>
      <c r="F54" s="227"/>
      <c r="G54" s="227"/>
      <c r="H54" s="227"/>
      <c r="I54" s="227"/>
      <c r="J54" s="227"/>
      <c r="K54" s="227"/>
      <c r="L54" s="227"/>
      <c r="M54" s="227"/>
      <c r="N54" s="227"/>
      <c r="O54" s="227"/>
      <c r="P54" s="227"/>
      <c r="Q54" s="227"/>
      <c r="R54" s="227"/>
      <c r="S54" s="227"/>
      <c r="T54" s="227"/>
      <c r="U54" s="227"/>
      <c r="V54" s="227"/>
      <c r="W54" s="227"/>
      <c r="X54" s="227"/>
      <c r="Y54" s="227"/>
      <c r="Z54" s="227"/>
      <c r="AA54" s="227"/>
      <c r="AB54" s="227"/>
      <c r="AC54" s="227"/>
      <c r="AD54" s="227"/>
      <c r="AE54" s="227"/>
    </row>
    <row r="55" ht="15.75" customHeight="1">
      <c r="A55" s="227"/>
      <c r="B55" s="227"/>
      <c r="C55" s="227"/>
      <c r="D55" s="227"/>
      <c r="E55" s="227"/>
      <c r="F55" s="227"/>
      <c r="G55" s="227"/>
      <c r="H55" s="227"/>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row>
    <row r="56" ht="15.75" customHeight="1">
      <c r="A56" s="227"/>
      <c r="B56" s="227"/>
      <c r="C56" s="227"/>
      <c r="D56" s="227"/>
      <c r="E56" s="227"/>
      <c r="F56" s="227"/>
      <c r="G56" s="227"/>
      <c r="H56" s="227"/>
      <c r="I56" s="227"/>
      <c r="J56" s="227"/>
      <c r="K56" s="227"/>
      <c r="L56" s="227"/>
      <c r="M56" s="227"/>
      <c r="N56" s="227"/>
      <c r="O56" s="227"/>
      <c r="P56" s="227"/>
      <c r="Q56" s="227"/>
      <c r="R56" s="227"/>
      <c r="S56" s="227"/>
      <c r="T56" s="227"/>
      <c r="U56" s="227"/>
      <c r="V56" s="227"/>
      <c r="W56" s="227"/>
      <c r="X56" s="227"/>
      <c r="Y56" s="227"/>
      <c r="Z56" s="227"/>
      <c r="AA56" s="227"/>
      <c r="AB56" s="227"/>
      <c r="AC56" s="227"/>
      <c r="AD56" s="227"/>
      <c r="AE56" s="227"/>
    </row>
    <row r="57" ht="15.75" customHeight="1">
      <c r="A57" s="227"/>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row>
    <row r="58" ht="15.75" customHeight="1">
      <c r="A58" s="227"/>
      <c r="B58" s="227"/>
      <c r="C58" s="227"/>
      <c r="D58" s="227"/>
      <c r="E58" s="227"/>
      <c r="F58" s="227"/>
      <c r="G58" s="227"/>
      <c r="H58" s="227"/>
      <c r="I58" s="227"/>
      <c r="J58" s="227"/>
      <c r="K58" s="227"/>
      <c r="L58" s="227"/>
      <c r="M58" s="227"/>
      <c r="N58" s="227"/>
      <c r="O58" s="227"/>
      <c r="P58" s="227"/>
      <c r="Q58" s="227"/>
      <c r="R58" s="227"/>
      <c r="S58" s="227"/>
      <c r="T58" s="227"/>
      <c r="U58" s="227"/>
      <c r="V58" s="227"/>
      <c r="W58" s="227"/>
      <c r="X58" s="227"/>
      <c r="Y58" s="227"/>
      <c r="Z58" s="227"/>
      <c r="AA58" s="227"/>
      <c r="AB58" s="227"/>
      <c r="AC58" s="227"/>
      <c r="AD58" s="227"/>
      <c r="AE58" s="227"/>
    </row>
    <row r="59" ht="15.75" customHeight="1">
      <c r="A59" s="227"/>
      <c r="B59" s="227"/>
      <c r="C59" s="227"/>
      <c r="D59" s="227"/>
      <c r="E59" s="227"/>
      <c r="F59" s="227"/>
      <c r="G59" s="227"/>
      <c r="H59" s="227"/>
      <c r="I59" s="227"/>
      <c r="J59" s="227"/>
      <c r="K59" s="227"/>
      <c r="L59" s="227"/>
      <c r="M59" s="227"/>
      <c r="N59" s="227"/>
      <c r="O59" s="227"/>
      <c r="P59" s="227"/>
      <c r="Q59" s="227"/>
      <c r="R59" s="227"/>
      <c r="S59" s="227"/>
      <c r="T59" s="227"/>
      <c r="U59" s="227"/>
      <c r="V59" s="227"/>
      <c r="W59" s="227"/>
      <c r="X59" s="227"/>
      <c r="Y59" s="227"/>
      <c r="Z59" s="227"/>
      <c r="AA59" s="227"/>
      <c r="AB59" s="227"/>
      <c r="AC59" s="227"/>
      <c r="AD59" s="227"/>
      <c r="AE59" s="227"/>
    </row>
    <row r="60" ht="15.75" customHeight="1">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row>
    <row r="61" ht="15.75" customHeight="1">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row>
    <row r="62" ht="15.75" customHeight="1">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row>
    <row r="63" ht="15.75" customHeight="1">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row>
    <row r="64" ht="15.75" customHeight="1">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row>
    <row r="65" ht="15.75" customHeight="1">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row>
    <row r="66" ht="15.75" customHeight="1">
      <c r="A66" s="227"/>
      <c r="B66" s="227"/>
      <c r="C66" s="227"/>
      <c r="D66" s="227"/>
      <c r="E66" s="227"/>
      <c r="F66" s="227"/>
      <c r="G66" s="227"/>
      <c r="H66" s="227"/>
      <c r="I66" s="227"/>
      <c r="J66" s="227"/>
      <c r="K66" s="227"/>
      <c r="L66" s="227"/>
      <c r="M66" s="227"/>
      <c r="N66" s="227"/>
      <c r="O66" s="227"/>
      <c r="P66" s="227"/>
      <c r="Q66" s="227"/>
      <c r="R66" s="227"/>
      <c r="S66" s="227"/>
      <c r="T66" s="227"/>
      <c r="U66" s="227"/>
      <c r="V66" s="227"/>
      <c r="W66" s="227"/>
      <c r="X66" s="227"/>
      <c r="Y66" s="227"/>
      <c r="Z66" s="227"/>
      <c r="AA66" s="227"/>
      <c r="AB66" s="227"/>
      <c r="AC66" s="227"/>
      <c r="AD66" s="227"/>
      <c r="AE66" s="227"/>
    </row>
    <row r="67" ht="15.75" customHeight="1">
      <c r="A67" s="227"/>
      <c r="B67" s="227"/>
      <c r="C67" s="227"/>
      <c r="D67" s="227"/>
      <c r="E67" s="227"/>
      <c r="F67" s="227"/>
      <c r="G67" s="227"/>
      <c r="H67" s="227"/>
      <c r="I67" s="227"/>
      <c r="J67" s="227"/>
      <c r="K67" s="227"/>
      <c r="L67" s="227"/>
      <c r="M67" s="227"/>
      <c r="N67" s="227"/>
      <c r="O67" s="227"/>
      <c r="P67" s="227"/>
      <c r="Q67" s="227"/>
      <c r="R67" s="227"/>
      <c r="S67" s="227"/>
      <c r="T67" s="227"/>
      <c r="U67" s="227"/>
      <c r="V67" s="227"/>
      <c r="W67" s="227"/>
      <c r="X67" s="227"/>
      <c r="Y67" s="227"/>
      <c r="Z67" s="227"/>
      <c r="AA67" s="227"/>
      <c r="AB67" s="227"/>
      <c r="AC67" s="227"/>
      <c r="AD67" s="227"/>
      <c r="AE67" s="227"/>
    </row>
    <row r="68" ht="15.75" customHeight="1">
      <c r="A68" s="227"/>
      <c r="B68" s="227"/>
      <c r="C68" s="227"/>
      <c r="D68" s="227"/>
      <c r="E68" s="227"/>
      <c r="F68" s="227"/>
      <c r="G68" s="227"/>
      <c r="H68" s="227"/>
      <c r="I68" s="227"/>
      <c r="J68" s="227"/>
      <c r="K68" s="227"/>
      <c r="L68" s="227"/>
      <c r="M68" s="227"/>
      <c r="N68" s="227"/>
      <c r="O68" s="227"/>
      <c r="P68" s="227"/>
      <c r="Q68" s="227"/>
      <c r="R68" s="227"/>
      <c r="S68" s="227"/>
      <c r="T68" s="227"/>
      <c r="U68" s="227"/>
      <c r="V68" s="227"/>
      <c r="W68" s="227"/>
      <c r="X68" s="227"/>
      <c r="Y68" s="227"/>
      <c r="Z68" s="227"/>
      <c r="AA68" s="227"/>
      <c r="AB68" s="227"/>
      <c r="AC68" s="227"/>
      <c r="AD68" s="227"/>
      <c r="AE68" s="227"/>
    </row>
    <row r="69" ht="15.75" customHeight="1">
      <c r="A69" s="227"/>
      <c r="B69" s="227"/>
      <c r="C69" s="227"/>
      <c r="D69" s="227"/>
      <c r="E69" s="227"/>
      <c r="F69" s="227"/>
      <c r="G69" s="227"/>
      <c r="H69" s="227"/>
      <c r="I69" s="227"/>
      <c r="J69" s="227"/>
      <c r="K69" s="227"/>
      <c r="L69" s="227"/>
      <c r="M69" s="227"/>
      <c r="N69" s="227"/>
      <c r="O69" s="227"/>
      <c r="P69" s="227"/>
      <c r="Q69" s="227"/>
      <c r="R69" s="227"/>
      <c r="S69" s="227"/>
      <c r="T69" s="227"/>
      <c r="U69" s="227"/>
      <c r="V69" s="227"/>
      <c r="W69" s="227"/>
      <c r="X69" s="227"/>
      <c r="Y69" s="227"/>
      <c r="Z69" s="227"/>
      <c r="AA69" s="227"/>
      <c r="AB69" s="227"/>
      <c r="AC69" s="227"/>
      <c r="AD69" s="227"/>
      <c r="AE69" s="227"/>
    </row>
    <row r="70" ht="15.75" customHeight="1">
      <c r="A70" s="227"/>
      <c r="B70" s="227"/>
      <c r="C70" s="227"/>
      <c r="D70" s="227"/>
      <c r="E70" s="227"/>
      <c r="F70" s="227"/>
      <c r="G70" s="227"/>
      <c r="H70" s="227"/>
      <c r="I70" s="227"/>
      <c r="J70" s="227"/>
      <c r="K70" s="227"/>
      <c r="L70" s="227"/>
      <c r="M70" s="227"/>
      <c r="N70" s="227"/>
      <c r="O70" s="227"/>
      <c r="P70" s="227"/>
      <c r="Q70" s="227"/>
      <c r="R70" s="227"/>
      <c r="S70" s="227"/>
      <c r="T70" s="227"/>
      <c r="U70" s="227"/>
      <c r="V70" s="227"/>
      <c r="W70" s="227"/>
      <c r="X70" s="227"/>
      <c r="Y70" s="227"/>
      <c r="Z70" s="227"/>
      <c r="AA70" s="227"/>
      <c r="AB70" s="227"/>
      <c r="AC70" s="227"/>
      <c r="AD70" s="227"/>
      <c r="AE70" s="227"/>
    </row>
    <row r="71" ht="15.75" customHeight="1">
      <c r="A71" s="227"/>
      <c r="B71" s="227"/>
      <c r="C71" s="227"/>
      <c r="D71" s="227"/>
      <c r="E71" s="227"/>
      <c r="F71" s="227"/>
      <c r="G71" s="227"/>
      <c r="H71" s="227"/>
      <c r="I71" s="227"/>
      <c r="J71" s="227"/>
      <c r="K71" s="227"/>
      <c r="L71" s="227"/>
      <c r="M71" s="227"/>
      <c r="N71" s="227"/>
      <c r="O71" s="227"/>
      <c r="P71" s="227"/>
      <c r="Q71" s="227"/>
      <c r="R71" s="227"/>
      <c r="S71" s="227"/>
      <c r="T71" s="227"/>
      <c r="U71" s="227"/>
      <c r="V71" s="227"/>
      <c r="W71" s="227"/>
      <c r="X71" s="227"/>
      <c r="Y71" s="227"/>
      <c r="Z71" s="227"/>
      <c r="AA71" s="227"/>
      <c r="AB71" s="227"/>
      <c r="AC71" s="227"/>
      <c r="AD71" s="227"/>
      <c r="AE71" s="227"/>
    </row>
    <row r="72" ht="15.75" customHeight="1">
      <c r="A72" s="227"/>
      <c r="B72" s="227"/>
      <c r="C72" s="227"/>
      <c r="D72" s="227"/>
      <c r="E72" s="227"/>
      <c r="F72" s="227"/>
      <c r="G72" s="227"/>
      <c r="H72" s="227"/>
      <c r="I72" s="227"/>
      <c r="J72" s="227"/>
      <c r="K72" s="227"/>
      <c r="L72" s="227"/>
      <c r="M72" s="227"/>
      <c r="N72" s="227"/>
      <c r="O72" s="227"/>
      <c r="P72" s="227"/>
      <c r="Q72" s="227"/>
      <c r="R72" s="227"/>
      <c r="S72" s="227"/>
      <c r="T72" s="227"/>
      <c r="U72" s="227"/>
      <c r="V72" s="227"/>
      <c r="W72" s="227"/>
      <c r="X72" s="227"/>
      <c r="Y72" s="227"/>
      <c r="Z72" s="227"/>
      <c r="AA72" s="227"/>
      <c r="AB72" s="227"/>
      <c r="AC72" s="227"/>
      <c r="AD72" s="227"/>
      <c r="AE72" s="227"/>
    </row>
    <row r="73" ht="15.75" customHeight="1">
      <c r="A73" s="227"/>
      <c r="B73" s="227"/>
      <c r="C73" s="227"/>
      <c r="D73" s="227"/>
      <c r="E73" s="227"/>
      <c r="F73" s="227"/>
      <c r="G73" s="227"/>
      <c r="H73" s="227"/>
      <c r="I73" s="227"/>
      <c r="J73" s="227"/>
      <c r="K73" s="227"/>
      <c r="L73" s="227"/>
      <c r="M73" s="227"/>
      <c r="N73" s="227"/>
      <c r="O73" s="227"/>
      <c r="P73" s="227"/>
      <c r="Q73" s="227"/>
      <c r="R73" s="227"/>
      <c r="S73" s="227"/>
      <c r="T73" s="227"/>
      <c r="U73" s="227"/>
      <c r="V73" s="227"/>
      <c r="W73" s="227"/>
      <c r="X73" s="227"/>
      <c r="Y73" s="227"/>
      <c r="Z73" s="227"/>
      <c r="AA73" s="227"/>
      <c r="AB73" s="227"/>
      <c r="AC73" s="227"/>
      <c r="AD73" s="227"/>
      <c r="AE73" s="227"/>
    </row>
    <row r="74" ht="15.75" customHeight="1">
      <c r="A74" s="227"/>
      <c r="B74" s="227"/>
      <c r="C74" s="227"/>
      <c r="D74" s="227"/>
      <c r="E74" s="227"/>
      <c r="F74" s="227"/>
      <c r="G74" s="227"/>
      <c r="H74" s="227"/>
      <c r="I74" s="227"/>
      <c r="J74" s="227"/>
      <c r="K74" s="227"/>
      <c r="L74" s="227"/>
      <c r="M74" s="227"/>
      <c r="N74" s="227"/>
      <c r="O74" s="227"/>
      <c r="P74" s="227"/>
      <c r="Q74" s="227"/>
      <c r="R74" s="227"/>
      <c r="S74" s="227"/>
      <c r="T74" s="227"/>
      <c r="U74" s="227"/>
      <c r="V74" s="227"/>
      <c r="W74" s="227"/>
      <c r="X74" s="227"/>
      <c r="Y74" s="227"/>
      <c r="Z74" s="227"/>
      <c r="AA74" s="227"/>
      <c r="AB74" s="227"/>
      <c r="AC74" s="227"/>
      <c r="AD74" s="227"/>
      <c r="AE74" s="227"/>
    </row>
    <row r="75" ht="15.75" customHeight="1">
      <c r="A75" s="227"/>
      <c r="B75" s="227"/>
      <c r="C75" s="227"/>
      <c r="D75" s="227"/>
      <c r="E75" s="227"/>
      <c r="F75" s="227"/>
      <c r="G75" s="227"/>
      <c r="H75" s="227"/>
      <c r="I75" s="227"/>
      <c r="J75" s="227"/>
      <c r="K75" s="227"/>
      <c r="L75" s="227"/>
      <c r="M75" s="227"/>
      <c r="N75" s="227"/>
      <c r="O75" s="227"/>
      <c r="P75" s="227"/>
      <c r="Q75" s="227"/>
      <c r="R75" s="227"/>
      <c r="S75" s="227"/>
      <c r="T75" s="227"/>
      <c r="U75" s="227"/>
      <c r="V75" s="227"/>
      <c r="W75" s="227"/>
      <c r="X75" s="227"/>
      <c r="Y75" s="227"/>
      <c r="Z75" s="227"/>
      <c r="AA75" s="227"/>
      <c r="AB75" s="227"/>
      <c r="AC75" s="227"/>
      <c r="AD75" s="227"/>
      <c r="AE75" s="227"/>
    </row>
    <row r="76" ht="15.75" customHeight="1">
      <c r="A76" s="227"/>
      <c r="B76" s="227"/>
      <c r="C76" s="227"/>
      <c r="D76" s="227"/>
      <c r="E76" s="227"/>
      <c r="F76" s="227"/>
      <c r="G76" s="227"/>
      <c r="H76" s="227"/>
      <c r="I76" s="227"/>
      <c r="J76" s="227"/>
      <c r="K76" s="227"/>
      <c r="L76" s="227"/>
      <c r="M76" s="227"/>
      <c r="N76" s="227"/>
      <c r="O76" s="227"/>
      <c r="P76" s="227"/>
      <c r="Q76" s="227"/>
      <c r="R76" s="227"/>
      <c r="S76" s="227"/>
      <c r="T76" s="227"/>
      <c r="U76" s="227"/>
      <c r="V76" s="227"/>
      <c r="W76" s="227"/>
      <c r="X76" s="227"/>
      <c r="Y76" s="227"/>
      <c r="Z76" s="227"/>
      <c r="AA76" s="227"/>
      <c r="AB76" s="227"/>
      <c r="AC76" s="227"/>
      <c r="AD76" s="227"/>
      <c r="AE76" s="227"/>
    </row>
    <row r="77" ht="15.75" customHeight="1">
      <c r="A77" s="227"/>
      <c r="B77" s="227"/>
      <c r="C77" s="227"/>
      <c r="D77" s="227"/>
      <c r="E77" s="227"/>
      <c r="F77" s="227"/>
      <c r="G77" s="227"/>
      <c r="H77" s="227"/>
      <c r="I77" s="227"/>
      <c r="J77" s="227"/>
      <c r="K77" s="227"/>
      <c r="L77" s="227"/>
      <c r="M77" s="227"/>
      <c r="N77" s="227"/>
      <c r="O77" s="227"/>
      <c r="P77" s="227"/>
      <c r="Q77" s="227"/>
      <c r="R77" s="227"/>
      <c r="S77" s="227"/>
      <c r="T77" s="227"/>
      <c r="U77" s="227"/>
      <c r="V77" s="227"/>
      <c r="W77" s="227"/>
      <c r="X77" s="227"/>
      <c r="Y77" s="227"/>
      <c r="Z77" s="227"/>
      <c r="AA77" s="227"/>
      <c r="AB77" s="227"/>
      <c r="AC77" s="227"/>
      <c r="AD77" s="227"/>
      <c r="AE77" s="227"/>
    </row>
    <row r="78" ht="15.75" customHeight="1">
      <c r="A78" s="227"/>
      <c r="B78" s="227"/>
      <c r="C78" s="227"/>
      <c r="D78" s="227"/>
      <c r="E78" s="227"/>
      <c r="F78" s="227"/>
      <c r="G78" s="227"/>
      <c r="H78" s="227"/>
      <c r="I78" s="227"/>
      <c r="J78" s="227"/>
      <c r="K78" s="227"/>
      <c r="L78" s="227"/>
      <c r="M78" s="227"/>
      <c r="N78" s="227"/>
      <c r="O78" s="227"/>
      <c r="P78" s="227"/>
      <c r="Q78" s="227"/>
      <c r="R78" s="227"/>
      <c r="S78" s="227"/>
      <c r="T78" s="227"/>
      <c r="U78" s="227"/>
      <c r="V78" s="227"/>
      <c r="W78" s="227"/>
      <c r="X78" s="227"/>
      <c r="Y78" s="227"/>
      <c r="Z78" s="227"/>
      <c r="AA78" s="227"/>
      <c r="AB78" s="227"/>
      <c r="AC78" s="227"/>
      <c r="AD78" s="227"/>
      <c r="AE78" s="227"/>
    </row>
    <row r="79" ht="15.75" customHeight="1">
      <c r="A79" s="227"/>
      <c r="B79" s="227"/>
      <c r="C79" s="227"/>
      <c r="D79" s="227"/>
      <c r="E79" s="227"/>
      <c r="F79" s="227"/>
      <c r="G79" s="227"/>
      <c r="H79" s="227"/>
      <c r="I79" s="227"/>
      <c r="J79" s="227"/>
      <c r="K79" s="227"/>
      <c r="L79" s="227"/>
      <c r="M79" s="227"/>
      <c r="N79" s="227"/>
      <c r="O79" s="227"/>
      <c r="P79" s="227"/>
      <c r="Q79" s="227"/>
      <c r="R79" s="227"/>
      <c r="S79" s="227"/>
      <c r="T79" s="227"/>
      <c r="U79" s="227"/>
      <c r="V79" s="227"/>
      <c r="W79" s="227"/>
      <c r="X79" s="227"/>
      <c r="Y79" s="227"/>
      <c r="Z79" s="227"/>
      <c r="AA79" s="227"/>
      <c r="AB79" s="227"/>
      <c r="AC79" s="227"/>
      <c r="AD79" s="227"/>
      <c r="AE79" s="227"/>
    </row>
    <row r="80" ht="15.75" customHeight="1">
      <c r="A80" s="227"/>
      <c r="B80" s="227"/>
      <c r="C80" s="227"/>
      <c r="D80" s="227"/>
      <c r="E80" s="227"/>
      <c r="F80" s="227"/>
      <c r="G80" s="227"/>
      <c r="H80" s="227"/>
      <c r="I80" s="227"/>
      <c r="J80" s="227"/>
      <c r="K80" s="227"/>
      <c r="L80" s="227"/>
      <c r="M80" s="227"/>
      <c r="N80" s="227"/>
      <c r="O80" s="227"/>
      <c r="P80" s="227"/>
      <c r="Q80" s="227"/>
      <c r="R80" s="227"/>
      <c r="S80" s="227"/>
      <c r="T80" s="227"/>
      <c r="U80" s="227"/>
      <c r="V80" s="227"/>
      <c r="W80" s="227"/>
      <c r="X80" s="227"/>
      <c r="Y80" s="227"/>
      <c r="Z80" s="227"/>
      <c r="AA80" s="227"/>
      <c r="AB80" s="227"/>
      <c r="AC80" s="227"/>
      <c r="AD80" s="227"/>
      <c r="AE80" s="227"/>
    </row>
    <row r="81" ht="15.75" customHeight="1">
      <c r="A81" s="227"/>
      <c r="B81" s="227"/>
      <c r="C81" s="227"/>
      <c r="D81" s="227"/>
      <c r="E81" s="227"/>
      <c r="F81" s="227"/>
      <c r="G81" s="227"/>
      <c r="H81" s="227"/>
      <c r="I81" s="227"/>
      <c r="J81" s="227"/>
      <c r="K81" s="227"/>
      <c r="L81" s="227"/>
      <c r="M81" s="227"/>
      <c r="N81" s="227"/>
      <c r="O81" s="227"/>
      <c r="P81" s="227"/>
      <c r="Q81" s="227"/>
      <c r="R81" s="227"/>
      <c r="S81" s="227"/>
      <c r="T81" s="227"/>
      <c r="U81" s="227"/>
      <c r="V81" s="227"/>
      <c r="W81" s="227"/>
      <c r="X81" s="227"/>
      <c r="Y81" s="227"/>
      <c r="Z81" s="227"/>
      <c r="AA81" s="227"/>
      <c r="AB81" s="227"/>
      <c r="AC81" s="227"/>
      <c r="AD81" s="227"/>
      <c r="AE81" s="227"/>
    </row>
    <row r="82" ht="15.75" customHeight="1">
      <c r="A82" s="227"/>
      <c r="B82" s="227"/>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row>
    <row r="83" ht="15.75" customHeight="1">
      <c r="A83" s="227"/>
      <c r="B83" s="227"/>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row>
    <row r="84" ht="15.75" customHeight="1">
      <c r="A84" s="227"/>
      <c r="B84" s="227"/>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row>
    <row r="85" ht="15.75" customHeight="1">
      <c r="A85" s="227"/>
      <c r="B85" s="227"/>
      <c r="C85" s="227"/>
      <c r="D85" s="227"/>
      <c r="E85" s="227"/>
      <c r="F85" s="227"/>
      <c r="G85" s="227"/>
      <c r="H85" s="227"/>
      <c r="I85" s="227"/>
      <c r="J85" s="227"/>
      <c r="K85" s="227"/>
      <c r="L85" s="227"/>
      <c r="M85" s="227"/>
      <c r="N85" s="227"/>
      <c r="O85" s="227"/>
      <c r="P85" s="227"/>
      <c r="Q85" s="227"/>
      <c r="R85" s="227"/>
      <c r="S85" s="227"/>
      <c r="T85" s="227"/>
      <c r="U85" s="227"/>
      <c r="V85" s="227"/>
      <c r="W85" s="227"/>
      <c r="X85" s="227"/>
      <c r="Y85" s="227"/>
      <c r="Z85" s="227"/>
      <c r="AA85" s="227"/>
      <c r="AB85" s="227"/>
      <c r="AC85" s="227"/>
      <c r="AD85" s="227"/>
      <c r="AE85" s="227"/>
    </row>
    <row r="86" ht="15.75" customHeight="1">
      <c r="A86" s="227"/>
      <c r="B86" s="227"/>
      <c r="C86" s="227"/>
      <c r="D86" s="227"/>
      <c r="E86" s="227"/>
      <c r="F86" s="227"/>
      <c r="G86" s="227"/>
      <c r="H86" s="227"/>
      <c r="I86" s="227"/>
      <c r="J86" s="227"/>
      <c r="K86" s="227"/>
      <c r="L86" s="227"/>
      <c r="M86" s="227"/>
      <c r="N86" s="227"/>
      <c r="O86" s="227"/>
      <c r="P86" s="227"/>
      <c r="Q86" s="227"/>
      <c r="R86" s="227"/>
      <c r="S86" s="227"/>
      <c r="T86" s="227"/>
      <c r="U86" s="227"/>
      <c r="V86" s="227"/>
      <c r="W86" s="227"/>
      <c r="X86" s="227"/>
      <c r="Y86" s="227"/>
      <c r="Z86" s="227"/>
      <c r="AA86" s="227"/>
      <c r="AB86" s="227"/>
      <c r="AC86" s="227"/>
      <c r="AD86" s="227"/>
      <c r="AE86" s="227"/>
    </row>
    <row r="87" ht="15.75" customHeight="1">
      <c r="A87" s="227"/>
      <c r="B87" s="227"/>
      <c r="C87" s="227"/>
      <c r="D87" s="227"/>
      <c r="E87" s="227"/>
      <c r="F87" s="227"/>
      <c r="G87" s="227"/>
      <c r="H87" s="227"/>
      <c r="I87" s="227"/>
      <c r="J87" s="227"/>
      <c r="K87" s="227"/>
      <c r="L87" s="227"/>
      <c r="M87" s="227"/>
      <c r="N87" s="227"/>
      <c r="O87" s="227"/>
      <c r="P87" s="227"/>
      <c r="Q87" s="227"/>
      <c r="R87" s="227"/>
      <c r="S87" s="227"/>
      <c r="T87" s="227"/>
      <c r="U87" s="227"/>
      <c r="V87" s="227"/>
      <c r="W87" s="227"/>
      <c r="X87" s="227"/>
      <c r="Y87" s="227"/>
      <c r="Z87" s="227"/>
      <c r="AA87" s="227"/>
      <c r="AB87" s="227"/>
      <c r="AC87" s="227"/>
      <c r="AD87" s="227"/>
      <c r="AE87" s="227"/>
    </row>
    <row r="88" ht="15.75" customHeight="1">
      <c r="A88" s="227"/>
      <c r="B88" s="227"/>
      <c r="C88" s="227"/>
      <c r="D88" s="227"/>
      <c r="E88" s="227"/>
      <c r="F88" s="227"/>
      <c r="G88" s="227"/>
      <c r="H88" s="227"/>
      <c r="I88" s="227"/>
      <c r="J88" s="227"/>
      <c r="K88" s="227"/>
      <c r="L88" s="227"/>
      <c r="M88" s="227"/>
      <c r="N88" s="227"/>
      <c r="O88" s="227"/>
      <c r="P88" s="227"/>
      <c r="Q88" s="227"/>
      <c r="R88" s="227"/>
      <c r="S88" s="227"/>
      <c r="T88" s="227"/>
      <c r="U88" s="227"/>
      <c r="V88" s="227"/>
      <c r="W88" s="227"/>
      <c r="X88" s="227"/>
      <c r="Y88" s="227"/>
      <c r="Z88" s="227"/>
      <c r="AA88" s="227"/>
      <c r="AB88" s="227"/>
      <c r="AC88" s="227"/>
      <c r="AD88" s="227"/>
      <c r="AE88" s="227"/>
    </row>
    <row r="89" ht="15.75" customHeight="1">
      <c r="A89" s="227"/>
      <c r="B89" s="227"/>
      <c r="C89" s="227"/>
      <c r="D89" s="227"/>
      <c r="E89" s="227"/>
      <c r="F89" s="227"/>
      <c r="G89" s="227"/>
      <c r="H89" s="227"/>
      <c r="I89" s="227"/>
      <c r="J89" s="227"/>
      <c r="K89" s="227"/>
      <c r="L89" s="227"/>
      <c r="M89" s="227"/>
      <c r="N89" s="227"/>
      <c r="O89" s="227"/>
      <c r="P89" s="227"/>
      <c r="Q89" s="227"/>
      <c r="R89" s="227"/>
      <c r="S89" s="227"/>
      <c r="T89" s="227"/>
      <c r="U89" s="227"/>
      <c r="V89" s="227"/>
      <c r="W89" s="227"/>
      <c r="X89" s="227"/>
      <c r="Y89" s="227"/>
      <c r="Z89" s="227"/>
      <c r="AA89" s="227"/>
      <c r="AB89" s="227"/>
      <c r="AC89" s="227"/>
      <c r="AD89" s="227"/>
      <c r="AE89" s="227"/>
    </row>
    <row r="90" ht="15.75" customHeight="1">
      <c r="A90" s="227"/>
      <c r="B90" s="227"/>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row>
    <row r="91" ht="15.75" customHeight="1">
      <c r="A91" s="227"/>
      <c r="B91" s="227"/>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row>
    <row r="92" ht="15.75" customHeight="1">
      <c r="A92" s="227"/>
      <c r="B92" s="227"/>
      <c r="C92" s="227"/>
      <c r="D92" s="227"/>
      <c r="E92" s="227"/>
      <c r="F92" s="227"/>
      <c r="G92" s="227"/>
      <c r="H92" s="227"/>
      <c r="I92" s="227"/>
      <c r="J92" s="227"/>
      <c r="K92" s="227"/>
      <c r="L92" s="227"/>
      <c r="M92" s="227"/>
      <c r="N92" s="227"/>
      <c r="O92" s="227"/>
      <c r="P92" s="227"/>
      <c r="Q92" s="227"/>
      <c r="R92" s="227"/>
      <c r="S92" s="227"/>
      <c r="T92" s="227"/>
      <c r="U92" s="227"/>
      <c r="V92" s="227"/>
      <c r="W92" s="227"/>
      <c r="X92" s="227"/>
      <c r="Y92" s="227"/>
      <c r="Z92" s="227"/>
      <c r="AA92" s="227"/>
      <c r="AB92" s="227"/>
      <c r="AC92" s="227"/>
      <c r="AD92" s="227"/>
      <c r="AE92" s="227"/>
    </row>
    <row r="93" ht="15.75" customHeight="1">
      <c r="A93" s="227"/>
      <c r="B93" s="227"/>
      <c r="C93" s="227"/>
      <c r="D93" s="227"/>
      <c r="E93" s="227"/>
      <c r="F93" s="227"/>
      <c r="G93" s="227"/>
      <c r="H93" s="227"/>
      <c r="I93" s="227"/>
      <c r="J93" s="227"/>
      <c r="K93" s="227"/>
      <c r="L93" s="227"/>
      <c r="M93" s="227"/>
      <c r="N93" s="227"/>
      <c r="O93" s="227"/>
      <c r="P93" s="227"/>
      <c r="Q93" s="227"/>
      <c r="R93" s="227"/>
      <c r="S93" s="227"/>
      <c r="T93" s="227"/>
      <c r="U93" s="227"/>
      <c r="V93" s="227"/>
      <c r="W93" s="227"/>
      <c r="X93" s="227"/>
      <c r="Y93" s="227"/>
      <c r="Z93" s="227"/>
      <c r="AA93" s="227"/>
      <c r="AB93" s="227"/>
      <c r="AC93" s="227"/>
      <c r="AD93" s="227"/>
      <c r="AE93" s="227"/>
    </row>
    <row r="94" ht="15.75" customHeight="1">
      <c r="A94" s="227"/>
      <c r="B94" s="227"/>
      <c r="C94" s="227"/>
      <c r="D94" s="227"/>
      <c r="E94" s="227"/>
      <c r="F94" s="227"/>
      <c r="G94" s="227"/>
      <c r="H94" s="227"/>
      <c r="I94" s="227"/>
      <c r="J94" s="227"/>
      <c r="K94" s="227"/>
      <c r="L94" s="227"/>
      <c r="M94" s="227"/>
      <c r="N94" s="227"/>
      <c r="O94" s="227"/>
      <c r="P94" s="227"/>
      <c r="Q94" s="227"/>
      <c r="R94" s="227"/>
      <c r="S94" s="227"/>
      <c r="T94" s="227"/>
      <c r="U94" s="227"/>
      <c r="V94" s="227"/>
      <c r="W94" s="227"/>
      <c r="X94" s="227"/>
      <c r="Y94" s="227"/>
      <c r="Z94" s="227"/>
      <c r="AA94" s="227"/>
      <c r="AB94" s="227"/>
      <c r="AC94" s="227"/>
      <c r="AD94" s="227"/>
      <c r="AE94" s="227"/>
    </row>
    <row r="95" ht="15.75" customHeight="1">
      <c r="A95" s="227"/>
      <c r="B95" s="227"/>
      <c r="C95" s="227"/>
      <c r="D95" s="227"/>
      <c r="E95" s="227"/>
      <c r="F95" s="227"/>
      <c r="G95" s="227"/>
      <c r="H95" s="227"/>
      <c r="I95" s="227"/>
      <c r="J95" s="227"/>
      <c r="K95" s="227"/>
      <c r="L95" s="227"/>
      <c r="M95" s="227"/>
      <c r="N95" s="227"/>
      <c r="O95" s="227"/>
      <c r="P95" s="227"/>
      <c r="Q95" s="227"/>
      <c r="R95" s="227"/>
      <c r="S95" s="227"/>
      <c r="T95" s="227"/>
      <c r="U95" s="227"/>
      <c r="V95" s="227"/>
      <c r="W95" s="227"/>
      <c r="X95" s="227"/>
      <c r="Y95" s="227"/>
      <c r="Z95" s="227"/>
      <c r="AA95" s="227"/>
      <c r="AB95" s="227"/>
      <c r="AC95" s="227"/>
      <c r="AD95" s="227"/>
      <c r="AE95" s="227"/>
    </row>
    <row r="96" ht="15.75" customHeight="1">
      <c r="A96" s="227"/>
      <c r="B96" s="227"/>
      <c r="C96" s="227"/>
      <c r="D96" s="227"/>
      <c r="E96" s="227"/>
      <c r="F96" s="227"/>
      <c r="G96" s="227"/>
      <c r="H96" s="227"/>
      <c r="I96" s="227"/>
      <c r="J96" s="227"/>
      <c r="K96" s="227"/>
      <c r="L96" s="227"/>
      <c r="M96" s="227"/>
      <c r="N96" s="227"/>
      <c r="O96" s="227"/>
      <c r="P96" s="227"/>
      <c r="Q96" s="227"/>
      <c r="R96" s="227"/>
      <c r="S96" s="227"/>
      <c r="T96" s="227"/>
      <c r="U96" s="227"/>
      <c r="V96" s="227"/>
      <c r="W96" s="227"/>
      <c r="X96" s="227"/>
      <c r="Y96" s="227"/>
      <c r="Z96" s="227"/>
      <c r="AA96" s="227"/>
      <c r="AB96" s="227"/>
      <c r="AC96" s="227"/>
      <c r="AD96" s="227"/>
      <c r="AE96" s="227"/>
    </row>
    <row r="97" ht="15.75" customHeight="1">
      <c r="A97" s="227"/>
      <c r="B97" s="227"/>
      <c r="C97" s="227"/>
      <c r="D97" s="227"/>
      <c r="E97" s="227"/>
      <c r="F97" s="227"/>
      <c r="G97" s="227"/>
      <c r="H97" s="227"/>
      <c r="I97" s="227"/>
      <c r="J97" s="227"/>
      <c r="K97" s="227"/>
      <c r="L97" s="227"/>
      <c r="M97" s="227"/>
      <c r="N97" s="227"/>
      <c r="O97" s="227"/>
      <c r="P97" s="227"/>
      <c r="Q97" s="227"/>
      <c r="R97" s="227"/>
      <c r="S97" s="227"/>
      <c r="T97" s="227"/>
      <c r="U97" s="227"/>
      <c r="V97" s="227"/>
      <c r="W97" s="227"/>
      <c r="X97" s="227"/>
      <c r="Y97" s="227"/>
      <c r="Z97" s="227"/>
      <c r="AA97" s="227"/>
      <c r="AB97" s="227"/>
      <c r="AC97" s="227"/>
      <c r="AD97" s="227"/>
      <c r="AE97" s="227"/>
    </row>
    <row r="98" ht="15.75" customHeight="1">
      <c r="A98" s="227"/>
      <c r="B98" s="227"/>
      <c r="C98" s="227"/>
      <c r="D98" s="227"/>
      <c r="E98" s="227"/>
      <c r="F98" s="227"/>
      <c r="G98" s="227"/>
      <c r="H98" s="227"/>
      <c r="I98" s="227"/>
      <c r="J98" s="227"/>
      <c r="K98" s="227"/>
      <c r="L98" s="227"/>
      <c r="M98" s="227"/>
      <c r="N98" s="227"/>
      <c r="O98" s="227"/>
      <c r="P98" s="227"/>
      <c r="Q98" s="227"/>
      <c r="R98" s="227"/>
      <c r="S98" s="227"/>
      <c r="T98" s="227"/>
      <c r="U98" s="227"/>
      <c r="V98" s="227"/>
      <c r="W98" s="227"/>
      <c r="X98" s="227"/>
      <c r="Y98" s="227"/>
      <c r="Z98" s="227"/>
      <c r="AA98" s="227"/>
      <c r="AB98" s="227"/>
      <c r="AC98" s="227"/>
      <c r="AD98" s="227"/>
      <c r="AE98" s="227"/>
    </row>
    <row r="99" ht="15.75" customHeight="1">
      <c r="A99" s="227"/>
      <c r="B99" s="227"/>
      <c r="C99" s="227"/>
      <c r="D99" s="227"/>
      <c r="E99" s="227"/>
      <c r="F99" s="227"/>
      <c r="G99" s="227"/>
      <c r="H99" s="227"/>
      <c r="I99" s="227"/>
      <c r="J99" s="227"/>
      <c r="K99" s="227"/>
      <c r="L99" s="227"/>
      <c r="M99" s="227"/>
      <c r="N99" s="227"/>
      <c r="O99" s="227"/>
      <c r="P99" s="227"/>
      <c r="Q99" s="227"/>
      <c r="R99" s="227"/>
      <c r="S99" s="227"/>
      <c r="T99" s="227"/>
      <c r="U99" s="227"/>
      <c r="V99" s="227"/>
      <c r="W99" s="227"/>
      <c r="X99" s="227"/>
      <c r="Y99" s="227"/>
      <c r="Z99" s="227"/>
      <c r="AA99" s="227"/>
      <c r="AB99" s="227"/>
      <c r="AC99" s="227"/>
      <c r="AD99" s="227"/>
      <c r="AE99" s="227"/>
    </row>
    <row r="100" ht="15.75" customHeight="1">
      <c r="A100" s="227"/>
      <c r="B100" s="227"/>
      <c r="C100" s="227"/>
      <c r="D100" s="227"/>
      <c r="E100" s="227"/>
      <c r="F100" s="227"/>
      <c r="G100" s="227"/>
      <c r="H100" s="227"/>
      <c r="I100" s="227"/>
      <c r="J100" s="227"/>
      <c r="K100" s="227"/>
      <c r="L100" s="227"/>
      <c r="M100" s="227"/>
      <c r="N100" s="227"/>
      <c r="O100" s="227"/>
      <c r="P100" s="227"/>
      <c r="Q100" s="227"/>
      <c r="R100" s="227"/>
      <c r="S100" s="227"/>
      <c r="T100" s="227"/>
      <c r="U100" s="227"/>
      <c r="V100" s="227"/>
      <c r="W100" s="227"/>
      <c r="X100" s="227"/>
      <c r="Y100" s="227"/>
      <c r="Z100" s="227"/>
      <c r="AA100" s="227"/>
      <c r="AB100" s="227"/>
      <c r="AC100" s="227"/>
      <c r="AD100" s="227"/>
      <c r="AE100" s="227"/>
    </row>
    <row r="101" ht="15.75" customHeight="1">
      <c r="A101" s="227"/>
      <c r="B101" s="227"/>
      <c r="C101" s="227"/>
      <c r="D101" s="227"/>
      <c r="E101" s="227"/>
      <c r="F101" s="227"/>
      <c r="G101" s="227"/>
      <c r="H101" s="227"/>
      <c r="I101" s="227"/>
      <c r="J101" s="227"/>
      <c r="K101" s="227"/>
      <c r="L101" s="227"/>
      <c r="M101" s="227"/>
      <c r="N101" s="227"/>
      <c r="O101" s="227"/>
      <c r="P101" s="227"/>
      <c r="Q101" s="227"/>
      <c r="R101" s="227"/>
      <c r="S101" s="227"/>
      <c r="T101" s="227"/>
      <c r="U101" s="227"/>
      <c r="V101" s="227"/>
      <c r="W101" s="227"/>
      <c r="X101" s="227"/>
      <c r="Y101" s="227"/>
      <c r="Z101" s="227"/>
      <c r="AA101" s="227"/>
      <c r="AB101" s="227"/>
      <c r="AC101" s="227"/>
      <c r="AD101" s="227"/>
      <c r="AE101" s="227"/>
    </row>
    <row r="102" ht="15.75" customHeight="1">
      <c r="A102" s="227"/>
      <c r="B102" s="227"/>
      <c r="C102" s="227"/>
      <c r="D102" s="227"/>
      <c r="E102" s="227"/>
      <c r="F102" s="227"/>
      <c r="G102" s="227"/>
      <c r="H102" s="227"/>
      <c r="I102" s="227"/>
      <c r="J102" s="227"/>
      <c r="K102" s="227"/>
      <c r="L102" s="227"/>
      <c r="M102" s="227"/>
      <c r="N102" s="227"/>
      <c r="O102" s="227"/>
      <c r="P102" s="227"/>
      <c r="Q102" s="227"/>
      <c r="R102" s="227"/>
      <c r="S102" s="227"/>
      <c r="T102" s="227"/>
      <c r="U102" s="227"/>
      <c r="V102" s="227"/>
      <c r="W102" s="227"/>
      <c r="X102" s="227"/>
      <c r="Y102" s="227"/>
      <c r="Z102" s="227"/>
      <c r="AA102" s="227"/>
      <c r="AB102" s="227"/>
      <c r="AC102" s="227"/>
      <c r="AD102" s="227"/>
      <c r="AE102" s="227"/>
    </row>
    <row r="103" ht="15.75" customHeight="1">
      <c r="A103" s="227"/>
      <c r="B103" s="227"/>
      <c r="C103" s="227"/>
      <c r="D103" s="227"/>
      <c r="E103" s="227"/>
      <c r="F103" s="227"/>
      <c r="G103" s="227"/>
      <c r="H103" s="227"/>
      <c r="I103" s="227"/>
      <c r="J103" s="227"/>
      <c r="K103" s="227"/>
      <c r="L103" s="227"/>
      <c r="M103" s="227"/>
      <c r="N103" s="227"/>
      <c r="O103" s="227"/>
      <c r="P103" s="227"/>
      <c r="Q103" s="227"/>
      <c r="R103" s="227"/>
      <c r="S103" s="227"/>
      <c r="T103" s="227"/>
      <c r="U103" s="227"/>
      <c r="V103" s="227"/>
      <c r="W103" s="227"/>
      <c r="X103" s="227"/>
      <c r="Y103" s="227"/>
      <c r="Z103" s="227"/>
      <c r="AA103" s="227"/>
      <c r="AB103" s="227"/>
      <c r="AC103" s="227"/>
      <c r="AD103" s="227"/>
      <c r="AE103" s="227"/>
    </row>
    <row r="104" ht="15.75" customHeight="1">
      <c r="A104" s="227"/>
      <c r="B104" s="227"/>
      <c r="C104" s="227"/>
      <c r="D104" s="227"/>
      <c r="E104" s="227"/>
      <c r="F104" s="227"/>
      <c r="G104" s="227"/>
      <c r="H104" s="227"/>
      <c r="I104" s="227"/>
      <c r="J104" s="227"/>
      <c r="K104" s="227"/>
      <c r="L104" s="227"/>
      <c r="M104" s="227"/>
      <c r="N104" s="227"/>
      <c r="O104" s="227"/>
      <c r="P104" s="227"/>
      <c r="Q104" s="227"/>
      <c r="R104" s="227"/>
      <c r="S104" s="227"/>
      <c r="T104" s="227"/>
      <c r="U104" s="227"/>
      <c r="V104" s="227"/>
      <c r="W104" s="227"/>
      <c r="X104" s="227"/>
      <c r="Y104" s="227"/>
      <c r="Z104" s="227"/>
      <c r="AA104" s="227"/>
      <c r="AB104" s="227"/>
      <c r="AC104" s="227"/>
      <c r="AD104" s="227"/>
      <c r="AE104" s="227"/>
    </row>
    <row r="105" ht="15.75" customHeight="1">
      <c r="A105" s="227"/>
      <c r="B105" s="227"/>
      <c r="C105" s="227"/>
      <c r="D105" s="227"/>
      <c r="E105" s="227"/>
      <c r="F105" s="227"/>
      <c r="G105" s="227"/>
      <c r="H105" s="227"/>
      <c r="I105" s="227"/>
      <c r="J105" s="227"/>
      <c r="K105" s="227"/>
      <c r="L105" s="227"/>
      <c r="M105" s="227"/>
      <c r="N105" s="227"/>
      <c r="O105" s="227"/>
      <c r="P105" s="227"/>
      <c r="Q105" s="227"/>
      <c r="R105" s="227"/>
      <c r="S105" s="227"/>
      <c r="T105" s="227"/>
      <c r="U105" s="227"/>
      <c r="V105" s="227"/>
      <c r="W105" s="227"/>
      <c r="X105" s="227"/>
      <c r="Y105" s="227"/>
      <c r="Z105" s="227"/>
      <c r="AA105" s="227"/>
      <c r="AB105" s="227"/>
      <c r="AC105" s="227"/>
      <c r="AD105" s="227"/>
      <c r="AE105" s="227"/>
    </row>
    <row r="106" ht="15.75" customHeight="1">
      <c r="A106" s="227"/>
      <c r="B106" s="227"/>
      <c r="C106" s="227"/>
      <c r="D106" s="227"/>
      <c r="E106" s="227"/>
      <c r="F106" s="227"/>
      <c r="G106" s="227"/>
      <c r="H106" s="227"/>
      <c r="I106" s="227"/>
      <c r="J106" s="227"/>
      <c r="K106" s="227"/>
      <c r="L106" s="227"/>
      <c r="M106" s="227"/>
      <c r="N106" s="227"/>
      <c r="O106" s="227"/>
      <c r="P106" s="227"/>
      <c r="Q106" s="227"/>
      <c r="R106" s="227"/>
      <c r="S106" s="227"/>
      <c r="T106" s="227"/>
      <c r="U106" s="227"/>
      <c r="V106" s="227"/>
      <c r="W106" s="227"/>
      <c r="X106" s="227"/>
      <c r="Y106" s="227"/>
      <c r="Z106" s="227"/>
      <c r="AA106" s="227"/>
      <c r="AB106" s="227"/>
      <c r="AC106" s="227"/>
      <c r="AD106" s="227"/>
      <c r="AE106" s="227"/>
    </row>
    <row r="107" ht="15.75" customHeight="1">
      <c r="A107" s="227"/>
      <c r="B107" s="227"/>
      <c r="C107" s="227"/>
      <c r="D107" s="227"/>
      <c r="E107" s="227"/>
      <c r="F107" s="227"/>
      <c r="G107" s="227"/>
      <c r="H107" s="227"/>
      <c r="I107" s="227"/>
      <c r="J107" s="227"/>
      <c r="K107" s="227"/>
      <c r="L107" s="227"/>
      <c r="M107" s="227"/>
      <c r="N107" s="227"/>
      <c r="O107" s="227"/>
      <c r="P107" s="227"/>
      <c r="Q107" s="227"/>
      <c r="R107" s="227"/>
      <c r="S107" s="227"/>
      <c r="T107" s="227"/>
      <c r="U107" s="227"/>
      <c r="V107" s="227"/>
      <c r="W107" s="227"/>
      <c r="X107" s="227"/>
      <c r="Y107" s="227"/>
      <c r="Z107" s="227"/>
      <c r="AA107" s="227"/>
      <c r="AB107" s="227"/>
      <c r="AC107" s="227"/>
      <c r="AD107" s="227"/>
      <c r="AE107" s="227"/>
    </row>
    <row r="108" ht="15.75" customHeight="1">
      <c r="A108" s="227"/>
      <c r="B108" s="227"/>
      <c r="C108" s="227"/>
      <c r="D108" s="227"/>
      <c r="E108" s="227"/>
      <c r="F108" s="227"/>
      <c r="G108" s="227"/>
      <c r="H108" s="227"/>
      <c r="I108" s="227"/>
      <c r="J108" s="227"/>
      <c r="K108" s="227"/>
      <c r="L108" s="227"/>
      <c r="M108" s="227"/>
      <c r="N108" s="227"/>
      <c r="O108" s="227"/>
      <c r="P108" s="227"/>
      <c r="Q108" s="227"/>
      <c r="R108" s="227"/>
      <c r="S108" s="227"/>
      <c r="T108" s="227"/>
      <c r="U108" s="227"/>
      <c r="V108" s="227"/>
      <c r="W108" s="227"/>
      <c r="X108" s="227"/>
      <c r="Y108" s="227"/>
      <c r="Z108" s="227"/>
      <c r="AA108" s="227"/>
      <c r="AB108" s="227"/>
      <c r="AC108" s="227"/>
      <c r="AD108" s="227"/>
      <c r="AE108" s="227"/>
    </row>
    <row r="109" ht="15.75" customHeight="1">
      <c r="A109" s="227"/>
      <c r="B109" s="227"/>
      <c r="C109" s="227"/>
      <c r="D109" s="227"/>
      <c r="E109" s="227"/>
      <c r="F109" s="227"/>
      <c r="G109" s="227"/>
      <c r="H109" s="227"/>
      <c r="I109" s="227"/>
      <c r="J109" s="227"/>
      <c r="K109" s="227"/>
      <c r="L109" s="227"/>
      <c r="M109" s="227"/>
      <c r="N109" s="227"/>
      <c r="O109" s="227"/>
      <c r="P109" s="227"/>
      <c r="Q109" s="227"/>
      <c r="R109" s="227"/>
      <c r="S109" s="227"/>
      <c r="T109" s="227"/>
      <c r="U109" s="227"/>
      <c r="V109" s="227"/>
      <c r="W109" s="227"/>
      <c r="X109" s="227"/>
      <c r="Y109" s="227"/>
      <c r="Z109" s="227"/>
      <c r="AA109" s="227"/>
      <c r="AB109" s="227"/>
      <c r="AC109" s="227"/>
      <c r="AD109" s="227"/>
      <c r="AE109" s="227"/>
    </row>
    <row r="110" ht="15.75" customHeight="1">
      <c r="A110" s="227"/>
      <c r="B110" s="227"/>
      <c r="C110" s="227"/>
      <c r="D110" s="227"/>
      <c r="E110" s="227"/>
      <c r="F110" s="227"/>
      <c r="G110" s="227"/>
      <c r="H110" s="227"/>
      <c r="I110" s="227"/>
      <c r="J110" s="227"/>
      <c r="K110" s="227"/>
      <c r="L110" s="227"/>
      <c r="M110" s="227"/>
      <c r="N110" s="227"/>
      <c r="O110" s="227"/>
      <c r="P110" s="227"/>
      <c r="Q110" s="227"/>
      <c r="R110" s="227"/>
      <c r="S110" s="227"/>
      <c r="T110" s="227"/>
      <c r="U110" s="227"/>
      <c r="V110" s="227"/>
      <c r="W110" s="227"/>
      <c r="X110" s="227"/>
      <c r="Y110" s="227"/>
      <c r="Z110" s="227"/>
      <c r="AA110" s="227"/>
      <c r="AB110" s="227"/>
      <c r="AC110" s="227"/>
      <c r="AD110" s="227"/>
      <c r="AE110" s="227"/>
    </row>
    <row r="111" ht="15.75" customHeight="1">
      <c r="A111" s="227"/>
      <c r="B111" s="227"/>
      <c r="C111" s="227"/>
      <c r="D111" s="227"/>
      <c r="E111" s="227"/>
      <c r="F111" s="227"/>
      <c r="G111" s="227"/>
      <c r="H111" s="227"/>
      <c r="I111" s="227"/>
      <c r="J111" s="227"/>
      <c r="K111" s="227"/>
      <c r="L111" s="227"/>
      <c r="M111" s="227"/>
      <c r="N111" s="227"/>
      <c r="O111" s="227"/>
      <c r="P111" s="227"/>
      <c r="Q111" s="227"/>
      <c r="R111" s="227"/>
      <c r="S111" s="227"/>
      <c r="T111" s="227"/>
      <c r="U111" s="227"/>
      <c r="V111" s="227"/>
      <c r="W111" s="227"/>
      <c r="X111" s="227"/>
      <c r="Y111" s="227"/>
      <c r="Z111" s="227"/>
      <c r="AA111" s="227"/>
      <c r="AB111" s="227"/>
      <c r="AC111" s="227"/>
      <c r="AD111" s="227"/>
      <c r="AE111" s="227"/>
    </row>
    <row r="112" ht="15.75" customHeight="1">
      <c r="A112" s="227"/>
      <c r="B112" s="227"/>
      <c r="C112" s="227"/>
      <c r="D112" s="227"/>
      <c r="E112" s="227"/>
      <c r="F112" s="227"/>
      <c r="G112" s="227"/>
      <c r="H112" s="227"/>
      <c r="I112" s="227"/>
      <c r="J112" s="227"/>
      <c r="K112" s="227"/>
      <c r="L112" s="227"/>
      <c r="M112" s="227"/>
      <c r="N112" s="227"/>
      <c r="O112" s="227"/>
      <c r="P112" s="227"/>
      <c r="Q112" s="227"/>
      <c r="R112" s="227"/>
      <c r="S112" s="227"/>
      <c r="T112" s="227"/>
      <c r="U112" s="227"/>
      <c r="V112" s="227"/>
      <c r="W112" s="227"/>
      <c r="X112" s="227"/>
      <c r="Y112" s="227"/>
      <c r="Z112" s="227"/>
      <c r="AA112" s="227"/>
      <c r="AB112" s="227"/>
      <c r="AC112" s="227"/>
      <c r="AD112" s="227"/>
      <c r="AE112" s="227"/>
    </row>
    <row r="113" ht="15.75" customHeight="1">
      <c r="A113" s="227"/>
      <c r="B113" s="227"/>
      <c r="C113" s="227"/>
      <c r="D113" s="227"/>
      <c r="E113" s="227"/>
      <c r="F113" s="227"/>
      <c r="G113" s="227"/>
      <c r="H113" s="227"/>
      <c r="I113" s="227"/>
      <c r="J113" s="227"/>
      <c r="K113" s="227"/>
      <c r="L113" s="227"/>
      <c r="M113" s="227"/>
      <c r="N113" s="227"/>
      <c r="O113" s="227"/>
      <c r="P113" s="227"/>
      <c r="Q113" s="227"/>
      <c r="R113" s="227"/>
      <c r="S113" s="227"/>
      <c r="T113" s="227"/>
      <c r="U113" s="227"/>
      <c r="V113" s="227"/>
      <c r="W113" s="227"/>
      <c r="X113" s="227"/>
      <c r="Y113" s="227"/>
      <c r="Z113" s="227"/>
      <c r="AA113" s="227"/>
      <c r="AB113" s="227"/>
      <c r="AC113" s="227"/>
      <c r="AD113" s="227"/>
      <c r="AE113" s="227"/>
    </row>
    <row r="114" ht="15.75" customHeight="1">
      <c r="A114" s="227"/>
      <c r="B114" s="227"/>
      <c r="C114" s="227"/>
      <c r="D114" s="227"/>
      <c r="E114" s="227"/>
      <c r="F114" s="227"/>
      <c r="G114" s="227"/>
      <c r="H114" s="227"/>
      <c r="I114" s="227"/>
      <c r="J114" s="227"/>
      <c r="K114" s="227"/>
      <c r="L114" s="227"/>
      <c r="M114" s="227"/>
      <c r="N114" s="227"/>
      <c r="O114" s="227"/>
      <c r="P114" s="227"/>
      <c r="Q114" s="227"/>
      <c r="R114" s="227"/>
      <c r="S114" s="227"/>
      <c r="T114" s="227"/>
      <c r="U114" s="227"/>
      <c r="V114" s="227"/>
      <c r="W114" s="227"/>
      <c r="X114" s="227"/>
      <c r="Y114" s="227"/>
      <c r="Z114" s="227"/>
      <c r="AA114" s="227"/>
      <c r="AB114" s="227"/>
      <c r="AC114" s="227"/>
      <c r="AD114" s="227"/>
      <c r="AE114" s="227"/>
    </row>
    <row r="115" ht="15.75" customHeight="1">
      <c r="A115" s="227"/>
      <c r="B115" s="227"/>
      <c r="C115" s="227"/>
      <c r="D115" s="227"/>
      <c r="E115" s="227"/>
      <c r="F115" s="227"/>
      <c r="G115" s="227"/>
      <c r="H115" s="227"/>
      <c r="I115" s="227"/>
      <c r="J115" s="227"/>
      <c r="K115" s="227"/>
      <c r="L115" s="227"/>
      <c r="M115" s="227"/>
      <c r="N115" s="227"/>
      <c r="O115" s="227"/>
      <c r="P115" s="227"/>
      <c r="Q115" s="227"/>
      <c r="R115" s="227"/>
      <c r="S115" s="227"/>
      <c r="T115" s="227"/>
      <c r="U115" s="227"/>
      <c r="V115" s="227"/>
      <c r="W115" s="227"/>
      <c r="X115" s="227"/>
      <c r="Y115" s="227"/>
      <c r="Z115" s="227"/>
      <c r="AA115" s="227"/>
      <c r="AB115" s="227"/>
      <c r="AC115" s="227"/>
      <c r="AD115" s="227"/>
      <c r="AE115" s="227"/>
    </row>
    <row r="116" ht="15.75" customHeight="1">
      <c r="A116" s="227"/>
      <c r="B116" s="227"/>
      <c r="C116" s="227"/>
      <c r="D116" s="227"/>
      <c r="E116" s="227"/>
      <c r="F116" s="227"/>
      <c r="G116" s="227"/>
      <c r="H116" s="227"/>
      <c r="I116" s="227"/>
      <c r="J116" s="227"/>
      <c r="K116" s="227"/>
      <c r="L116" s="227"/>
      <c r="M116" s="227"/>
      <c r="N116" s="227"/>
      <c r="O116" s="227"/>
      <c r="P116" s="227"/>
      <c r="Q116" s="227"/>
      <c r="R116" s="227"/>
      <c r="S116" s="227"/>
      <c r="T116" s="227"/>
      <c r="U116" s="227"/>
      <c r="V116" s="227"/>
      <c r="W116" s="227"/>
      <c r="X116" s="227"/>
      <c r="Y116" s="227"/>
      <c r="Z116" s="227"/>
      <c r="AA116" s="227"/>
      <c r="AB116" s="227"/>
      <c r="AC116" s="227"/>
      <c r="AD116" s="227"/>
      <c r="AE116" s="227"/>
    </row>
    <row r="117" ht="15.75" customHeight="1">
      <c r="A117" s="227"/>
      <c r="B117" s="227"/>
      <c r="C117" s="227"/>
      <c r="D117" s="227"/>
      <c r="E117" s="227"/>
      <c r="F117" s="227"/>
      <c r="G117" s="227"/>
      <c r="H117" s="227"/>
      <c r="I117" s="227"/>
      <c r="J117" s="227"/>
      <c r="K117" s="227"/>
      <c r="L117" s="227"/>
      <c r="M117" s="227"/>
      <c r="N117" s="227"/>
      <c r="O117" s="227"/>
      <c r="P117" s="227"/>
      <c r="Q117" s="227"/>
      <c r="R117" s="227"/>
      <c r="S117" s="227"/>
      <c r="T117" s="227"/>
      <c r="U117" s="227"/>
      <c r="V117" s="227"/>
      <c r="W117" s="227"/>
      <c r="X117" s="227"/>
      <c r="Y117" s="227"/>
      <c r="Z117" s="227"/>
      <c r="AA117" s="227"/>
      <c r="AB117" s="227"/>
      <c r="AC117" s="227"/>
      <c r="AD117" s="227"/>
      <c r="AE117" s="227"/>
    </row>
    <row r="118" ht="15.75" customHeight="1">
      <c r="A118" s="227"/>
      <c r="B118" s="227"/>
      <c r="C118" s="227"/>
      <c r="D118" s="227"/>
      <c r="E118" s="227"/>
      <c r="F118" s="227"/>
      <c r="G118" s="227"/>
      <c r="H118" s="227"/>
      <c r="I118" s="227"/>
      <c r="J118" s="227"/>
      <c r="K118" s="227"/>
      <c r="L118" s="227"/>
      <c r="M118" s="227"/>
      <c r="N118" s="227"/>
      <c r="O118" s="227"/>
      <c r="P118" s="227"/>
      <c r="Q118" s="227"/>
      <c r="R118" s="227"/>
      <c r="S118" s="227"/>
      <c r="T118" s="227"/>
      <c r="U118" s="227"/>
      <c r="V118" s="227"/>
      <c r="W118" s="227"/>
      <c r="X118" s="227"/>
      <c r="Y118" s="227"/>
      <c r="Z118" s="227"/>
      <c r="AA118" s="227"/>
      <c r="AB118" s="227"/>
      <c r="AC118" s="227"/>
      <c r="AD118" s="227"/>
      <c r="AE118" s="227"/>
    </row>
    <row r="119" ht="15.75" customHeight="1">
      <c r="A119" s="227"/>
      <c r="B119" s="227"/>
      <c r="C119" s="227"/>
      <c r="D119" s="227"/>
      <c r="E119" s="227"/>
      <c r="F119" s="227"/>
      <c r="G119" s="227"/>
      <c r="H119" s="227"/>
      <c r="I119" s="227"/>
      <c r="J119" s="227"/>
      <c r="K119" s="227"/>
      <c r="L119" s="227"/>
      <c r="M119" s="227"/>
      <c r="N119" s="227"/>
      <c r="O119" s="227"/>
      <c r="P119" s="227"/>
      <c r="Q119" s="227"/>
      <c r="R119" s="227"/>
      <c r="S119" s="227"/>
      <c r="T119" s="227"/>
      <c r="U119" s="227"/>
      <c r="V119" s="227"/>
      <c r="W119" s="227"/>
      <c r="X119" s="227"/>
      <c r="Y119" s="227"/>
      <c r="Z119" s="227"/>
      <c r="AA119" s="227"/>
      <c r="AB119" s="227"/>
      <c r="AC119" s="227"/>
      <c r="AD119" s="227"/>
      <c r="AE119" s="227"/>
    </row>
    <row r="120" ht="15.75" customHeight="1">
      <c r="A120" s="227"/>
      <c r="B120" s="227"/>
      <c r="C120" s="227"/>
      <c r="D120" s="227"/>
      <c r="E120" s="227"/>
      <c r="F120" s="227"/>
      <c r="G120" s="227"/>
      <c r="H120" s="227"/>
      <c r="I120" s="227"/>
      <c r="J120" s="227"/>
      <c r="K120" s="227"/>
      <c r="L120" s="227"/>
      <c r="M120" s="227"/>
      <c r="N120" s="227"/>
      <c r="O120" s="227"/>
      <c r="P120" s="227"/>
      <c r="Q120" s="227"/>
      <c r="R120" s="227"/>
      <c r="S120" s="227"/>
      <c r="T120" s="227"/>
      <c r="U120" s="227"/>
      <c r="V120" s="227"/>
      <c r="W120" s="227"/>
      <c r="X120" s="227"/>
      <c r="Y120" s="227"/>
      <c r="Z120" s="227"/>
      <c r="AA120" s="227"/>
      <c r="AB120" s="227"/>
      <c r="AC120" s="227"/>
      <c r="AD120" s="227"/>
      <c r="AE120" s="227"/>
    </row>
    <row r="121" ht="15.75" customHeight="1">
      <c r="A121" s="227"/>
      <c r="B121" s="227"/>
      <c r="C121" s="227"/>
      <c r="D121" s="227"/>
      <c r="E121" s="227"/>
      <c r="F121" s="227"/>
      <c r="G121" s="227"/>
      <c r="H121" s="227"/>
      <c r="I121" s="227"/>
      <c r="J121" s="227"/>
      <c r="K121" s="227"/>
      <c r="L121" s="227"/>
      <c r="M121" s="227"/>
      <c r="N121" s="227"/>
      <c r="O121" s="227"/>
      <c r="P121" s="227"/>
      <c r="Q121" s="227"/>
      <c r="R121" s="227"/>
      <c r="S121" s="227"/>
      <c r="T121" s="227"/>
      <c r="U121" s="227"/>
      <c r="V121" s="227"/>
      <c r="W121" s="227"/>
      <c r="X121" s="227"/>
      <c r="Y121" s="227"/>
      <c r="Z121" s="227"/>
      <c r="AA121" s="227"/>
      <c r="AB121" s="227"/>
      <c r="AC121" s="227"/>
      <c r="AD121" s="227"/>
      <c r="AE121" s="227"/>
    </row>
    <row r="122" ht="15.75" customHeight="1">
      <c r="A122" s="227"/>
      <c r="B122" s="227"/>
      <c r="C122" s="227"/>
      <c r="D122" s="227"/>
      <c r="E122" s="227"/>
      <c r="F122" s="227"/>
      <c r="G122" s="227"/>
      <c r="H122" s="227"/>
      <c r="I122" s="227"/>
      <c r="J122" s="227"/>
      <c r="K122" s="227"/>
      <c r="L122" s="227"/>
      <c r="M122" s="227"/>
      <c r="N122" s="227"/>
      <c r="O122" s="227"/>
      <c r="P122" s="227"/>
      <c r="Q122" s="227"/>
      <c r="R122" s="227"/>
      <c r="S122" s="227"/>
      <c r="T122" s="227"/>
      <c r="U122" s="227"/>
      <c r="V122" s="227"/>
      <c r="W122" s="227"/>
      <c r="X122" s="227"/>
      <c r="Y122" s="227"/>
      <c r="Z122" s="227"/>
      <c r="AA122" s="227"/>
      <c r="AB122" s="227"/>
      <c r="AC122" s="227"/>
      <c r="AD122" s="227"/>
      <c r="AE122" s="227"/>
    </row>
    <row r="123" ht="15.75" customHeight="1">
      <c r="A123" s="227"/>
      <c r="B123" s="227"/>
      <c r="C123" s="227"/>
      <c r="D123" s="227"/>
      <c r="E123" s="227"/>
      <c r="F123" s="227"/>
      <c r="G123" s="227"/>
      <c r="H123" s="227"/>
      <c r="I123" s="227"/>
      <c r="J123" s="227"/>
      <c r="K123" s="227"/>
      <c r="L123" s="227"/>
      <c r="M123" s="227"/>
      <c r="N123" s="227"/>
      <c r="O123" s="227"/>
      <c r="P123" s="227"/>
      <c r="Q123" s="227"/>
      <c r="R123" s="227"/>
      <c r="S123" s="227"/>
      <c r="T123" s="227"/>
      <c r="U123" s="227"/>
      <c r="V123" s="227"/>
      <c r="W123" s="227"/>
      <c r="X123" s="227"/>
      <c r="Y123" s="227"/>
      <c r="Z123" s="227"/>
      <c r="AA123" s="227"/>
      <c r="AB123" s="227"/>
      <c r="AC123" s="227"/>
      <c r="AD123" s="227"/>
      <c r="AE123" s="227"/>
    </row>
    <row r="124" ht="15.75" customHeight="1">
      <c r="A124" s="227"/>
      <c r="B124" s="227"/>
      <c r="C124" s="227"/>
      <c r="D124" s="227"/>
      <c r="E124" s="227"/>
      <c r="F124" s="227"/>
      <c r="G124" s="227"/>
      <c r="H124" s="227"/>
      <c r="I124" s="227"/>
      <c r="J124" s="227"/>
      <c r="K124" s="227"/>
      <c r="L124" s="227"/>
      <c r="M124" s="227"/>
      <c r="N124" s="227"/>
      <c r="O124" s="227"/>
      <c r="P124" s="227"/>
      <c r="Q124" s="227"/>
      <c r="R124" s="227"/>
      <c r="S124" s="227"/>
      <c r="T124" s="227"/>
      <c r="U124" s="227"/>
      <c r="V124" s="227"/>
      <c r="W124" s="227"/>
      <c r="X124" s="227"/>
      <c r="Y124" s="227"/>
      <c r="Z124" s="227"/>
      <c r="AA124" s="227"/>
      <c r="AB124" s="227"/>
      <c r="AC124" s="227"/>
      <c r="AD124" s="227"/>
      <c r="AE124" s="227"/>
    </row>
    <row r="125" ht="15.75" customHeight="1">
      <c r="A125" s="227"/>
      <c r="B125" s="227"/>
      <c r="C125" s="227"/>
      <c r="D125" s="227"/>
      <c r="E125" s="227"/>
      <c r="F125" s="227"/>
      <c r="G125" s="227"/>
      <c r="H125" s="227"/>
      <c r="I125" s="227"/>
      <c r="J125" s="227"/>
      <c r="K125" s="227"/>
      <c r="L125" s="227"/>
      <c r="M125" s="227"/>
      <c r="N125" s="227"/>
      <c r="O125" s="227"/>
      <c r="P125" s="227"/>
      <c r="Q125" s="227"/>
      <c r="R125" s="227"/>
      <c r="S125" s="227"/>
      <c r="T125" s="227"/>
      <c r="U125" s="227"/>
      <c r="V125" s="227"/>
      <c r="W125" s="227"/>
      <c r="X125" s="227"/>
      <c r="Y125" s="227"/>
      <c r="Z125" s="227"/>
      <c r="AA125" s="227"/>
      <c r="AB125" s="227"/>
      <c r="AC125" s="227"/>
      <c r="AD125" s="227"/>
      <c r="AE125" s="227"/>
    </row>
    <row r="126" ht="15.75" customHeight="1">
      <c r="A126" s="227"/>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row>
    <row r="127" ht="15.75" customHeight="1">
      <c r="A127" s="227"/>
      <c r="B127" s="227"/>
      <c r="C127" s="227"/>
      <c r="D127" s="227"/>
      <c r="E127" s="227"/>
      <c r="F127" s="227"/>
      <c r="G127" s="227"/>
      <c r="H127" s="227"/>
      <c r="I127" s="227"/>
      <c r="J127" s="227"/>
      <c r="K127" s="227"/>
      <c r="L127" s="227"/>
      <c r="M127" s="227"/>
      <c r="N127" s="227"/>
      <c r="O127" s="227"/>
      <c r="P127" s="227"/>
      <c r="Q127" s="227"/>
      <c r="R127" s="227"/>
      <c r="S127" s="227"/>
      <c r="T127" s="227"/>
      <c r="U127" s="227"/>
      <c r="V127" s="227"/>
      <c r="W127" s="227"/>
      <c r="X127" s="227"/>
      <c r="Y127" s="227"/>
      <c r="Z127" s="227"/>
      <c r="AA127" s="227"/>
      <c r="AB127" s="227"/>
      <c r="AC127" s="227"/>
      <c r="AD127" s="227"/>
      <c r="AE127" s="227"/>
    </row>
    <row r="128" ht="15.75" customHeight="1">
      <c r="A128" s="227"/>
      <c r="B128" s="227"/>
      <c r="C128" s="227"/>
      <c r="D128" s="227"/>
      <c r="E128" s="227"/>
      <c r="F128" s="227"/>
      <c r="G128" s="227"/>
      <c r="H128" s="227"/>
      <c r="I128" s="227"/>
      <c r="J128" s="227"/>
      <c r="K128" s="227"/>
      <c r="L128" s="227"/>
      <c r="M128" s="227"/>
      <c r="N128" s="227"/>
      <c r="O128" s="227"/>
      <c r="P128" s="227"/>
      <c r="Q128" s="227"/>
      <c r="R128" s="227"/>
      <c r="S128" s="227"/>
      <c r="T128" s="227"/>
      <c r="U128" s="227"/>
      <c r="V128" s="227"/>
      <c r="W128" s="227"/>
      <c r="X128" s="227"/>
      <c r="Y128" s="227"/>
      <c r="Z128" s="227"/>
      <c r="AA128" s="227"/>
      <c r="AB128" s="227"/>
      <c r="AC128" s="227"/>
      <c r="AD128" s="227"/>
      <c r="AE128" s="227"/>
    </row>
    <row r="129" ht="15.75" customHeight="1">
      <c r="A129" s="227"/>
      <c r="B129" s="227"/>
      <c r="C129" s="227"/>
      <c r="D129" s="227"/>
      <c r="E129" s="227"/>
      <c r="F129" s="227"/>
      <c r="G129" s="227"/>
      <c r="H129" s="227"/>
      <c r="I129" s="227"/>
      <c r="J129" s="227"/>
      <c r="K129" s="227"/>
      <c r="L129" s="227"/>
      <c r="M129" s="227"/>
      <c r="N129" s="227"/>
      <c r="O129" s="227"/>
      <c r="P129" s="227"/>
      <c r="Q129" s="227"/>
      <c r="R129" s="227"/>
      <c r="S129" s="227"/>
      <c r="T129" s="227"/>
      <c r="U129" s="227"/>
      <c r="V129" s="227"/>
      <c r="W129" s="227"/>
      <c r="X129" s="227"/>
      <c r="Y129" s="227"/>
      <c r="Z129" s="227"/>
      <c r="AA129" s="227"/>
      <c r="AB129" s="227"/>
      <c r="AC129" s="227"/>
      <c r="AD129" s="227"/>
      <c r="AE129" s="227"/>
    </row>
    <row r="130" ht="15.75" customHeight="1">
      <c r="A130" s="227"/>
      <c r="B130" s="227"/>
      <c r="C130" s="227"/>
      <c r="D130" s="227"/>
      <c r="E130" s="227"/>
      <c r="F130" s="227"/>
      <c r="G130" s="227"/>
      <c r="H130" s="227"/>
      <c r="I130" s="227"/>
      <c r="J130" s="227"/>
      <c r="K130" s="227"/>
      <c r="L130" s="227"/>
      <c r="M130" s="227"/>
      <c r="N130" s="227"/>
      <c r="O130" s="227"/>
      <c r="P130" s="227"/>
      <c r="Q130" s="227"/>
      <c r="R130" s="227"/>
      <c r="S130" s="227"/>
      <c r="T130" s="227"/>
      <c r="U130" s="227"/>
      <c r="V130" s="227"/>
      <c r="W130" s="227"/>
      <c r="X130" s="227"/>
      <c r="Y130" s="227"/>
      <c r="Z130" s="227"/>
      <c r="AA130" s="227"/>
      <c r="AB130" s="227"/>
      <c r="AC130" s="227"/>
      <c r="AD130" s="227"/>
      <c r="AE130" s="227"/>
    </row>
    <row r="131" ht="15.75" customHeight="1">
      <c r="A131" s="227"/>
      <c r="B131" s="227"/>
      <c r="C131" s="227"/>
      <c r="D131" s="227"/>
      <c r="E131" s="227"/>
      <c r="F131" s="227"/>
      <c r="G131" s="227"/>
      <c r="H131" s="227"/>
      <c r="I131" s="227"/>
      <c r="J131" s="227"/>
      <c r="K131" s="227"/>
      <c r="L131" s="227"/>
      <c r="M131" s="227"/>
      <c r="N131" s="227"/>
      <c r="O131" s="227"/>
      <c r="P131" s="227"/>
      <c r="Q131" s="227"/>
      <c r="R131" s="227"/>
      <c r="S131" s="227"/>
      <c r="T131" s="227"/>
      <c r="U131" s="227"/>
      <c r="V131" s="227"/>
      <c r="W131" s="227"/>
      <c r="X131" s="227"/>
      <c r="Y131" s="227"/>
      <c r="Z131" s="227"/>
      <c r="AA131" s="227"/>
      <c r="AB131" s="227"/>
      <c r="AC131" s="227"/>
      <c r="AD131" s="227"/>
      <c r="AE131" s="227"/>
    </row>
    <row r="132" ht="15.75" customHeight="1">
      <c r="A132" s="227"/>
      <c r="B132" s="227"/>
      <c r="C132" s="227"/>
      <c r="D132" s="227"/>
      <c r="E132" s="227"/>
      <c r="F132" s="227"/>
      <c r="G132" s="227"/>
      <c r="H132" s="227"/>
      <c r="I132" s="227"/>
      <c r="J132" s="227"/>
      <c r="K132" s="227"/>
      <c r="L132" s="227"/>
      <c r="M132" s="227"/>
      <c r="N132" s="227"/>
      <c r="O132" s="227"/>
      <c r="P132" s="227"/>
      <c r="Q132" s="227"/>
      <c r="R132" s="227"/>
      <c r="S132" s="227"/>
      <c r="T132" s="227"/>
      <c r="U132" s="227"/>
      <c r="V132" s="227"/>
      <c r="W132" s="227"/>
      <c r="X132" s="227"/>
      <c r="Y132" s="227"/>
      <c r="Z132" s="227"/>
      <c r="AA132" s="227"/>
      <c r="AB132" s="227"/>
      <c r="AC132" s="227"/>
      <c r="AD132" s="227"/>
      <c r="AE132" s="227"/>
    </row>
    <row r="133" ht="15.75" customHeight="1">
      <c r="A133" s="227"/>
      <c r="B133" s="227"/>
      <c r="C133" s="227"/>
      <c r="D133" s="227"/>
      <c r="E133" s="227"/>
      <c r="F133" s="227"/>
      <c r="G133" s="227"/>
      <c r="H133" s="227"/>
      <c r="I133" s="227"/>
      <c r="J133" s="227"/>
      <c r="K133" s="227"/>
      <c r="L133" s="227"/>
      <c r="M133" s="227"/>
      <c r="N133" s="227"/>
      <c r="O133" s="227"/>
      <c r="P133" s="227"/>
      <c r="Q133" s="227"/>
      <c r="R133" s="227"/>
      <c r="S133" s="227"/>
      <c r="T133" s="227"/>
      <c r="U133" s="227"/>
      <c r="V133" s="227"/>
      <c r="W133" s="227"/>
      <c r="X133" s="227"/>
      <c r="Y133" s="227"/>
      <c r="Z133" s="227"/>
      <c r="AA133" s="227"/>
      <c r="AB133" s="227"/>
      <c r="AC133" s="227"/>
      <c r="AD133" s="227"/>
      <c r="AE133" s="227"/>
    </row>
    <row r="134" ht="15.75" customHeight="1">
      <c r="A134" s="227"/>
      <c r="B134" s="227"/>
      <c r="C134" s="227"/>
      <c r="D134" s="227"/>
      <c r="E134" s="227"/>
      <c r="F134" s="227"/>
      <c r="G134" s="227"/>
      <c r="H134" s="227"/>
      <c r="I134" s="227"/>
      <c r="J134" s="227"/>
      <c r="K134" s="227"/>
      <c r="L134" s="227"/>
      <c r="M134" s="227"/>
      <c r="N134" s="227"/>
      <c r="O134" s="227"/>
      <c r="P134" s="227"/>
      <c r="Q134" s="227"/>
      <c r="R134" s="227"/>
      <c r="S134" s="227"/>
      <c r="T134" s="227"/>
      <c r="U134" s="227"/>
      <c r="V134" s="227"/>
      <c r="W134" s="227"/>
      <c r="X134" s="227"/>
      <c r="Y134" s="227"/>
      <c r="Z134" s="227"/>
      <c r="AA134" s="227"/>
      <c r="AB134" s="227"/>
      <c r="AC134" s="227"/>
      <c r="AD134" s="227"/>
      <c r="AE134" s="227"/>
    </row>
    <row r="135" ht="15.75" customHeight="1">
      <c r="A135" s="227"/>
      <c r="B135" s="227"/>
      <c r="C135" s="227"/>
      <c r="D135" s="227"/>
      <c r="E135" s="227"/>
      <c r="F135" s="227"/>
      <c r="G135" s="227"/>
      <c r="H135" s="227"/>
      <c r="I135" s="227"/>
      <c r="J135" s="227"/>
      <c r="K135" s="227"/>
      <c r="L135" s="227"/>
      <c r="M135" s="227"/>
      <c r="N135" s="227"/>
      <c r="O135" s="227"/>
      <c r="P135" s="227"/>
      <c r="Q135" s="227"/>
      <c r="R135" s="227"/>
      <c r="S135" s="227"/>
      <c r="T135" s="227"/>
      <c r="U135" s="227"/>
      <c r="V135" s="227"/>
      <c r="W135" s="227"/>
      <c r="X135" s="227"/>
      <c r="Y135" s="227"/>
      <c r="Z135" s="227"/>
      <c r="AA135" s="227"/>
      <c r="AB135" s="227"/>
      <c r="AC135" s="227"/>
      <c r="AD135" s="227"/>
      <c r="AE135" s="227"/>
    </row>
    <row r="136" ht="15.75" customHeight="1">
      <c r="A136" s="227"/>
      <c r="B136" s="227"/>
      <c r="C136" s="227"/>
      <c r="D136" s="227"/>
      <c r="E136" s="227"/>
      <c r="F136" s="227"/>
      <c r="G136" s="227"/>
      <c r="H136" s="227"/>
      <c r="I136" s="227"/>
      <c r="J136" s="227"/>
      <c r="K136" s="227"/>
      <c r="L136" s="227"/>
      <c r="M136" s="227"/>
      <c r="N136" s="227"/>
      <c r="O136" s="227"/>
      <c r="P136" s="227"/>
      <c r="Q136" s="227"/>
      <c r="R136" s="227"/>
      <c r="S136" s="227"/>
      <c r="T136" s="227"/>
      <c r="U136" s="227"/>
      <c r="V136" s="227"/>
      <c r="W136" s="227"/>
      <c r="X136" s="227"/>
      <c r="Y136" s="227"/>
      <c r="Z136" s="227"/>
      <c r="AA136" s="227"/>
      <c r="AB136" s="227"/>
      <c r="AC136" s="227"/>
      <c r="AD136" s="227"/>
      <c r="AE136" s="227"/>
    </row>
    <row r="137" ht="15.75" customHeight="1">
      <c r="A137" s="227"/>
      <c r="B137" s="227"/>
      <c r="C137" s="227"/>
      <c r="D137" s="227"/>
      <c r="E137" s="227"/>
      <c r="F137" s="227"/>
      <c r="G137" s="227"/>
      <c r="H137" s="227"/>
      <c r="I137" s="227"/>
      <c r="J137" s="227"/>
      <c r="K137" s="227"/>
      <c r="L137" s="227"/>
      <c r="M137" s="227"/>
      <c r="N137" s="227"/>
      <c r="O137" s="227"/>
      <c r="P137" s="227"/>
      <c r="Q137" s="227"/>
      <c r="R137" s="227"/>
      <c r="S137" s="227"/>
      <c r="T137" s="227"/>
      <c r="U137" s="227"/>
      <c r="V137" s="227"/>
      <c r="W137" s="227"/>
      <c r="X137" s="227"/>
      <c r="Y137" s="227"/>
      <c r="Z137" s="227"/>
      <c r="AA137" s="227"/>
      <c r="AB137" s="227"/>
      <c r="AC137" s="227"/>
      <c r="AD137" s="227"/>
      <c r="AE137" s="227"/>
    </row>
    <row r="138" ht="15.75" customHeight="1">
      <c r="A138" s="227"/>
      <c r="B138" s="227"/>
      <c r="C138" s="227"/>
      <c r="D138" s="227"/>
      <c r="E138" s="227"/>
      <c r="F138" s="227"/>
      <c r="G138" s="227"/>
      <c r="H138" s="227"/>
      <c r="I138" s="227"/>
      <c r="J138" s="227"/>
      <c r="K138" s="227"/>
      <c r="L138" s="227"/>
      <c r="M138" s="227"/>
      <c r="N138" s="227"/>
      <c r="O138" s="227"/>
      <c r="P138" s="227"/>
      <c r="Q138" s="227"/>
      <c r="R138" s="227"/>
      <c r="S138" s="227"/>
      <c r="T138" s="227"/>
      <c r="U138" s="227"/>
      <c r="V138" s="227"/>
      <c r="W138" s="227"/>
      <c r="X138" s="227"/>
      <c r="Y138" s="227"/>
      <c r="Z138" s="227"/>
      <c r="AA138" s="227"/>
      <c r="AB138" s="227"/>
      <c r="AC138" s="227"/>
      <c r="AD138" s="227"/>
      <c r="AE138" s="227"/>
    </row>
    <row r="139" ht="15.75" customHeight="1">
      <c r="A139" s="227"/>
      <c r="B139" s="227"/>
      <c r="C139" s="227"/>
      <c r="D139" s="227"/>
      <c r="E139" s="227"/>
      <c r="F139" s="227"/>
      <c r="G139" s="227"/>
      <c r="H139" s="227"/>
      <c r="I139" s="227"/>
      <c r="J139" s="227"/>
      <c r="K139" s="227"/>
      <c r="L139" s="227"/>
      <c r="M139" s="227"/>
      <c r="N139" s="227"/>
      <c r="O139" s="227"/>
      <c r="P139" s="227"/>
      <c r="Q139" s="227"/>
      <c r="R139" s="227"/>
      <c r="S139" s="227"/>
      <c r="T139" s="227"/>
      <c r="U139" s="227"/>
      <c r="V139" s="227"/>
      <c r="W139" s="227"/>
      <c r="X139" s="227"/>
      <c r="Y139" s="227"/>
      <c r="Z139" s="227"/>
      <c r="AA139" s="227"/>
      <c r="AB139" s="227"/>
      <c r="AC139" s="227"/>
      <c r="AD139" s="227"/>
      <c r="AE139" s="227"/>
    </row>
    <row r="140" ht="15.75" customHeight="1">
      <c r="A140" s="227"/>
      <c r="B140" s="227"/>
      <c r="C140" s="227"/>
      <c r="D140" s="227"/>
      <c r="E140" s="227"/>
      <c r="F140" s="227"/>
      <c r="G140" s="227"/>
      <c r="H140" s="227"/>
      <c r="I140" s="227"/>
      <c r="J140" s="227"/>
      <c r="K140" s="227"/>
      <c r="L140" s="227"/>
      <c r="M140" s="227"/>
      <c r="N140" s="227"/>
      <c r="O140" s="227"/>
      <c r="P140" s="227"/>
      <c r="Q140" s="227"/>
      <c r="R140" s="227"/>
      <c r="S140" s="227"/>
      <c r="T140" s="227"/>
      <c r="U140" s="227"/>
      <c r="V140" s="227"/>
      <c r="W140" s="227"/>
      <c r="X140" s="227"/>
      <c r="Y140" s="227"/>
      <c r="Z140" s="227"/>
      <c r="AA140" s="227"/>
      <c r="AB140" s="227"/>
      <c r="AC140" s="227"/>
      <c r="AD140" s="227"/>
      <c r="AE140" s="227"/>
    </row>
    <row r="141" ht="15.75" customHeight="1">
      <c r="A141" s="227"/>
      <c r="B141" s="227"/>
      <c r="C141" s="227"/>
      <c r="D141" s="227"/>
      <c r="E141" s="227"/>
      <c r="F141" s="227"/>
      <c r="G141" s="227"/>
      <c r="H141" s="227"/>
      <c r="I141" s="227"/>
      <c r="J141" s="227"/>
      <c r="K141" s="227"/>
      <c r="L141" s="227"/>
      <c r="M141" s="227"/>
      <c r="N141" s="227"/>
      <c r="O141" s="227"/>
      <c r="P141" s="227"/>
      <c r="Q141" s="227"/>
      <c r="R141" s="227"/>
      <c r="S141" s="227"/>
      <c r="T141" s="227"/>
      <c r="U141" s="227"/>
      <c r="V141" s="227"/>
      <c r="W141" s="227"/>
      <c r="X141" s="227"/>
      <c r="Y141" s="227"/>
      <c r="Z141" s="227"/>
      <c r="AA141" s="227"/>
      <c r="AB141" s="227"/>
      <c r="AC141" s="227"/>
      <c r="AD141" s="227"/>
      <c r="AE141" s="227"/>
    </row>
    <row r="142" ht="15.75" customHeight="1">
      <c r="A142" s="227"/>
      <c r="B142" s="227"/>
      <c r="C142" s="227"/>
      <c r="D142" s="227"/>
      <c r="E142" s="227"/>
      <c r="F142" s="227"/>
      <c r="G142" s="227"/>
      <c r="H142" s="227"/>
      <c r="I142" s="227"/>
      <c r="J142" s="227"/>
      <c r="K142" s="227"/>
      <c r="L142" s="227"/>
      <c r="M142" s="227"/>
      <c r="N142" s="227"/>
      <c r="O142" s="227"/>
      <c r="P142" s="227"/>
      <c r="Q142" s="227"/>
      <c r="R142" s="227"/>
      <c r="S142" s="227"/>
      <c r="T142" s="227"/>
      <c r="U142" s="227"/>
      <c r="V142" s="227"/>
      <c r="W142" s="227"/>
      <c r="X142" s="227"/>
      <c r="Y142" s="227"/>
      <c r="Z142" s="227"/>
      <c r="AA142" s="227"/>
      <c r="AB142" s="227"/>
      <c r="AC142" s="227"/>
      <c r="AD142" s="227"/>
      <c r="AE142" s="227"/>
    </row>
    <row r="143" ht="15.75" customHeight="1">
      <c r="A143" s="227"/>
      <c r="B143" s="227"/>
      <c r="C143" s="227"/>
      <c r="D143" s="227"/>
      <c r="E143" s="227"/>
      <c r="F143" s="227"/>
      <c r="G143" s="227"/>
      <c r="H143" s="227"/>
      <c r="I143" s="227"/>
      <c r="J143" s="227"/>
      <c r="K143" s="227"/>
      <c r="L143" s="227"/>
      <c r="M143" s="227"/>
      <c r="N143" s="227"/>
      <c r="O143" s="227"/>
      <c r="P143" s="227"/>
      <c r="Q143" s="227"/>
      <c r="R143" s="227"/>
      <c r="S143" s="227"/>
      <c r="T143" s="227"/>
      <c r="U143" s="227"/>
      <c r="V143" s="227"/>
      <c r="W143" s="227"/>
      <c r="X143" s="227"/>
      <c r="Y143" s="227"/>
      <c r="Z143" s="227"/>
      <c r="AA143" s="227"/>
      <c r="AB143" s="227"/>
      <c r="AC143" s="227"/>
      <c r="AD143" s="227"/>
      <c r="AE143" s="227"/>
    </row>
    <row r="144" ht="15.75" customHeight="1">
      <c r="A144" s="227"/>
      <c r="B144" s="227"/>
      <c r="C144" s="227"/>
      <c r="D144" s="227"/>
      <c r="E144" s="227"/>
      <c r="F144" s="227"/>
      <c r="G144" s="227"/>
      <c r="H144" s="227"/>
      <c r="I144" s="227"/>
      <c r="J144" s="227"/>
      <c r="K144" s="227"/>
      <c r="L144" s="227"/>
      <c r="M144" s="227"/>
      <c r="N144" s="227"/>
      <c r="O144" s="227"/>
      <c r="P144" s="227"/>
      <c r="Q144" s="227"/>
      <c r="R144" s="227"/>
      <c r="S144" s="227"/>
      <c r="T144" s="227"/>
      <c r="U144" s="227"/>
      <c r="V144" s="227"/>
      <c r="W144" s="227"/>
      <c r="X144" s="227"/>
      <c r="Y144" s="227"/>
      <c r="Z144" s="227"/>
      <c r="AA144" s="227"/>
      <c r="AB144" s="227"/>
      <c r="AC144" s="227"/>
      <c r="AD144" s="227"/>
      <c r="AE144" s="227"/>
    </row>
    <row r="145" ht="15.75" customHeight="1">
      <c r="A145" s="227"/>
      <c r="B145" s="227"/>
      <c r="C145" s="227"/>
      <c r="D145" s="227"/>
      <c r="E145" s="227"/>
      <c r="F145" s="227"/>
      <c r="G145" s="227"/>
      <c r="H145" s="227"/>
      <c r="I145" s="227"/>
      <c r="J145" s="227"/>
      <c r="K145" s="227"/>
      <c r="L145" s="227"/>
      <c r="M145" s="227"/>
      <c r="N145" s="227"/>
      <c r="O145" s="227"/>
      <c r="P145" s="227"/>
      <c r="Q145" s="227"/>
      <c r="R145" s="227"/>
      <c r="S145" s="227"/>
      <c r="T145" s="227"/>
      <c r="U145" s="227"/>
      <c r="V145" s="227"/>
      <c r="W145" s="227"/>
      <c r="X145" s="227"/>
      <c r="Y145" s="227"/>
      <c r="Z145" s="227"/>
      <c r="AA145" s="227"/>
      <c r="AB145" s="227"/>
      <c r="AC145" s="227"/>
      <c r="AD145" s="227"/>
      <c r="AE145" s="227"/>
    </row>
    <row r="146" ht="15.75" customHeight="1">
      <c r="A146" s="227"/>
      <c r="B146" s="227"/>
      <c r="C146" s="227"/>
      <c r="D146" s="227"/>
      <c r="E146" s="227"/>
      <c r="F146" s="227"/>
      <c r="G146" s="227"/>
      <c r="H146" s="227"/>
      <c r="I146" s="227"/>
      <c r="J146" s="227"/>
      <c r="K146" s="227"/>
      <c r="L146" s="227"/>
      <c r="M146" s="227"/>
      <c r="N146" s="227"/>
      <c r="O146" s="227"/>
      <c r="P146" s="227"/>
      <c r="Q146" s="227"/>
      <c r="R146" s="227"/>
      <c r="S146" s="227"/>
      <c r="T146" s="227"/>
      <c r="U146" s="227"/>
      <c r="V146" s="227"/>
      <c r="W146" s="227"/>
      <c r="X146" s="227"/>
      <c r="Y146" s="227"/>
      <c r="Z146" s="227"/>
      <c r="AA146" s="227"/>
      <c r="AB146" s="227"/>
      <c r="AC146" s="227"/>
      <c r="AD146" s="227"/>
      <c r="AE146" s="227"/>
    </row>
    <row r="147" ht="15.75" customHeight="1">
      <c r="A147" s="227"/>
      <c r="B147" s="227"/>
      <c r="C147" s="227"/>
      <c r="D147" s="227"/>
      <c r="E147" s="227"/>
      <c r="F147" s="227"/>
      <c r="G147" s="227"/>
      <c r="H147" s="227"/>
      <c r="I147" s="227"/>
      <c r="J147" s="227"/>
      <c r="K147" s="227"/>
      <c r="L147" s="227"/>
      <c r="M147" s="227"/>
      <c r="N147" s="227"/>
      <c r="O147" s="227"/>
      <c r="P147" s="227"/>
      <c r="Q147" s="227"/>
      <c r="R147" s="227"/>
      <c r="S147" s="227"/>
      <c r="T147" s="227"/>
      <c r="U147" s="227"/>
      <c r="V147" s="227"/>
      <c r="W147" s="227"/>
      <c r="X147" s="227"/>
      <c r="Y147" s="227"/>
      <c r="Z147" s="227"/>
      <c r="AA147" s="227"/>
      <c r="AB147" s="227"/>
      <c r="AC147" s="227"/>
      <c r="AD147" s="227"/>
      <c r="AE147" s="227"/>
    </row>
    <row r="148" ht="15.75" customHeight="1">
      <c r="A148" s="227"/>
      <c r="B148" s="227"/>
      <c r="C148" s="227"/>
      <c r="D148" s="227"/>
      <c r="E148" s="227"/>
      <c r="F148" s="227"/>
      <c r="G148" s="227"/>
      <c r="H148" s="227"/>
      <c r="I148" s="227"/>
      <c r="J148" s="227"/>
      <c r="K148" s="227"/>
      <c r="L148" s="227"/>
      <c r="M148" s="227"/>
      <c r="N148" s="227"/>
      <c r="O148" s="227"/>
      <c r="P148" s="227"/>
      <c r="Q148" s="227"/>
      <c r="R148" s="227"/>
      <c r="S148" s="227"/>
      <c r="T148" s="227"/>
      <c r="U148" s="227"/>
      <c r="V148" s="227"/>
      <c r="W148" s="227"/>
      <c r="X148" s="227"/>
      <c r="Y148" s="227"/>
      <c r="Z148" s="227"/>
      <c r="AA148" s="227"/>
      <c r="AB148" s="227"/>
      <c r="AC148" s="227"/>
      <c r="AD148" s="227"/>
      <c r="AE148" s="227"/>
    </row>
    <row r="149" ht="15.75" customHeight="1">
      <c r="A149" s="227"/>
      <c r="B149" s="227"/>
      <c r="C149" s="227"/>
      <c r="D149" s="227"/>
      <c r="E149" s="227"/>
      <c r="F149" s="227"/>
      <c r="G149" s="227"/>
      <c r="H149" s="227"/>
      <c r="I149" s="227"/>
      <c r="J149" s="227"/>
      <c r="K149" s="227"/>
      <c r="L149" s="227"/>
      <c r="M149" s="227"/>
      <c r="N149" s="227"/>
      <c r="O149" s="227"/>
      <c r="P149" s="227"/>
      <c r="Q149" s="227"/>
      <c r="R149" s="227"/>
      <c r="S149" s="227"/>
      <c r="T149" s="227"/>
      <c r="U149" s="227"/>
      <c r="V149" s="227"/>
      <c r="W149" s="227"/>
      <c r="X149" s="227"/>
      <c r="Y149" s="227"/>
      <c r="Z149" s="227"/>
      <c r="AA149" s="227"/>
      <c r="AB149" s="227"/>
      <c r="AC149" s="227"/>
      <c r="AD149" s="227"/>
      <c r="AE149" s="227"/>
    </row>
    <row r="150" ht="15.75" customHeight="1">
      <c r="A150" s="227"/>
      <c r="B150" s="227"/>
      <c r="C150" s="227"/>
      <c r="D150" s="227"/>
      <c r="E150" s="227"/>
      <c r="F150" s="227"/>
      <c r="G150" s="227"/>
      <c r="H150" s="227"/>
      <c r="I150" s="227"/>
      <c r="J150" s="227"/>
      <c r="K150" s="227"/>
      <c r="L150" s="227"/>
      <c r="M150" s="227"/>
      <c r="N150" s="227"/>
      <c r="O150" s="227"/>
      <c r="P150" s="227"/>
      <c r="Q150" s="227"/>
      <c r="R150" s="227"/>
      <c r="S150" s="227"/>
      <c r="T150" s="227"/>
      <c r="U150" s="227"/>
      <c r="V150" s="227"/>
      <c r="W150" s="227"/>
      <c r="X150" s="227"/>
      <c r="Y150" s="227"/>
      <c r="Z150" s="227"/>
      <c r="AA150" s="227"/>
      <c r="AB150" s="227"/>
      <c r="AC150" s="227"/>
      <c r="AD150" s="227"/>
      <c r="AE150" s="227"/>
    </row>
    <row r="151" ht="15.75" customHeight="1">
      <c r="A151" s="227"/>
      <c r="B151" s="227"/>
      <c r="C151" s="227"/>
      <c r="D151" s="227"/>
      <c r="E151" s="227"/>
      <c r="F151" s="227"/>
      <c r="G151" s="227"/>
      <c r="H151" s="227"/>
      <c r="I151" s="227"/>
      <c r="J151" s="227"/>
      <c r="K151" s="227"/>
      <c r="L151" s="227"/>
      <c r="M151" s="227"/>
      <c r="N151" s="227"/>
      <c r="O151" s="227"/>
      <c r="P151" s="227"/>
      <c r="Q151" s="227"/>
      <c r="R151" s="227"/>
      <c r="S151" s="227"/>
      <c r="T151" s="227"/>
      <c r="U151" s="227"/>
      <c r="V151" s="227"/>
      <c r="W151" s="227"/>
      <c r="X151" s="227"/>
      <c r="Y151" s="227"/>
      <c r="Z151" s="227"/>
      <c r="AA151" s="227"/>
      <c r="AB151" s="227"/>
      <c r="AC151" s="227"/>
      <c r="AD151" s="227"/>
      <c r="AE151" s="227"/>
    </row>
    <row r="152" ht="15.75" customHeight="1">
      <c r="A152" s="227"/>
      <c r="B152" s="227"/>
      <c r="C152" s="227"/>
      <c r="D152" s="227"/>
      <c r="E152" s="227"/>
      <c r="F152" s="227"/>
      <c r="G152" s="227"/>
      <c r="H152" s="227"/>
      <c r="I152" s="227"/>
      <c r="J152" s="227"/>
      <c r="K152" s="227"/>
      <c r="L152" s="227"/>
      <c r="M152" s="227"/>
      <c r="N152" s="227"/>
      <c r="O152" s="227"/>
      <c r="P152" s="227"/>
      <c r="Q152" s="227"/>
      <c r="R152" s="227"/>
      <c r="S152" s="227"/>
      <c r="T152" s="227"/>
      <c r="U152" s="227"/>
      <c r="V152" s="227"/>
      <c r="W152" s="227"/>
      <c r="X152" s="227"/>
      <c r="Y152" s="227"/>
      <c r="Z152" s="227"/>
      <c r="AA152" s="227"/>
      <c r="AB152" s="227"/>
      <c r="AC152" s="227"/>
      <c r="AD152" s="227"/>
      <c r="AE152" s="227"/>
    </row>
    <row r="153" ht="15.75" customHeight="1">
      <c r="A153" s="227"/>
      <c r="B153" s="227"/>
      <c r="C153" s="227"/>
      <c r="D153" s="227"/>
      <c r="E153" s="227"/>
      <c r="F153" s="227"/>
      <c r="G153" s="227"/>
      <c r="H153" s="227"/>
      <c r="I153" s="227"/>
      <c r="J153" s="227"/>
      <c r="K153" s="227"/>
      <c r="L153" s="227"/>
      <c r="M153" s="227"/>
      <c r="N153" s="227"/>
      <c r="O153" s="227"/>
      <c r="P153" s="227"/>
      <c r="Q153" s="227"/>
      <c r="R153" s="227"/>
      <c r="S153" s="227"/>
      <c r="T153" s="227"/>
      <c r="U153" s="227"/>
      <c r="V153" s="227"/>
      <c r="W153" s="227"/>
      <c r="X153" s="227"/>
      <c r="Y153" s="227"/>
      <c r="Z153" s="227"/>
      <c r="AA153" s="227"/>
      <c r="AB153" s="227"/>
      <c r="AC153" s="227"/>
      <c r="AD153" s="227"/>
      <c r="AE153" s="227"/>
    </row>
    <row r="154" ht="15.75" customHeight="1">
      <c r="A154" s="227"/>
      <c r="B154" s="227"/>
      <c r="C154" s="227"/>
      <c r="D154" s="227"/>
      <c r="E154" s="227"/>
      <c r="F154" s="227"/>
      <c r="G154" s="227"/>
      <c r="H154" s="227"/>
      <c r="I154" s="227"/>
      <c r="J154" s="227"/>
      <c r="K154" s="227"/>
      <c r="L154" s="227"/>
      <c r="M154" s="227"/>
      <c r="N154" s="227"/>
      <c r="O154" s="227"/>
      <c r="P154" s="227"/>
      <c r="Q154" s="227"/>
      <c r="R154" s="227"/>
      <c r="S154" s="227"/>
      <c r="T154" s="227"/>
      <c r="U154" s="227"/>
      <c r="V154" s="227"/>
      <c r="W154" s="227"/>
      <c r="X154" s="227"/>
      <c r="Y154" s="227"/>
      <c r="Z154" s="227"/>
      <c r="AA154" s="227"/>
      <c r="AB154" s="227"/>
      <c r="AC154" s="227"/>
      <c r="AD154" s="227"/>
      <c r="AE154" s="227"/>
    </row>
    <row r="155" ht="15.75" customHeight="1">
      <c r="A155" s="227"/>
      <c r="B155" s="227"/>
      <c r="C155" s="227"/>
      <c r="D155" s="227"/>
      <c r="E155" s="227"/>
      <c r="F155" s="227"/>
      <c r="G155" s="227"/>
      <c r="H155" s="227"/>
      <c r="I155" s="227"/>
      <c r="J155" s="227"/>
      <c r="K155" s="227"/>
      <c r="L155" s="227"/>
      <c r="M155" s="227"/>
      <c r="N155" s="227"/>
      <c r="O155" s="227"/>
      <c r="P155" s="227"/>
      <c r="Q155" s="227"/>
      <c r="R155" s="227"/>
      <c r="S155" s="227"/>
      <c r="T155" s="227"/>
      <c r="U155" s="227"/>
      <c r="V155" s="227"/>
      <c r="W155" s="227"/>
      <c r="X155" s="227"/>
      <c r="Y155" s="227"/>
      <c r="Z155" s="227"/>
      <c r="AA155" s="227"/>
      <c r="AB155" s="227"/>
      <c r="AC155" s="227"/>
      <c r="AD155" s="227"/>
      <c r="AE155" s="227"/>
    </row>
    <row r="156" ht="15.75" customHeight="1">
      <c r="A156" s="227"/>
      <c r="B156" s="227"/>
      <c r="C156" s="227"/>
      <c r="D156" s="227"/>
      <c r="E156" s="227"/>
      <c r="F156" s="227"/>
      <c r="G156" s="227"/>
      <c r="H156" s="227"/>
      <c r="I156" s="227"/>
      <c r="J156" s="227"/>
      <c r="K156" s="227"/>
      <c r="L156" s="227"/>
      <c r="M156" s="227"/>
      <c r="N156" s="227"/>
      <c r="O156" s="227"/>
      <c r="P156" s="227"/>
      <c r="Q156" s="227"/>
      <c r="R156" s="227"/>
      <c r="S156" s="227"/>
      <c r="T156" s="227"/>
      <c r="U156" s="227"/>
      <c r="V156" s="227"/>
      <c r="W156" s="227"/>
      <c r="X156" s="227"/>
      <c r="Y156" s="227"/>
      <c r="Z156" s="227"/>
      <c r="AA156" s="227"/>
      <c r="AB156" s="227"/>
      <c r="AC156" s="227"/>
      <c r="AD156" s="227"/>
      <c r="AE156" s="227"/>
    </row>
    <row r="157" ht="15.75" customHeight="1">
      <c r="A157" s="227"/>
      <c r="B157" s="227"/>
      <c r="C157" s="227"/>
      <c r="D157" s="227"/>
      <c r="E157" s="227"/>
      <c r="F157" s="227"/>
      <c r="G157" s="227"/>
      <c r="H157" s="227"/>
      <c r="I157" s="227"/>
      <c r="J157" s="227"/>
      <c r="K157" s="227"/>
      <c r="L157" s="227"/>
      <c r="M157" s="227"/>
      <c r="N157" s="227"/>
      <c r="O157" s="227"/>
      <c r="P157" s="227"/>
      <c r="Q157" s="227"/>
      <c r="R157" s="227"/>
      <c r="S157" s="227"/>
      <c r="T157" s="227"/>
      <c r="U157" s="227"/>
      <c r="V157" s="227"/>
      <c r="W157" s="227"/>
      <c r="X157" s="227"/>
      <c r="Y157" s="227"/>
      <c r="Z157" s="227"/>
      <c r="AA157" s="227"/>
      <c r="AB157" s="227"/>
      <c r="AC157" s="227"/>
      <c r="AD157" s="227"/>
      <c r="AE157" s="227"/>
    </row>
    <row r="158" ht="15.75" customHeight="1">
      <c r="A158" s="227"/>
      <c r="B158" s="227"/>
      <c r="C158" s="227"/>
      <c r="D158" s="227"/>
      <c r="E158" s="227"/>
      <c r="F158" s="227"/>
      <c r="G158" s="227"/>
      <c r="H158" s="227"/>
      <c r="I158" s="227"/>
      <c r="J158" s="227"/>
      <c r="K158" s="227"/>
      <c r="L158" s="227"/>
      <c r="M158" s="227"/>
      <c r="N158" s="227"/>
      <c r="O158" s="227"/>
      <c r="P158" s="227"/>
      <c r="Q158" s="227"/>
      <c r="R158" s="227"/>
      <c r="S158" s="227"/>
      <c r="T158" s="227"/>
      <c r="U158" s="227"/>
      <c r="V158" s="227"/>
      <c r="W158" s="227"/>
      <c r="X158" s="227"/>
      <c r="Y158" s="227"/>
      <c r="Z158" s="227"/>
      <c r="AA158" s="227"/>
      <c r="AB158" s="227"/>
      <c r="AC158" s="227"/>
      <c r="AD158" s="227"/>
      <c r="AE158" s="227"/>
    </row>
    <row r="159" ht="15.75" customHeight="1">
      <c r="A159" s="227"/>
      <c r="B159" s="227"/>
      <c r="C159" s="227"/>
      <c r="D159" s="227"/>
      <c r="E159" s="227"/>
      <c r="F159" s="227"/>
      <c r="G159" s="227"/>
      <c r="H159" s="227"/>
      <c r="I159" s="227"/>
      <c r="J159" s="227"/>
      <c r="K159" s="227"/>
      <c r="L159" s="227"/>
      <c r="M159" s="227"/>
      <c r="N159" s="227"/>
      <c r="O159" s="227"/>
      <c r="P159" s="227"/>
      <c r="Q159" s="227"/>
      <c r="R159" s="227"/>
      <c r="S159" s="227"/>
      <c r="T159" s="227"/>
      <c r="U159" s="227"/>
      <c r="V159" s="227"/>
      <c r="W159" s="227"/>
      <c r="X159" s="227"/>
      <c r="Y159" s="227"/>
      <c r="Z159" s="227"/>
      <c r="AA159" s="227"/>
      <c r="AB159" s="227"/>
      <c r="AC159" s="227"/>
      <c r="AD159" s="227"/>
      <c r="AE159" s="227"/>
    </row>
    <row r="160" ht="15.75" customHeight="1">
      <c r="A160" s="227"/>
      <c r="B160" s="227"/>
      <c r="C160" s="227"/>
      <c r="D160" s="227"/>
      <c r="E160" s="227"/>
      <c r="F160" s="227"/>
      <c r="G160" s="227"/>
      <c r="H160" s="227"/>
      <c r="I160" s="227"/>
      <c r="J160" s="227"/>
      <c r="K160" s="227"/>
      <c r="L160" s="227"/>
      <c r="M160" s="227"/>
      <c r="N160" s="227"/>
      <c r="O160" s="227"/>
      <c r="P160" s="227"/>
      <c r="Q160" s="227"/>
      <c r="R160" s="227"/>
      <c r="S160" s="227"/>
      <c r="T160" s="227"/>
      <c r="U160" s="227"/>
      <c r="V160" s="227"/>
      <c r="W160" s="227"/>
      <c r="X160" s="227"/>
      <c r="Y160" s="227"/>
      <c r="Z160" s="227"/>
      <c r="AA160" s="227"/>
      <c r="AB160" s="227"/>
      <c r="AC160" s="227"/>
      <c r="AD160" s="227"/>
      <c r="AE160" s="227"/>
    </row>
    <row r="161" ht="15.75" customHeight="1">
      <c r="A161" s="227"/>
      <c r="B161" s="227"/>
      <c r="C161" s="227"/>
      <c r="D161" s="227"/>
      <c r="E161" s="227"/>
      <c r="F161" s="227"/>
      <c r="G161" s="227"/>
      <c r="H161" s="227"/>
      <c r="I161" s="227"/>
      <c r="J161" s="227"/>
      <c r="K161" s="227"/>
      <c r="L161" s="227"/>
      <c r="M161" s="227"/>
      <c r="N161" s="227"/>
      <c r="O161" s="227"/>
      <c r="P161" s="227"/>
      <c r="Q161" s="227"/>
      <c r="R161" s="227"/>
      <c r="S161" s="227"/>
      <c r="T161" s="227"/>
      <c r="U161" s="227"/>
      <c r="V161" s="227"/>
      <c r="W161" s="227"/>
      <c r="X161" s="227"/>
      <c r="Y161" s="227"/>
      <c r="Z161" s="227"/>
      <c r="AA161" s="227"/>
      <c r="AB161" s="227"/>
      <c r="AC161" s="227"/>
      <c r="AD161" s="227"/>
      <c r="AE161" s="227"/>
    </row>
    <row r="162" ht="15.75" customHeight="1">
      <c r="A162" s="227"/>
      <c r="B162" s="227"/>
      <c r="C162" s="227"/>
      <c r="D162" s="227"/>
      <c r="E162" s="227"/>
      <c r="F162" s="227"/>
      <c r="G162" s="227"/>
      <c r="H162" s="227"/>
      <c r="I162" s="227"/>
      <c r="J162" s="227"/>
      <c r="K162" s="227"/>
      <c r="L162" s="227"/>
      <c r="M162" s="227"/>
      <c r="N162" s="227"/>
      <c r="O162" s="227"/>
      <c r="P162" s="227"/>
      <c r="Q162" s="227"/>
      <c r="R162" s="227"/>
      <c r="S162" s="227"/>
      <c r="T162" s="227"/>
      <c r="U162" s="227"/>
      <c r="V162" s="227"/>
      <c r="W162" s="227"/>
      <c r="X162" s="227"/>
      <c r="Y162" s="227"/>
      <c r="Z162" s="227"/>
      <c r="AA162" s="227"/>
      <c r="AB162" s="227"/>
      <c r="AC162" s="227"/>
      <c r="AD162" s="227"/>
      <c r="AE162" s="227"/>
    </row>
    <row r="163" ht="15.75" customHeight="1">
      <c r="A163" s="227"/>
      <c r="B163" s="227"/>
      <c r="C163" s="227"/>
      <c r="D163" s="227"/>
      <c r="E163" s="227"/>
      <c r="F163" s="227"/>
      <c r="G163" s="227"/>
      <c r="H163" s="227"/>
      <c r="I163" s="227"/>
      <c r="J163" s="227"/>
      <c r="K163" s="227"/>
      <c r="L163" s="227"/>
      <c r="M163" s="227"/>
      <c r="N163" s="227"/>
      <c r="O163" s="227"/>
      <c r="P163" s="227"/>
      <c r="Q163" s="227"/>
      <c r="R163" s="227"/>
      <c r="S163" s="227"/>
      <c r="T163" s="227"/>
      <c r="U163" s="227"/>
      <c r="V163" s="227"/>
      <c r="W163" s="227"/>
      <c r="X163" s="227"/>
      <c r="Y163" s="227"/>
      <c r="Z163" s="227"/>
      <c r="AA163" s="227"/>
      <c r="AB163" s="227"/>
      <c r="AC163" s="227"/>
      <c r="AD163" s="227"/>
      <c r="AE163" s="227"/>
    </row>
    <row r="164" ht="15.75" customHeight="1">
      <c r="A164" s="227"/>
      <c r="B164" s="227"/>
      <c r="C164" s="227"/>
      <c r="D164" s="227"/>
      <c r="E164" s="227"/>
      <c r="F164" s="227"/>
      <c r="G164" s="227"/>
      <c r="H164" s="227"/>
      <c r="I164" s="227"/>
      <c r="J164" s="227"/>
      <c r="K164" s="227"/>
      <c r="L164" s="227"/>
      <c r="M164" s="227"/>
      <c r="N164" s="227"/>
      <c r="O164" s="227"/>
      <c r="P164" s="227"/>
      <c r="Q164" s="227"/>
      <c r="R164" s="227"/>
      <c r="S164" s="227"/>
      <c r="T164" s="227"/>
      <c r="U164" s="227"/>
      <c r="V164" s="227"/>
      <c r="W164" s="227"/>
      <c r="X164" s="227"/>
      <c r="Y164" s="227"/>
      <c r="Z164" s="227"/>
      <c r="AA164" s="227"/>
      <c r="AB164" s="227"/>
      <c r="AC164" s="227"/>
      <c r="AD164" s="227"/>
      <c r="AE164" s="227"/>
    </row>
    <row r="165" ht="15.75" customHeight="1">
      <c r="A165" s="227"/>
      <c r="B165" s="227"/>
      <c r="C165" s="227"/>
      <c r="D165" s="227"/>
      <c r="E165" s="227"/>
      <c r="F165" s="227"/>
      <c r="G165" s="227"/>
      <c r="H165" s="227"/>
      <c r="I165" s="227"/>
      <c r="J165" s="227"/>
      <c r="K165" s="227"/>
      <c r="L165" s="227"/>
      <c r="M165" s="227"/>
      <c r="N165" s="227"/>
      <c r="O165" s="227"/>
      <c r="P165" s="227"/>
      <c r="Q165" s="227"/>
      <c r="R165" s="227"/>
      <c r="S165" s="227"/>
      <c r="T165" s="227"/>
      <c r="U165" s="227"/>
      <c r="V165" s="227"/>
      <c r="W165" s="227"/>
      <c r="X165" s="227"/>
      <c r="Y165" s="227"/>
      <c r="Z165" s="227"/>
      <c r="AA165" s="227"/>
      <c r="AB165" s="227"/>
      <c r="AC165" s="227"/>
      <c r="AD165" s="227"/>
      <c r="AE165" s="227"/>
    </row>
    <row r="166" ht="15.75" customHeight="1">
      <c r="A166" s="227"/>
      <c r="B166" s="227"/>
      <c r="C166" s="227"/>
      <c r="D166" s="227"/>
      <c r="E166" s="227"/>
      <c r="F166" s="227"/>
      <c r="G166" s="227"/>
      <c r="H166" s="227"/>
      <c r="I166" s="227"/>
      <c r="J166" s="227"/>
      <c r="K166" s="227"/>
      <c r="L166" s="227"/>
      <c r="M166" s="227"/>
      <c r="N166" s="227"/>
      <c r="O166" s="227"/>
      <c r="P166" s="227"/>
      <c r="Q166" s="227"/>
      <c r="R166" s="227"/>
      <c r="S166" s="227"/>
      <c r="T166" s="227"/>
      <c r="U166" s="227"/>
      <c r="V166" s="227"/>
      <c r="W166" s="227"/>
      <c r="X166" s="227"/>
      <c r="Y166" s="227"/>
      <c r="Z166" s="227"/>
      <c r="AA166" s="227"/>
      <c r="AB166" s="227"/>
      <c r="AC166" s="227"/>
      <c r="AD166" s="227"/>
      <c r="AE166" s="227"/>
    </row>
    <row r="167" ht="15.75" customHeight="1">
      <c r="A167" s="227"/>
      <c r="B167" s="227"/>
      <c r="C167" s="227"/>
      <c r="D167" s="227"/>
      <c r="E167" s="227"/>
      <c r="F167" s="227"/>
      <c r="G167" s="227"/>
      <c r="H167" s="227"/>
      <c r="I167" s="227"/>
      <c r="J167" s="227"/>
      <c r="K167" s="227"/>
      <c r="L167" s="227"/>
      <c r="M167" s="227"/>
      <c r="N167" s="227"/>
      <c r="O167" s="227"/>
      <c r="P167" s="227"/>
      <c r="Q167" s="227"/>
      <c r="R167" s="227"/>
      <c r="S167" s="227"/>
      <c r="T167" s="227"/>
      <c r="U167" s="227"/>
      <c r="V167" s="227"/>
      <c r="W167" s="227"/>
      <c r="X167" s="227"/>
      <c r="Y167" s="227"/>
      <c r="Z167" s="227"/>
      <c r="AA167" s="227"/>
      <c r="AB167" s="227"/>
      <c r="AC167" s="227"/>
      <c r="AD167" s="227"/>
      <c r="AE167" s="227"/>
    </row>
    <row r="168" ht="15.75" customHeight="1">
      <c r="A168" s="227"/>
      <c r="B168" s="227"/>
      <c r="C168" s="227"/>
      <c r="D168" s="227"/>
      <c r="E168" s="227"/>
      <c r="F168" s="227"/>
      <c r="G168" s="227"/>
      <c r="H168" s="227"/>
      <c r="I168" s="227"/>
      <c r="J168" s="227"/>
      <c r="K168" s="227"/>
      <c r="L168" s="227"/>
      <c r="M168" s="227"/>
      <c r="N168" s="227"/>
      <c r="O168" s="227"/>
      <c r="P168" s="227"/>
      <c r="Q168" s="227"/>
      <c r="R168" s="227"/>
      <c r="S168" s="227"/>
      <c r="T168" s="227"/>
      <c r="U168" s="227"/>
      <c r="V168" s="227"/>
      <c r="W168" s="227"/>
      <c r="X168" s="227"/>
      <c r="Y168" s="227"/>
      <c r="Z168" s="227"/>
      <c r="AA168" s="227"/>
      <c r="AB168" s="227"/>
      <c r="AC168" s="227"/>
      <c r="AD168" s="227"/>
      <c r="AE168" s="227"/>
    </row>
    <row r="169" ht="15.75" customHeight="1">
      <c r="A169" s="227"/>
      <c r="B169" s="227"/>
      <c r="C169" s="227"/>
      <c r="D169" s="227"/>
      <c r="E169" s="227"/>
      <c r="F169" s="227"/>
      <c r="G169" s="227"/>
      <c r="H169" s="227"/>
      <c r="I169" s="227"/>
      <c r="J169" s="227"/>
      <c r="K169" s="227"/>
      <c r="L169" s="227"/>
      <c r="M169" s="227"/>
      <c r="N169" s="227"/>
      <c r="O169" s="227"/>
      <c r="P169" s="227"/>
      <c r="Q169" s="227"/>
      <c r="R169" s="227"/>
      <c r="S169" s="227"/>
      <c r="T169" s="227"/>
      <c r="U169" s="227"/>
      <c r="V169" s="227"/>
      <c r="W169" s="227"/>
      <c r="X169" s="227"/>
      <c r="Y169" s="227"/>
      <c r="Z169" s="227"/>
      <c r="AA169" s="227"/>
      <c r="AB169" s="227"/>
      <c r="AC169" s="227"/>
      <c r="AD169" s="227"/>
      <c r="AE169" s="227"/>
    </row>
    <row r="170" ht="15.75" customHeight="1">
      <c r="A170" s="227"/>
      <c r="B170" s="227"/>
      <c r="C170" s="227"/>
      <c r="D170" s="227"/>
      <c r="E170" s="227"/>
      <c r="F170" s="227"/>
      <c r="G170" s="227"/>
      <c r="H170" s="227"/>
      <c r="I170" s="227"/>
      <c r="J170" s="227"/>
      <c r="K170" s="227"/>
      <c r="L170" s="227"/>
      <c r="M170" s="227"/>
      <c r="N170" s="227"/>
      <c r="O170" s="227"/>
      <c r="P170" s="227"/>
      <c r="Q170" s="227"/>
      <c r="R170" s="227"/>
      <c r="S170" s="227"/>
      <c r="T170" s="227"/>
      <c r="U170" s="227"/>
      <c r="V170" s="227"/>
      <c r="W170" s="227"/>
      <c r="X170" s="227"/>
      <c r="Y170" s="227"/>
      <c r="Z170" s="227"/>
      <c r="AA170" s="227"/>
      <c r="AB170" s="227"/>
      <c r="AC170" s="227"/>
      <c r="AD170" s="227"/>
      <c r="AE170" s="227"/>
    </row>
    <row r="171" ht="15.75" customHeight="1">
      <c r="A171" s="227"/>
      <c r="B171" s="227"/>
      <c r="C171" s="227"/>
      <c r="D171" s="227"/>
      <c r="E171" s="227"/>
      <c r="F171" s="227"/>
      <c r="G171" s="227"/>
      <c r="H171" s="227"/>
      <c r="I171" s="227"/>
      <c r="J171" s="227"/>
      <c r="K171" s="227"/>
      <c r="L171" s="227"/>
      <c r="M171" s="227"/>
      <c r="N171" s="227"/>
      <c r="O171" s="227"/>
      <c r="P171" s="227"/>
      <c r="Q171" s="227"/>
      <c r="R171" s="227"/>
      <c r="S171" s="227"/>
      <c r="T171" s="227"/>
      <c r="U171" s="227"/>
      <c r="V171" s="227"/>
      <c r="W171" s="227"/>
      <c r="X171" s="227"/>
      <c r="Y171" s="227"/>
      <c r="Z171" s="227"/>
      <c r="AA171" s="227"/>
      <c r="AB171" s="227"/>
      <c r="AC171" s="227"/>
      <c r="AD171" s="227"/>
      <c r="AE171" s="227"/>
    </row>
    <row r="172" ht="15.75" customHeight="1">
      <c r="A172" s="227"/>
      <c r="B172" s="227"/>
      <c r="C172" s="227"/>
      <c r="D172" s="227"/>
      <c r="E172" s="227"/>
      <c r="F172" s="227"/>
      <c r="G172" s="227"/>
      <c r="H172" s="227"/>
      <c r="I172" s="227"/>
      <c r="J172" s="227"/>
      <c r="K172" s="227"/>
      <c r="L172" s="227"/>
      <c r="M172" s="227"/>
      <c r="N172" s="227"/>
      <c r="O172" s="227"/>
      <c r="P172" s="227"/>
      <c r="Q172" s="227"/>
      <c r="R172" s="227"/>
      <c r="S172" s="227"/>
      <c r="T172" s="227"/>
      <c r="U172" s="227"/>
      <c r="V172" s="227"/>
      <c r="W172" s="227"/>
      <c r="X172" s="227"/>
      <c r="Y172" s="227"/>
      <c r="Z172" s="227"/>
      <c r="AA172" s="227"/>
      <c r="AB172" s="227"/>
      <c r="AC172" s="227"/>
      <c r="AD172" s="227"/>
      <c r="AE172" s="227"/>
    </row>
    <row r="173" ht="15.75" customHeight="1">
      <c r="A173" s="227"/>
      <c r="B173" s="227"/>
      <c r="C173" s="227"/>
      <c r="D173" s="227"/>
      <c r="E173" s="227"/>
      <c r="F173" s="227"/>
      <c r="G173" s="227"/>
      <c r="H173" s="227"/>
      <c r="I173" s="227"/>
      <c r="J173" s="227"/>
      <c r="K173" s="227"/>
      <c r="L173" s="227"/>
      <c r="M173" s="227"/>
      <c r="N173" s="227"/>
      <c r="O173" s="227"/>
      <c r="P173" s="227"/>
      <c r="Q173" s="227"/>
      <c r="R173" s="227"/>
      <c r="S173" s="227"/>
      <c r="T173" s="227"/>
      <c r="U173" s="227"/>
      <c r="V173" s="227"/>
      <c r="W173" s="227"/>
      <c r="X173" s="227"/>
      <c r="Y173" s="227"/>
      <c r="Z173" s="227"/>
      <c r="AA173" s="227"/>
      <c r="AB173" s="227"/>
      <c r="AC173" s="227"/>
      <c r="AD173" s="227"/>
      <c r="AE173" s="227"/>
    </row>
    <row r="174" ht="15.75" customHeight="1">
      <c r="A174" s="227"/>
      <c r="B174" s="227"/>
      <c r="C174" s="227"/>
      <c r="D174" s="227"/>
      <c r="E174" s="227"/>
      <c r="F174" s="227"/>
      <c r="G174" s="227"/>
      <c r="H174" s="227"/>
      <c r="I174" s="227"/>
      <c r="J174" s="227"/>
      <c r="K174" s="227"/>
      <c r="L174" s="227"/>
      <c r="M174" s="227"/>
      <c r="N174" s="227"/>
      <c r="O174" s="227"/>
      <c r="P174" s="227"/>
      <c r="Q174" s="227"/>
      <c r="R174" s="227"/>
      <c r="S174" s="227"/>
      <c r="T174" s="227"/>
      <c r="U174" s="227"/>
      <c r="V174" s="227"/>
      <c r="W174" s="227"/>
      <c r="X174" s="227"/>
      <c r="Y174" s="227"/>
      <c r="Z174" s="227"/>
      <c r="AA174" s="227"/>
      <c r="AB174" s="227"/>
      <c r="AC174" s="227"/>
      <c r="AD174" s="227"/>
      <c r="AE174" s="227"/>
    </row>
    <row r="175" ht="15.75" customHeight="1">
      <c r="A175" s="227"/>
      <c r="B175" s="227"/>
      <c r="C175" s="227"/>
      <c r="D175" s="227"/>
      <c r="E175" s="227"/>
      <c r="F175" s="227"/>
      <c r="G175" s="227"/>
      <c r="H175" s="227"/>
      <c r="I175" s="227"/>
      <c r="J175" s="227"/>
      <c r="K175" s="227"/>
      <c r="L175" s="227"/>
      <c r="M175" s="227"/>
      <c r="N175" s="227"/>
      <c r="O175" s="227"/>
      <c r="P175" s="227"/>
      <c r="Q175" s="227"/>
      <c r="R175" s="227"/>
      <c r="S175" s="227"/>
      <c r="T175" s="227"/>
      <c r="U175" s="227"/>
      <c r="V175" s="227"/>
      <c r="W175" s="227"/>
      <c r="X175" s="227"/>
      <c r="Y175" s="227"/>
      <c r="Z175" s="227"/>
      <c r="AA175" s="227"/>
      <c r="AB175" s="227"/>
      <c r="AC175" s="227"/>
      <c r="AD175" s="227"/>
      <c r="AE175" s="227"/>
    </row>
    <row r="176" ht="15.75" customHeight="1">
      <c r="A176" s="227"/>
      <c r="B176" s="227"/>
      <c r="C176" s="227"/>
      <c r="D176" s="227"/>
      <c r="E176" s="227"/>
      <c r="F176" s="227"/>
      <c r="G176" s="227"/>
      <c r="H176" s="227"/>
      <c r="I176" s="227"/>
      <c r="J176" s="227"/>
      <c r="K176" s="227"/>
      <c r="L176" s="227"/>
      <c r="M176" s="227"/>
      <c r="N176" s="227"/>
      <c r="O176" s="227"/>
      <c r="P176" s="227"/>
      <c r="Q176" s="227"/>
      <c r="R176" s="227"/>
      <c r="S176" s="227"/>
      <c r="T176" s="227"/>
      <c r="U176" s="227"/>
      <c r="V176" s="227"/>
      <c r="W176" s="227"/>
      <c r="X176" s="227"/>
      <c r="Y176" s="227"/>
      <c r="Z176" s="227"/>
      <c r="AA176" s="227"/>
      <c r="AB176" s="227"/>
      <c r="AC176" s="227"/>
      <c r="AD176" s="227"/>
      <c r="AE176" s="227"/>
    </row>
    <row r="177" ht="15.75" customHeight="1">
      <c r="A177" s="227"/>
      <c r="B177" s="227"/>
      <c r="C177" s="227"/>
      <c r="D177" s="227"/>
      <c r="E177" s="227"/>
      <c r="F177" s="227"/>
      <c r="G177" s="227"/>
      <c r="H177" s="227"/>
      <c r="I177" s="227"/>
      <c r="J177" s="227"/>
      <c r="K177" s="227"/>
      <c r="L177" s="227"/>
      <c r="M177" s="227"/>
      <c r="N177" s="227"/>
      <c r="O177" s="227"/>
      <c r="P177" s="227"/>
      <c r="Q177" s="227"/>
      <c r="R177" s="227"/>
      <c r="S177" s="227"/>
      <c r="T177" s="227"/>
      <c r="U177" s="227"/>
      <c r="V177" s="227"/>
      <c r="W177" s="227"/>
      <c r="X177" s="227"/>
      <c r="Y177" s="227"/>
      <c r="Z177" s="227"/>
      <c r="AA177" s="227"/>
      <c r="AB177" s="227"/>
      <c r="AC177" s="227"/>
      <c r="AD177" s="227"/>
      <c r="AE177" s="227"/>
    </row>
    <row r="178" ht="15.75" customHeight="1">
      <c r="A178" s="227"/>
      <c r="B178" s="227"/>
      <c r="C178" s="227"/>
      <c r="D178" s="227"/>
      <c r="E178" s="227"/>
      <c r="F178" s="227"/>
      <c r="G178" s="227"/>
      <c r="H178" s="227"/>
      <c r="I178" s="227"/>
      <c r="J178" s="227"/>
      <c r="K178" s="227"/>
      <c r="L178" s="227"/>
      <c r="M178" s="227"/>
      <c r="N178" s="227"/>
      <c r="O178" s="227"/>
      <c r="P178" s="227"/>
      <c r="Q178" s="227"/>
      <c r="R178" s="227"/>
      <c r="S178" s="227"/>
      <c r="T178" s="227"/>
      <c r="U178" s="227"/>
      <c r="V178" s="227"/>
      <c r="W178" s="227"/>
      <c r="X178" s="227"/>
      <c r="Y178" s="227"/>
      <c r="Z178" s="227"/>
      <c r="AA178" s="227"/>
      <c r="AB178" s="227"/>
      <c r="AC178" s="227"/>
      <c r="AD178" s="227"/>
      <c r="AE178" s="227"/>
    </row>
    <row r="179" ht="15.75" customHeight="1">
      <c r="A179" s="227"/>
      <c r="B179" s="227"/>
      <c r="C179" s="227"/>
      <c r="D179" s="227"/>
      <c r="E179" s="227"/>
      <c r="F179" s="227"/>
      <c r="G179" s="227"/>
      <c r="H179" s="227"/>
      <c r="I179" s="227"/>
      <c r="J179" s="227"/>
      <c r="K179" s="227"/>
      <c r="L179" s="227"/>
      <c r="M179" s="227"/>
      <c r="N179" s="227"/>
      <c r="O179" s="227"/>
      <c r="P179" s="227"/>
      <c r="Q179" s="227"/>
      <c r="R179" s="227"/>
      <c r="S179" s="227"/>
      <c r="T179" s="227"/>
      <c r="U179" s="227"/>
      <c r="V179" s="227"/>
      <c r="W179" s="227"/>
      <c r="X179" s="227"/>
      <c r="Y179" s="227"/>
      <c r="Z179" s="227"/>
      <c r="AA179" s="227"/>
      <c r="AB179" s="227"/>
      <c r="AC179" s="227"/>
      <c r="AD179" s="227"/>
      <c r="AE179" s="227"/>
    </row>
    <row r="180" ht="15.75" customHeight="1">
      <c r="A180" s="227"/>
      <c r="B180" s="227"/>
      <c r="C180" s="227"/>
      <c r="D180" s="227"/>
      <c r="E180" s="227"/>
      <c r="F180" s="227"/>
      <c r="G180" s="227"/>
      <c r="H180" s="227"/>
      <c r="I180" s="227"/>
      <c r="J180" s="227"/>
      <c r="K180" s="227"/>
      <c r="L180" s="227"/>
      <c r="M180" s="227"/>
      <c r="N180" s="227"/>
      <c r="O180" s="227"/>
      <c r="P180" s="227"/>
      <c r="Q180" s="227"/>
      <c r="R180" s="227"/>
      <c r="S180" s="227"/>
      <c r="T180" s="227"/>
      <c r="U180" s="227"/>
      <c r="V180" s="227"/>
      <c r="W180" s="227"/>
      <c r="X180" s="227"/>
      <c r="Y180" s="227"/>
      <c r="Z180" s="227"/>
      <c r="AA180" s="227"/>
      <c r="AB180" s="227"/>
      <c r="AC180" s="227"/>
      <c r="AD180" s="227"/>
      <c r="AE180" s="227"/>
    </row>
    <row r="181" ht="15.75" customHeight="1">
      <c r="A181" s="227"/>
      <c r="B181" s="227"/>
      <c r="C181" s="227"/>
      <c r="D181" s="227"/>
      <c r="E181" s="227"/>
      <c r="F181" s="227"/>
      <c r="G181" s="227"/>
      <c r="H181" s="227"/>
      <c r="I181" s="227"/>
      <c r="J181" s="227"/>
      <c r="K181" s="227"/>
      <c r="L181" s="227"/>
      <c r="M181" s="227"/>
      <c r="N181" s="227"/>
      <c r="O181" s="227"/>
      <c r="P181" s="227"/>
      <c r="Q181" s="227"/>
      <c r="R181" s="227"/>
      <c r="S181" s="227"/>
      <c r="T181" s="227"/>
      <c r="U181" s="227"/>
      <c r="V181" s="227"/>
      <c r="W181" s="227"/>
      <c r="X181" s="227"/>
      <c r="Y181" s="227"/>
      <c r="Z181" s="227"/>
      <c r="AA181" s="227"/>
      <c r="AB181" s="227"/>
      <c r="AC181" s="227"/>
      <c r="AD181" s="227"/>
      <c r="AE181" s="227"/>
    </row>
    <row r="182" ht="15.75" customHeight="1">
      <c r="A182" s="227"/>
      <c r="B182" s="227"/>
      <c r="C182" s="227"/>
      <c r="D182" s="227"/>
      <c r="E182" s="227"/>
      <c r="F182" s="227"/>
      <c r="G182" s="227"/>
      <c r="H182" s="227"/>
      <c r="I182" s="227"/>
      <c r="J182" s="227"/>
      <c r="K182" s="227"/>
      <c r="L182" s="227"/>
      <c r="M182" s="227"/>
      <c r="N182" s="227"/>
      <c r="O182" s="227"/>
      <c r="P182" s="227"/>
      <c r="Q182" s="227"/>
      <c r="R182" s="227"/>
      <c r="S182" s="227"/>
      <c r="T182" s="227"/>
      <c r="U182" s="227"/>
      <c r="V182" s="227"/>
      <c r="W182" s="227"/>
      <c r="X182" s="227"/>
      <c r="Y182" s="227"/>
      <c r="Z182" s="227"/>
      <c r="AA182" s="227"/>
      <c r="AB182" s="227"/>
      <c r="AC182" s="227"/>
      <c r="AD182" s="227"/>
      <c r="AE182" s="227"/>
    </row>
    <row r="183" ht="15.75" customHeight="1">
      <c r="A183" s="227"/>
      <c r="B183" s="227"/>
      <c r="C183" s="227"/>
      <c r="D183" s="227"/>
      <c r="E183" s="227"/>
      <c r="F183" s="227"/>
      <c r="G183" s="227"/>
      <c r="H183" s="227"/>
      <c r="I183" s="227"/>
      <c r="J183" s="227"/>
      <c r="K183" s="227"/>
      <c r="L183" s="227"/>
      <c r="M183" s="227"/>
      <c r="N183" s="227"/>
      <c r="O183" s="227"/>
      <c r="P183" s="227"/>
      <c r="Q183" s="227"/>
      <c r="R183" s="227"/>
      <c r="S183" s="227"/>
      <c r="T183" s="227"/>
      <c r="U183" s="227"/>
      <c r="V183" s="227"/>
      <c r="W183" s="227"/>
      <c r="X183" s="227"/>
      <c r="Y183" s="227"/>
      <c r="Z183" s="227"/>
      <c r="AA183" s="227"/>
      <c r="AB183" s="227"/>
      <c r="AC183" s="227"/>
      <c r="AD183" s="227"/>
      <c r="AE183" s="227"/>
    </row>
    <row r="184" ht="15.75" customHeight="1">
      <c r="A184" s="227"/>
      <c r="B184" s="227"/>
      <c r="C184" s="227"/>
      <c r="D184" s="227"/>
      <c r="E184" s="227"/>
      <c r="F184" s="227"/>
      <c r="G184" s="227"/>
      <c r="H184" s="227"/>
      <c r="I184" s="227"/>
      <c r="J184" s="227"/>
      <c r="K184" s="227"/>
      <c r="L184" s="227"/>
      <c r="M184" s="227"/>
      <c r="N184" s="227"/>
      <c r="O184" s="227"/>
      <c r="P184" s="227"/>
      <c r="Q184" s="227"/>
      <c r="R184" s="227"/>
      <c r="S184" s="227"/>
      <c r="T184" s="227"/>
      <c r="U184" s="227"/>
      <c r="V184" s="227"/>
      <c r="W184" s="227"/>
      <c r="X184" s="227"/>
      <c r="Y184" s="227"/>
      <c r="Z184" s="227"/>
      <c r="AA184" s="227"/>
      <c r="AB184" s="227"/>
      <c r="AC184" s="227"/>
      <c r="AD184" s="227"/>
      <c r="AE184" s="227"/>
    </row>
    <row r="185" ht="15.75" customHeight="1">
      <c r="A185" s="227"/>
      <c r="B185" s="227"/>
      <c r="C185" s="227"/>
      <c r="D185" s="227"/>
      <c r="E185" s="227"/>
      <c r="F185" s="227"/>
      <c r="G185" s="227"/>
      <c r="H185" s="227"/>
      <c r="I185" s="227"/>
      <c r="J185" s="227"/>
      <c r="K185" s="227"/>
      <c r="L185" s="227"/>
      <c r="M185" s="227"/>
      <c r="N185" s="227"/>
      <c r="O185" s="227"/>
      <c r="P185" s="227"/>
      <c r="Q185" s="227"/>
      <c r="R185" s="227"/>
      <c r="S185" s="227"/>
      <c r="T185" s="227"/>
      <c r="U185" s="227"/>
      <c r="V185" s="227"/>
      <c r="W185" s="227"/>
      <c r="X185" s="227"/>
      <c r="Y185" s="227"/>
      <c r="Z185" s="227"/>
      <c r="AA185" s="227"/>
      <c r="AB185" s="227"/>
      <c r="AC185" s="227"/>
      <c r="AD185" s="227"/>
      <c r="AE185" s="227"/>
    </row>
    <row r="186" ht="15.75" customHeight="1">
      <c r="A186" s="227"/>
      <c r="B186" s="227"/>
      <c r="C186" s="227"/>
      <c r="D186" s="227"/>
      <c r="E186" s="227"/>
      <c r="F186" s="227"/>
      <c r="G186" s="227"/>
      <c r="H186" s="227"/>
      <c r="I186" s="227"/>
      <c r="J186" s="227"/>
      <c r="K186" s="227"/>
      <c r="L186" s="227"/>
      <c r="M186" s="227"/>
      <c r="N186" s="227"/>
      <c r="O186" s="227"/>
      <c r="P186" s="227"/>
      <c r="Q186" s="227"/>
      <c r="R186" s="227"/>
      <c r="S186" s="227"/>
      <c r="T186" s="227"/>
      <c r="U186" s="227"/>
      <c r="V186" s="227"/>
      <c r="W186" s="227"/>
      <c r="X186" s="227"/>
      <c r="Y186" s="227"/>
      <c r="Z186" s="227"/>
      <c r="AA186" s="227"/>
      <c r="AB186" s="227"/>
      <c r="AC186" s="227"/>
      <c r="AD186" s="227"/>
      <c r="AE186" s="227"/>
    </row>
    <row r="187" ht="15.75" customHeight="1">
      <c r="A187" s="227"/>
      <c r="B187" s="227"/>
      <c r="C187" s="227"/>
      <c r="D187" s="227"/>
      <c r="E187" s="227"/>
      <c r="F187" s="227"/>
      <c r="G187" s="227"/>
      <c r="H187" s="227"/>
      <c r="I187" s="227"/>
      <c r="J187" s="227"/>
      <c r="K187" s="227"/>
      <c r="L187" s="227"/>
      <c r="M187" s="227"/>
      <c r="N187" s="227"/>
      <c r="O187" s="227"/>
      <c r="P187" s="227"/>
      <c r="Q187" s="227"/>
      <c r="R187" s="227"/>
      <c r="S187" s="227"/>
      <c r="T187" s="227"/>
      <c r="U187" s="227"/>
      <c r="V187" s="227"/>
      <c r="W187" s="227"/>
      <c r="X187" s="227"/>
      <c r="Y187" s="227"/>
      <c r="Z187" s="227"/>
      <c r="AA187" s="227"/>
      <c r="AB187" s="227"/>
      <c r="AC187" s="227"/>
      <c r="AD187" s="227"/>
      <c r="AE187" s="227"/>
    </row>
    <row r="188" ht="15.75" customHeight="1">
      <c r="A188" s="227"/>
      <c r="B188" s="227"/>
      <c r="C188" s="227"/>
      <c r="D188" s="227"/>
      <c r="E188" s="227"/>
      <c r="F188" s="227"/>
      <c r="G188" s="227"/>
      <c r="H188" s="227"/>
      <c r="I188" s="227"/>
      <c r="J188" s="227"/>
      <c r="K188" s="227"/>
      <c r="L188" s="227"/>
      <c r="M188" s="227"/>
      <c r="N188" s="227"/>
      <c r="O188" s="227"/>
      <c r="P188" s="227"/>
      <c r="Q188" s="227"/>
      <c r="R188" s="227"/>
      <c r="S188" s="227"/>
      <c r="T188" s="227"/>
      <c r="U188" s="227"/>
      <c r="V188" s="227"/>
      <c r="W188" s="227"/>
      <c r="X188" s="227"/>
      <c r="Y188" s="227"/>
      <c r="Z188" s="227"/>
      <c r="AA188" s="227"/>
      <c r="AB188" s="227"/>
      <c r="AC188" s="227"/>
      <c r="AD188" s="227"/>
      <c r="AE188" s="227"/>
    </row>
    <row r="189" ht="15.75" customHeight="1">
      <c r="A189" s="227"/>
      <c r="B189" s="227"/>
      <c r="C189" s="227"/>
      <c r="D189" s="227"/>
      <c r="E189" s="227"/>
      <c r="F189" s="227"/>
      <c r="G189" s="227"/>
      <c r="H189" s="227"/>
      <c r="I189" s="227"/>
      <c r="J189" s="227"/>
      <c r="K189" s="227"/>
      <c r="L189" s="227"/>
      <c r="M189" s="227"/>
      <c r="N189" s="227"/>
      <c r="O189" s="227"/>
      <c r="P189" s="227"/>
      <c r="Q189" s="227"/>
      <c r="R189" s="227"/>
      <c r="S189" s="227"/>
      <c r="T189" s="227"/>
      <c r="U189" s="227"/>
      <c r="V189" s="227"/>
      <c r="W189" s="227"/>
      <c r="X189" s="227"/>
      <c r="Y189" s="227"/>
      <c r="Z189" s="227"/>
      <c r="AA189" s="227"/>
      <c r="AB189" s="227"/>
      <c r="AC189" s="227"/>
      <c r="AD189" s="227"/>
      <c r="AE189" s="227"/>
    </row>
    <row r="190" ht="15.75" customHeight="1">
      <c r="A190" s="227"/>
      <c r="B190" s="227"/>
      <c r="C190" s="227"/>
      <c r="D190" s="227"/>
      <c r="E190" s="227"/>
      <c r="F190" s="227"/>
      <c r="G190" s="227"/>
      <c r="H190" s="227"/>
      <c r="I190" s="227"/>
      <c r="J190" s="227"/>
      <c r="K190" s="227"/>
      <c r="L190" s="227"/>
      <c r="M190" s="227"/>
      <c r="N190" s="227"/>
      <c r="O190" s="227"/>
      <c r="P190" s="227"/>
      <c r="Q190" s="227"/>
      <c r="R190" s="227"/>
      <c r="S190" s="227"/>
      <c r="T190" s="227"/>
      <c r="U190" s="227"/>
      <c r="V190" s="227"/>
      <c r="W190" s="227"/>
      <c r="X190" s="227"/>
      <c r="Y190" s="227"/>
      <c r="Z190" s="227"/>
      <c r="AA190" s="227"/>
      <c r="AB190" s="227"/>
      <c r="AC190" s="227"/>
      <c r="AD190" s="227"/>
      <c r="AE190" s="227"/>
    </row>
    <row r="191" ht="15.75" customHeight="1">
      <c r="A191" s="227"/>
      <c r="B191" s="227"/>
      <c r="C191" s="227"/>
      <c r="D191" s="227"/>
      <c r="E191" s="227"/>
      <c r="F191" s="227"/>
      <c r="G191" s="227"/>
      <c r="H191" s="227"/>
      <c r="I191" s="227"/>
      <c r="J191" s="227"/>
      <c r="K191" s="227"/>
      <c r="L191" s="227"/>
      <c r="M191" s="227"/>
      <c r="N191" s="227"/>
      <c r="O191" s="227"/>
      <c r="P191" s="227"/>
      <c r="Q191" s="227"/>
      <c r="R191" s="227"/>
      <c r="S191" s="227"/>
      <c r="T191" s="227"/>
      <c r="U191" s="227"/>
      <c r="V191" s="227"/>
      <c r="W191" s="227"/>
      <c r="X191" s="227"/>
      <c r="Y191" s="227"/>
      <c r="Z191" s="227"/>
      <c r="AA191" s="227"/>
      <c r="AB191" s="227"/>
      <c r="AC191" s="227"/>
      <c r="AD191" s="227"/>
      <c r="AE191" s="227"/>
    </row>
    <row r="192" ht="15.75" customHeight="1">
      <c r="A192" s="227"/>
      <c r="B192" s="227"/>
      <c r="C192" s="227"/>
      <c r="D192" s="227"/>
      <c r="E192" s="227"/>
      <c r="F192" s="227"/>
      <c r="G192" s="227"/>
      <c r="H192" s="227"/>
      <c r="I192" s="227"/>
      <c r="J192" s="227"/>
      <c r="K192" s="227"/>
      <c r="L192" s="227"/>
      <c r="M192" s="227"/>
      <c r="N192" s="227"/>
      <c r="O192" s="227"/>
      <c r="P192" s="227"/>
      <c r="Q192" s="227"/>
      <c r="R192" s="227"/>
      <c r="S192" s="227"/>
      <c r="T192" s="227"/>
      <c r="U192" s="227"/>
      <c r="V192" s="227"/>
      <c r="W192" s="227"/>
      <c r="X192" s="227"/>
      <c r="Y192" s="227"/>
      <c r="Z192" s="227"/>
      <c r="AA192" s="227"/>
      <c r="AB192" s="227"/>
      <c r="AC192" s="227"/>
      <c r="AD192" s="227"/>
      <c r="AE192" s="227"/>
    </row>
    <row r="193" ht="15.75" customHeight="1">
      <c r="A193" s="227"/>
      <c r="B193" s="227"/>
      <c r="C193" s="227"/>
      <c r="D193" s="227"/>
      <c r="E193" s="227"/>
      <c r="F193" s="227"/>
      <c r="G193" s="227"/>
      <c r="H193" s="227"/>
      <c r="I193" s="227"/>
      <c r="J193" s="227"/>
      <c r="K193" s="227"/>
      <c r="L193" s="227"/>
      <c r="M193" s="227"/>
      <c r="N193" s="227"/>
      <c r="O193" s="227"/>
      <c r="P193" s="227"/>
      <c r="Q193" s="227"/>
      <c r="R193" s="227"/>
      <c r="S193" s="227"/>
      <c r="T193" s="227"/>
      <c r="U193" s="227"/>
      <c r="V193" s="227"/>
      <c r="W193" s="227"/>
      <c r="X193" s="227"/>
      <c r="Y193" s="227"/>
      <c r="Z193" s="227"/>
      <c r="AA193" s="227"/>
      <c r="AB193" s="227"/>
      <c r="AC193" s="227"/>
      <c r="AD193" s="227"/>
      <c r="AE193" s="227"/>
    </row>
    <row r="194" ht="15.75" customHeight="1">
      <c r="A194" s="227"/>
      <c r="B194" s="227"/>
      <c r="C194" s="227"/>
      <c r="D194" s="227"/>
      <c r="E194" s="227"/>
      <c r="F194" s="227"/>
      <c r="G194" s="227"/>
      <c r="H194" s="227"/>
      <c r="I194" s="227"/>
      <c r="J194" s="227"/>
      <c r="K194" s="227"/>
      <c r="L194" s="227"/>
      <c r="M194" s="227"/>
      <c r="N194" s="227"/>
      <c r="O194" s="227"/>
      <c r="P194" s="227"/>
      <c r="Q194" s="227"/>
      <c r="R194" s="227"/>
      <c r="S194" s="227"/>
      <c r="T194" s="227"/>
      <c r="U194" s="227"/>
      <c r="V194" s="227"/>
      <c r="W194" s="227"/>
      <c r="X194" s="227"/>
      <c r="Y194" s="227"/>
      <c r="Z194" s="227"/>
      <c r="AA194" s="227"/>
      <c r="AB194" s="227"/>
      <c r="AC194" s="227"/>
      <c r="AD194" s="227"/>
      <c r="AE194" s="227"/>
    </row>
    <row r="195" ht="15.75" customHeight="1">
      <c r="A195" s="227"/>
      <c r="B195" s="227"/>
      <c r="C195" s="227"/>
      <c r="D195" s="227"/>
      <c r="E195" s="227"/>
      <c r="F195" s="227"/>
      <c r="G195" s="227"/>
      <c r="H195" s="227"/>
      <c r="I195" s="227"/>
      <c r="J195" s="227"/>
      <c r="K195" s="227"/>
      <c r="L195" s="227"/>
      <c r="M195" s="227"/>
      <c r="N195" s="227"/>
      <c r="O195" s="227"/>
      <c r="P195" s="227"/>
      <c r="Q195" s="227"/>
      <c r="R195" s="227"/>
      <c r="S195" s="227"/>
      <c r="T195" s="227"/>
      <c r="U195" s="227"/>
      <c r="V195" s="227"/>
      <c r="W195" s="227"/>
      <c r="X195" s="227"/>
      <c r="Y195" s="227"/>
      <c r="Z195" s="227"/>
      <c r="AA195" s="227"/>
      <c r="AB195" s="227"/>
      <c r="AC195" s="227"/>
      <c r="AD195" s="227"/>
      <c r="AE195" s="227"/>
    </row>
    <row r="196" ht="15.75" customHeight="1">
      <c r="A196" s="227"/>
      <c r="B196" s="227"/>
      <c r="C196" s="227"/>
      <c r="D196" s="227"/>
      <c r="E196" s="227"/>
      <c r="F196" s="227"/>
      <c r="G196" s="227"/>
      <c r="H196" s="227"/>
      <c r="I196" s="227"/>
      <c r="J196" s="227"/>
      <c r="K196" s="227"/>
      <c r="L196" s="227"/>
      <c r="M196" s="227"/>
      <c r="N196" s="227"/>
      <c r="O196" s="227"/>
      <c r="P196" s="227"/>
      <c r="Q196" s="227"/>
      <c r="R196" s="227"/>
      <c r="S196" s="227"/>
      <c r="T196" s="227"/>
      <c r="U196" s="227"/>
      <c r="V196" s="227"/>
      <c r="W196" s="227"/>
      <c r="X196" s="227"/>
      <c r="Y196" s="227"/>
      <c r="Z196" s="227"/>
      <c r="AA196" s="227"/>
      <c r="AB196" s="227"/>
      <c r="AC196" s="227"/>
      <c r="AD196" s="227"/>
      <c r="AE196" s="227"/>
    </row>
    <row r="197" ht="15.75" customHeight="1">
      <c r="A197" s="227"/>
      <c r="B197" s="227"/>
      <c r="C197" s="227"/>
      <c r="D197" s="227"/>
      <c r="E197" s="227"/>
      <c r="F197" s="227"/>
      <c r="G197" s="227"/>
      <c r="H197" s="227"/>
      <c r="I197" s="227"/>
      <c r="J197" s="227"/>
      <c r="K197" s="227"/>
      <c r="L197" s="227"/>
      <c r="M197" s="227"/>
      <c r="N197" s="227"/>
      <c r="O197" s="227"/>
      <c r="P197" s="227"/>
      <c r="Q197" s="227"/>
      <c r="R197" s="227"/>
      <c r="S197" s="227"/>
      <c r="T197" s="227"/>
      <c r="U197" s="227"/>
      <c r="V197" s="227"/>
      <c r="W197" s="227"/>
      <c r="X197" s="227"/>
      <c r="Y197" s="227"/>
      <c r="Z197" s="227"/>
      <c r="AA197" s="227"/>
      <c r="AB197" s="227"/>
      <c r="AC197" s="227"/>
      <c r="AD197" s="227"/>
      <c r="AE197" s="227"/>
    </row>
    <row r="198" ht="15.75" customHeight="1">
      <c r="A198" s="227"/>
      <c r="B198" s="227"/>
      <c r="C198" s="227"/>
      <c r="D198" s="227"/>
      <c r="E198" s="227"/>
      <c r="F198" s="227"/>
      <c r="G198" s="227"/>
      <c r="H198" s="227"/>
      <c r="I198" s="227"/>
      <c r="J198" s="227"/>
      <c r="K198" s="227"/>
      <c r="L198" s="227"/>
      <c r="M198" s="227"/>
      <c r="N198" s="227"/>
      <c r="O198" s="227"/>
      <c r="P198" s="227"/>
      <c r="Q198" s="227"/>
      <c r="R198" s="227"/>
      <c r="S198" s="227"/>
      <c r="T198" s="227"/>
      <c r="U198" s="227"/>
      <c r="V198" s="227"/>
      <c r="W198" s="227"/>
      <c r="X198" s="227"/>
      <c r="Y198" s="227"/>
      <c r="Z198" s="227"/>
      <c r="AA198" s="227"/>
      <c r="AB198" s="227"/>
      <c r="AC198" s="227"/>
      <c r="AD198" s="227"/>
      <c r="AE198" s="227"/>
    </row>
    <row r="199" ht="15.75" customHeight="1">
      <c r="A199" s="227"/>
      <c r="B199" s="227"/>
      <c r="C199" s="227"/>
      <c r="D199" s="227"/>
      <c r="E199" s="227"/>
      <c r="F199" s="227"/>
      <c r="G199" s="227"/>
      <c r="H199" s="227"/>
      <c r="I199" s="227"/>
      <c r="J199" s="227"/>
      <c r="K199" s="227"/>
      <c r="L199" s="227"/>
      <c r="M199" s="227"/>
      <c r="N199" s="227"/>
      <c r="O199" s="227"/>
      <c r="P199" s="227"/>
      <c r="Q199" s="227"/>
      <c r="R199" s="227"/>
      <c r="S199" s="227"/>
      <c r="T199" s="227"/>
      <c r="U199" s="227"/>
      <c r="V199" s="227"/>
      <c r="W199" s="227"/>
      <c r="X199" s="227"/>
      <c r="Y199" s="227"/>
      <c r="Z199" s="227"/>
      <c r="AA199" s="227"/>
      <c r="AB199" s="227"/>
      <c r="AC199" s="227"/>
      <c r="AD199" s="227"/>
      <c r="AE199" s="227"/>
    </row>
    <row r="200" ht="15.75" customHeight="1">
      <c r="A200" s="227"/>
      <c r="B200" s="227"/>
      <c r="C200" s="227"/>
      <c r="D200" s="227"/>
      <c r="E200" s="227"/>
      <c r="F200" s="227"/>
      <c r="G200" s="227"/>
      <c r="H200" s="227"/>
      <c r="I200" s="227"/>
      <c r="J200" s="227"/>
      <c r="K200" s="227"/>
      <c r="L200" s="227"/>
      <c r="M200" s="227"/>
      <c r="N200" s="227"/>
      <c r="O200" s="227"/>
      <c r="P200" s="227"/>
      <c r="Q200" s="227"/>
      <c r="R200" s="227"/>
      <c r="S200" s="227"/>
      <c r="T200" s="227"/>
      <c r="U200" s="227"/>
      <c r="V200" s="227"/>
      <c r="W200" s="227"/>
      <c r="X200" s="227"/>
      <c r="Y200" s="227"/>
      <c r="Z200" s="227"/>
      <c r="AA200" s="227"/>
      <c r="AB200" s="227"/>
      <c r="AC200" s="227"/>
      <c r="AD200" s="227"/>
      <c r="AE200" s="227"/>
    </row>
    <row r="201" ht="15.75" customHeight="1">
      <c r="A201" s="227"/>
      <c r="B201" s="227"/>
      <c r="C201" s="227"/>
      <c r="D201" s="227"/>
      <c r="E201" s="227"/>
      <c r="F201" s="227"/>
      <c r="G201" s="227"/>
      <c r="H201" s="227"/>
      <c r="I201" s="227"/>
      <c r="J201" s="227"/>
      <c r="K201" s="227"/>
      <c r="L201" s="227"/>
      <c r="M201" s="227"/>
      <c r="N201" s="227"/>
      <c r="O201" s="227"/>
      <c r="P201" s="227"/>
      <c r="Q201" s="227"/>
      <c r="R201" s="227"/>
      <c r="S201" s="227"/>
      <c r="T201" s="227"/>
      <c r="U201" s="227"/>
      <c r="V201" s="227"/>
      <c r="W201" s="227"/>
      <c r="X201" s="227"/>
      <c r="Y201" s="227"/>
      <c r="Z201" s="227"/>
      <c r="AA201" s="227"/>
      <c r="AB201" s="227"/>
      <c r="AC201" s="227"/>
      <c r="AD201" s="227"/>
      <c r="AE201" s="227"/>
    </row>
    <row r="202" ht="15.75" customHeight="1">
      <c r="A202" s="227"/>
      <c r="B202" s="227"/>
      <c r="C202" s="227"/>
      <c r="D202" s="227"/>
      <c r="E202" s="227"/>
      <c r="F202" s="227"/>
      <c r="G202" s="227"/>
      <c r="H202" s="227"/>
      <c r="I202" s="227"/>
      <c r="J202" s="227"/>
      <c r="K202" s="227"/>
      <c r="L202" s="227"/>
      <c r="M202" s="227"/>
      <c r="N202" s="227"/>
      <c r="O202" s="227"/>
      <c r="P202" s="227"/>
      <c r="Q202" s="227"/>
      <c r="R202" s="227"/>
      <c r="S202" s="227"/>
      <c r="T202" s="227"/>
      <c r="U202" s="227"/>
      <c r="V202" s="227"/>
      <c r="W202" s="227"/>
      <c r="X202" s="227"/>
      <c r="Y202" s="227"/>
      <c r="Z202" s="227"/>
      <c r="AA202" s="227"/>
      <c r="AB202" s="227"/>
      <c r="AC202" s="227"/>
      <c r="AD202" s="227"/>
      <c r="AE202" s="227"/>
    </row>
    <row r="203" ht="15.75" customHeight="1">
      <c r="A203" s="227"/>
      <c r="B203" s="227"/>
      <c r="C203" s="227"/>
      <c r="D203" s="227"/>
      <c r="E203" s="227"/>
      <c r="F203" s="227"/>
      <c r="G203" s="227"/>
      <c r="H203" s="227"/>
      <c r="I203" s="227"/>
      <c r="J203" s="227"/>
      <c r="K203" s="227"/>
      <c r="L203" s="227"/>
      <c r="M203" s="227"/>
      <c r="N203" s="227"/>
      <c r="O203" s="227"/>
      <c r="P203" s="227"/>
      <c r="Q203" s="227"/>
      <c r="R203" s="227"/>
      <c r="S203" s="227"/>
      <c r="T203" s="227"/>
      <c r="U203" s="227"/>
      <c r="V203" s="227"/>
      <c r="W203" s="227"/>
      <c r="X203" s="227"/>
      <c r="Y203" s="227"/>
      <c r="Z203" s="227"/>
      <c r="AA203" s="227"/>
      <c r="AB203" s="227"/>
      <c r="AC203" s="227"/>
      <c r="AD203" s="227"/>
      <c r="AE203" s="227"/>
    </row>
    <row r="204" ht="15.75" customHeight="1">
      <c r="A204" s="227"/>
      <c r="B204" s="227"/>
      <c r="C204" s="227"/>
      <c r="D204" s="227"/>
      <c r="E204" s="227"/>
      <c r="F204" s="227"/>
      <c r="G204" s="227"/>
      <c r="H204" s="227"/>
      <c r="I204" s="227"/>
      <c r="J204" s="227"/>
      <c r="K204" s="227"/>
      <c r="L204" s="227"/>
      <c r="M204" s="227"/>
      <c r="N204" s="227"/>
      <c r="O204" s="227"/>
      <c r="P204" s="227"/>
      <c r="Q204" s="227"/>
      <c r="R204" s="227"/>
      <c r="S204" s="227"/>
      <c r="T204" s="227"/>
      <c r="U204" s="227"/>
      <c r="V204" s="227"/>
      <c r="W204" s="227"/>
      <c r="X204" s="227"/>
      <c r="Y204" s="227"/>
      <c r="Z204" s="227"/>
      <c r="AA204" s="227"/>
      <c r="AB204" s="227"/>
      <c r="AC204" s="227"/>
      <c r="AD204" s="227"/>
      <c r="AE204" s="227"/>
    </row>
    <row r="205" ht="15.75" customHeight="1">
      <c r="A205" s="227"/>
      <c r="B205" s="227"/>
      <c r="C205" s="227"/>
      <c r="D205" s="227"/>
      <c r="E205" s="227"/>
      <c r="F205" s="227"/>
      <c r="G205" s="227"/>
      <c r="H205" s="227"/>
      <c r="I205" s="227"/>
      <c r="J205" s="227"/>
      <c r="K205" s="227"/>
      <c r="L205" s="227"/>
      <c r="M205" s="227"/>
      <c r="N205" s="227"/>
      <c r="O205" s="227"/>
      <c r="P205" s="227"/>
      <c r="Q205" s="227"/>
      <c r="R205" s="227"/>
      <c r="S205" s="227"/>
      <c r="T205" s="227"/>
      <c r="U205" s="227"/>
      <c r="V205" s="227"/>
      <c r="W205" s="227"/>
      <c r="X205" s="227"/>
      <c r="Y205" s="227"/>
      <c r="Z205" s="227"/>
      <c r="AA205" s="227"/>
      <c r="AB205" s="227"/>
      <c r="AC205" s="227"/>
      <c r="AD205" s="227"/>
      <c r="AE205" s="227"/>
    </row>
    <row r="206" ht="15.75" customHeight="1">
      <c r="A206" s="227"/>
      <c r="B206" s="227"/>
      <c r="C206" s="227"/>
      <c r="D206" s="227"/>
      <c r="E206" s="227"/>
      <c r="F206" s="227"/>
      <c r="G206" s="227"/>
      <c r="H206" s="227"/>
      <c r="I206" s="227"/>
      <c r="J206" s="227"/>
      <c r="K206" s="227"/>
      <c r="L206" s="227"/>
      <c r="M206" s="227"/>
      <c r="N206" s="227"/>
      <c r="O206" s="227"/>
      <c r="P206" s="227"/>
      <c r="Q206" s="227"/>
      <c r="R206" s="227"/>
      <c r="S206" s="227"/>
      <c r="T206" s="227"/>
      <c r="U206" s="227"/>
      <c r="V206" s="227"/>
      <c r="W206" s="227"/>
      <c r="X206" s="227"/>
      <c r="Y206" s="227"/>
      <c r="Z206" s="227"/>
      <c r="AA206" s="227"/>
      <c r="AB206" s="227"/>
      <c r="AC206" s="227"/>
      <c r="AD206" s="227"/>
      <c r="AE206" s="227"/>
    </row>
    <row r="207" ht="15.75" customHeight="1">
      <c r="A207" s="227"/>
      <c r="B207" s="227"/>
      <c r="C207" s="227"/>
      <c r="D207" s="227"/>
      <c r="E207" s="227"/>
      <c r="F207" s="227"/>
      <c r="G207" s="227"/>
      <c r="H207" s="227"/>
      <c r="I207" s="227"/>
      <c r="J207" s="227"/>
      <c r="K207" s="227"/>
      <c r="L207" s="227"/>
      <c r="M207" s="227"/>
      <c r="N207" s="227"/>
      <c r="O207" s="227"/>
      <c r="P207" s="227"/>
      <c r="Q207" s="227"/>
      <c r="R207" s="227"/>
      <c r="S207" s="227"/>
      <c r="T207" s="227"/>
      <c r="U207" s="227"/>
      <c r="V207" s="227"/>
      <c r="W207" s="227"/>
      <c r="X207" s="227"/>
      <c r="Y207" s="227"/>
      <c r="Z207" s="227"/>
      <c r="AA207" s="227"/>
      <c r="AB207" s="227"/>
      <c r="AC207" s="227"/>
      <c r="AD207" s="227"/>
      <c r="AE207" s="227"/>
    </row>
    <row r="208" ht="15.75" customHeight="1">
      <c r="A208" s="227"/>
      <c r="B208" s="227"/>
      <c r="C208" s="227"/>
      <c r="D208" s="227"/>
      <c r="E208" s="227"/>
      <c r="F208" s="227"/>
      <c r="G208" s="227"/>
      <c r="H208" s="227"/>
      <c r="I208" s="227"/>
      <c r="J208" s="227"/>
      <c r="K208" s="227"/>
      <c r="L208" s="227"/>
      <c r="M208" s="227"/>
      <c r="N208" s="227"/>
      <c r="O208" s="227"/>
      <c r="P208" s="227"/>
      <c r="Q208" s="227"/>
      <c r="R208" s="227"/>
      <c r="S208" s="227"/>
      <c r="T208" s="227"/>
      <c r="U208" s="227"/>
      <c r="V208" s="227"/>
      <c r="W208" s="227"/>
      <c r="X208" s="227"/>
      <c r="Y208" s="227"/>
      <c r="Z208" s="227"/>
      <c r="AA208" s="227"/>
      <c r="AB208" s="227"/>
      <c r="AC208" s="227"/>
      <c r="AD208" s="227"/>
      <c r="AE208" s="227"/>
    </row>
    <row r="209" ht="15.75" customHeight="1">
      <c r="A209" s="227"/>
      <c r="B209" s="227"/>
      <c r="C209" s="227"/>
      <c r="D209" s="227"/>
      <c r="E209" s="227"/>
      <c r="F209" s="227"/>
      <c r="G209" s="227"/>
      <c r="H209" s="227"/>
      <c r="I209" s="227"/>
      <c r="J209" s="227"/>
      <c r="K209" s="227"/>
      <c r="L209" s="227"/>
      <c r="M209" s="227"/>
      <c r="N209" s="227"/>
      <c r="O209" s="227"/>
      <c r="P209" s="227"/>
      <c r="Q209" s="227"/>
      <c r="R209" s="227"/>
      <c r="S209" s="227"/>
      <c r="T209" s="227"/>
      <c r="U209" s="227"/>
      <c r="V209" s="227"/>
      <c r="W209" s="227"/>
      <c r="X209" s="227"/>
      <c r="Y209" s="227"/>
      <c r="Z209" s="227"/>
      <c r="AA209" s="227"/>
      <c r="AB209" s="227"/>
      <c r="AC209" s="227"/>
      <c r="AD209" s="227"/>
      <c r="AE209" s="227"/>
    </row>
    <row r="210" ht="15.75" customHeight="1">
      <c r="A210" s="227"/>
      <c r="B210" s="227"/>
      <c r="C210" s="227"/>
      <c r="D210" s="227"/>
      <c r="E210" s="227"/>
      <c r="F210" s="227"/>
      <c r="G210" s="227"/>
      <c r="H210" s="227"/>
      <c r="I210" s="227"/>
      <c r="J210" s="227"/>
      <c r="K210" s="227"/>
      <c r="L210" s="227"/>
      <c r="M210" s="227"/>
      <c r="N210" s="227"/>
      <c r="O210" s="227"/>
      <c r="P210" s="227"/>
      <c r="Q210" s="227"/>
      <c r="R210" s="227"/>
      <c r="S210" s="227"/>
      <c r="T210" s="227"/>
      <c r="U210" s="227"/>
      <c r="V210" s="227"/>
      <c r="W210" s="227"/>
      <c r="X210" s="227"/>
      <c r="Y210" s="227"/>
      <c r="Z210" s="227"/>
      <c r="AA210" s="227"/>
      <c r="AB210" s="227"/>
      <c r="AC210" s="227"/>
      <c r="AD210" s="227"/>
      <c r="AE210" s="227"/>
    </row>
    <row r="211" ht="15.75" customHeight="1">
      <c r="A211" s="227"/>
      <c r="B211" s="227"/>
      <c r="C211" s="227"/>
      <c r="D211" s="227"/>
      <c r="E211" s="227"/>
      <c r="F211" s="227"/>
      <c r="G211" s="227"/>
      <c r="H211" s="227"/>
      <c r="I211" s="227"/>
      <c r="J211" s="227"/>
      <c r="K211" s="227"/>
      <c r="L211" s="227"/>
      <c r="M211" s="227"/>
      <c r="N211" s="227"/>
      <c r="O211" s="227"/>
      <c r="P211" s="227"/>
      <c r="Q211" s="227"/>
      <c r="R211" s="227"/>
      <c r="S211" s="227"/>
      <c r="T211" s="227"/>
      <c r="U211" s="227"/>
      <c r="V211" s="227"/>
      <c r="W211" s="227"/>
      <c r="X211" s="227"/>
      <c r="Y211" s="227"/>
      <c r="Z211" s="227"/>
      <c r="AA211" s="227"/>
      <c r="AB211" s="227"/>
      <c r="AC211" s="227"/>
      <c r="AD211" s="227"/>
      <c r="AE211" s="227"/>
    </row>
    <row r="212" ht="15.75" customHeight="1">
      <c r="A212" s="227"/>
      <c r="B212" s="227"/>
      <c r="C212" s="227"/>
      <c r="D212" s="227"/>
      <c r="E212" s="227"/>
      <c r="F212" s="227"/>
      <c r="G212" s="227"/>
      <c r="H212" s="227"/>
      <c r="I212" s="227"/>
      <c r="J212" s="227"/>
      <c r="K212" s="227"/>
      <c r="L212" s="227"/>
      <c r="M212" s="227"/>
      <c r="N212" s="227"/>
      <c r="O212" s="227"/>
      <c r="P212" s="227"/>
      <c r="Q212" s="227"/>
      <c r="R212" s="227"/>
      <c r="S212" s="227"/>
      <c r="T212" s="227"/>
      <c r="U212" s="227"/>
      <c r="V212" s="227"/>
      <c r="W212" s="227"/>
      <c r="X212" s="227"/>
      <c r="Y212" s="227"/>
      <c r="Z212" s="227"/>
      <c r="AA212" s="227"/>
      <c r="AB212" s="227"/>
      <c r="AC212" s="227"/>
      <c r="AD212" s="227"/>
      <c r="AE212" s="227"/>
    </row>
    <row r="213" ht="15.75" customHeight="1">
      <c r="A213" s="227"/>
      <c r="B213" s="227"/>
      <c r="C213" s="227"/>
      <c r="D213" s="227"/>
      <c r="E213" s="227"/>
      <c r="F213" s="227"/>
      <c r="G213" s="227"/>
      <c r="H213" s="227"/>
      <c r="I213" s="227"/>
      <c r="J213" s="227"/>
      <c r="K213" s="227"/>
      <c r="L213" s="227"/>
      <c r="M213" s="227"/>
      <c r="N213" s="227"/>
      <c r="O213" s="227"/>
      <c r="P213" s="227"/>
      <c r="Q213" s="227"/>
      <c r="R213" s="227"/>
      <c r="S213" s="227"/>
      <c r="T213" s="227"/>
      <c r="U213" s="227"/>
      <c r="V213" s="227"/>
      <c r="W213" s="227"/>
      <c r="X213" s="227"/>
      <c r="Y213" s="227"/>
      <c r="Z213" s="227"/>
      <c r="AA213" s="227"/>
      <c r="AB213" s="227"/>
      <c r="AC213" s="227"/>
      <c r="AD213" s="227"/>
      <c r="AE213" s="227"/>
    </row>
    <row r="214" ht="15.75" customHeight="1">
      <c r="A214" s="227"/>
      <c r="B214" s="227"/>
      <c r="C214" s="227"/>
      <c r="D214" s="227"/>
      <c r="E214" s="227"/>
      <c r="F214" s="227"/>
      <c r="G214" s="227"/>
      <c r="H214" s="227"/>
      <c r="I214" s="227"/>
      <c r="J214" s="227"/>
      <c r="K214" s="227"/>
      <c r="L214" s="227"/>
      <c r="M214" s="227"/>
      <c r="N214" s="227"/>
      <c r="O214" s="227"/>
      <c r="P214" s="227"/>
      <c r="Q214" s="227"/>
      <c r="R214" s="227"/>
      <c r="S214" s="227"/>
      <c r="T214" s="227"/>
      <c r="U214" s="227"/>
      <c r="V214" s="227"/>
      <c r="W214" s="227"/>
      <c r="X214" s="227"/>
      <c r="Y214" s="227"/>
      <c r="Z214" s="227"/>
      <c r="AA214" s="227"/>
      <c r="AB214" s="227"/>
      <c r="AC214" s="227"/>
      <c r="AD214" s="227"/>
      <c r="AE214" s="227"/>
    </row>
    <row r="215" ht="15.75" customHeight="1">
      <c r="A215" s="227"/>
      <c r="B215" s="227"/>
      <c r="C215" s="227"/>
      <c r="D215" s="227"/>
      <c r="E215" s="227"/>
      <c r="F215" s="227"/>
      <c r="G215" s="227"/>
      <c r="H215" s="227"/>
      <c r="I215" s="227"/>
      <c r="J215" s="227"/>
      <c r="K215" s="227"/>
      <c r="L215" s="227"/>
      <c r="M215" s="227"/>
      <c r="N215" s="227"/>
      <c r="O215" s="227"/>
      <c r="P215" s="227"/>
      <c r="Q215" s="227"/>
      <c r="R215" s="227"/>
      <c r="S215" s="227"/>
      <c r="T215" s="227"/>
      <c r="U215" s="227"/>
      <c r="V215" s="227"/>
      <c r="W215" s="227"/>
      <c r="X215" s="227"/>
      <c r="Y215" s="227"/>
      <c r="Z215" s="227"/>
      <c r="AA215" s="227"/>
      <c r="AB215" s="227"/>
      <c r="AC215" s="227"/>
      <c r="AD215" s="227"/>
      <c r="AE215" s="227"/>
    </row>
    <row r="216" ht="15.75" customHeight="1">
      <c r="A216" s="227"/>
      <c r="B216" s="227"/>
      <c r="C216" s="227"/>
      <c r="D216" s="227"/>
      <c r="E216" s="227"/>
      <c r="F216" s="227"/>
      <c r="G216" s="227"/>
      <c r="H216" s="227"/>
      <c r="I216" s="227"/>
      <c r="J216" s="227"/>
      <c r="K216" s="227"/>
      <c r="L216" s="227"/>
      <c r="M216" s="227"/>
      <c r="N216" s="227"/>
      <c r="O216" s="227"/>
      <c r="P216" s="227"/>
      <c r="Q216" s="227"/>
      <c r="R216" s="227"/>
      <c r="S216" s="227"/>
      <c r="T216" s="227"/>
      <c r="U216" s="227"/>
      <c r="V216" s="227"/>
      <c r="W216" s="227"/>
      <c r="X216" s="227"/>
      <c r="Y216" s="227"/>
      <c r="Z216" s="227"/>
      <c r="AA216" s="227"/>
      <c r="AB216" s="227"/>
      <c r="AC216" s="227"/>
      <c r="AD216" s="227"/>
      <c r="AE216" s="227"/>
    </row>
    <row r="217" ht="15.75" customHeight="1">
      <c r="A217" s="227"/>
      <c r="B217" s="227"/>
      <c r="C217" s="227"/>
      <c r="D217" s="227"/>
      <c r="E217" s="227"/>
      <c r="F217" s="227"/>
      <c r="G217" s="227"/>
      <c r="H217" s="227"/>
      <c r="I217" s="227"/>
      <c r="J217" s="227"/>
      <c r="K217" s="227"/>
      <c r="L217" s="227"/>
      <c r="M217" s="227"/>
      <c r="N217" s="227"/>
      <c r="O217" s="227"/>
      <c r="P217" s="227"/>
      <c r="Q217" s="227"/>
      <c r="R217" s="227"/>
      <c r="S217" s="227"/>
      <c r="T217" s="227"/>
      <c r="U217" s="227"/>
      <c r="V217" s="227"/>
      <c r="W217" s="227"/>
      <c r="X217" s="227"/>
      <c r="Y217" s="227"/>
      <c r="Z217" s="227"/>
      <c r="AA217" s="227"/>
      <c r="AB217" s="227"/>
      <c r="AC217" s="227"/>
      <c r="AD217" s="227"/>
      <c r="AE217" s="227"/>
    </row>
    <row r="218" ht="15.75" customHeight="1">
      <c r="A218" s="227"/>
      <c r="B218" s="227"/>
      <c r="C218" s="227"/>
      <c r="D218" s="227"/>
      <c r="E218" s="227"/>
      <c r="F218" s="227"/>
      <c r="G218" s="227"/>
      <c r="H218" s="227"/>
      <c r="I218" s="227"/>
      <c r="J218" s="227"/>
      <c r="K218" s="227"/>
      <c r="L218" s="227"/>
      <c r="M218" s="227"/>
      <c r="N218" s="227"/>
      <c r="O218" s="227"/>
      <c r="P218" s="227"/>
      <c r="Q218" s="227"/>
      <c r="R218" s="227"/>
      <c r="S218" s="227"/>
      <c r="T218" s="227"/>
      <c r="U218" s="227"/>
      <c r="V218" s="227"/>
      <c r="W218" s="227"/>
      <c r="X218" s="227"/>
      <c r="Y218" s="227"/>
      <c r="Z218" s="227"/>
      <c r="AA218" s="227"/>
      <c r="AB218" s="227"/>
      <c r="AC218" s="227"/>
      <c r="AD218" s="227"/>
      <c r="AE218" s="227"/>
    </row>
    <row r="219" ht="15.75" customHeight="1">
      <c r="A219" s="227"/>
      <c r="B219" s="227"/>
      <c r="C219" s="227"/>
      <c r="D219" s="227"/>
      <c r="E219" s="227"/>
      <c r="F219" s="227"/>
      <c r="G219" s="227"/>
      <c r="H219" s="227"/>
      <c r="I219" s="227"/>
      <c r="J219" s="227"/>
      <c r="K219" s="227"/>
      <c r="L219" s="227"/>
      <c r="M219" s="227"/>
      <c r="N219" s="227"/>
      <c r="O219" s="227"/>
      <c r="P219" s="227"/>
      <c r="Q219" s="227"/>
      <c r="R219" s="227"/>
      <c r="S219" s="227"/>
      <c r="T219" s="227"/>
      <c r="U219" s="227"/>
      <c r="V219" s="227"/>
      <c r="W219" s="227"/>
      <c r="X219" s="227"/>
      <c r="Y219" s="227"/>
      <c r="Z219" s="227"/>
      <c r="AA219" s="227"/>
      <c r="AB219" s="227"/>
      <c r="AC219" s="227"/>
      <c r="AD219" s="227"/>
      <c r="AE219" s="227"/>
    </row>
    <row r="220" ht="15.75" customHeight="1">
      <c r="A220" s="227"/>
      <c r="B220" s="227"/>
      <c r="C220" s="227"/>
      <c r="D220" s="227"/>
      <c r="E220" s="227"/>
      <c r="F220" s="227"/>
      <c r="G220" s="227"/>
      <c r="H220" s="227"/>
      <c r="I220" s="227"/>
      <c r="J220" s="227"/>
      <c r="K220" s="227"/>
      <c r="L220" s="227"/>
      <c r="M220" s="227"/>
      <c r="N220" s="227"/>
      <c r="O220" s="227"/>
      <c r="P220" s="227"/>
      <c r="Q220" s="227"/>
      <c r="R220" s="227"/>
      <c r="S220" s="227"/>
      <c r="T220" s="227"/>
      <c r="U220" s="227"/>
      <c r="V220" s="227"/>
      <c r="W220" s="227"/>
      <c r="X220" s="227"/>
      <c r="Y220" s="227"/>
      <c r="Z220" s="227"/>
      <c r="AA220" s="227"/>
      <c r="AB220" s="227"/>
      <c r="AC220" s="227"/>
      <c r="AD220" s="227"/>
      <c r="AE220" s="227"/>
    </row>
    <row r="221" ht="15.75" customHeight="1">
      <c r="A221" s="227"/>
      <c r="B221" s="227"/>
      <c r="C221" s="227"/>
      <c r="D221" s="227"/>
      <c r="E221" s="227"/>
      <c r="F221" s="227"/>
      <c r="G221" s="227"/>
      <c r="H221" s="227"/>
      <c r="I221" s="227"/>
      <c r="J221" s="227"/>
      <c r="K221" s="227"/>
      <c r="L221" s="227"/>
      <c r="M221" s="227"/>
      <c r="N221" s="227"/>
      <c r="O221" s="227"/>
      <c r="P221" s="227"/>
      <c r="Q221" s="227"/>
      <c r="R221" s="227"/>
      <c r="S221" s="227"/>
      <c r="T221" s="227"/>
      <c r="U221" s="227"/>
      <c r="V221" s="227"/>
      <c r="W221" s="227"/>
      <c r="X221" s="227"/>
      <c r="Y221" s="227"/>
      <c r="Z221" s="227"/>
      <c r="AA221" s="227"/>
      <c r="AB221" s="227"/>
      <c r="AC221" s="227"/>
      <c r="AD221" s="227"/>
      <c r="AE221" s="227"/>
    </row>
    <row r="222" ht="15.75" customHeight="1">
      <c r="A222" s="227"/>
      <c r="B222" s="227"/>
      <c r="C222" s="227"/>
      <c r="D222" s="227"/>
      <c r="E222" s="227"/>
      <c r="F222" s="227"/>
      <c r="G222" s="227"/>
      <c r="H222" s="227"/>
      <c r="I222" s="227"/>
      <c r="J222" s="227"/>
      <c r="K222" s="227"/>
      <c r="L222" s="227"/>
      <c r="M222" s="227"/>
      <c r="N222" s="227"/>
      <c r="O222" s="227"/>
      <c r="P222" s="227"/>
      <c r="Q222" s="227"/>
      <c r="R222" s="227"/>
      <c r="S222" s="227"/>
      <c r="T222" s="227"/>
      <c r="U222" s="227"/>
      <c r="V222" s="227"/>
      <c r="W222" s="227"/>
      <c r="X222" s="227"/>
      <c r="Y222" s="227"/>
      <c r="Z222" s="227"/>
      <c r="AA222" s="227"/>
      <c r="AB222" s="227"/>
      <c r="AC222" s="227"/>
      <c r="AD222" s="227"/>
      <c r="AE222" s="227"/>
    </row>
    <row r="223" ht="15.75" customHeight="1">
      <c r="A223" s="227"/>
      <c r="B223" s="227"/>
      <c r="C223" s="227"/>
      <c r="D223" s="227"/>
      <c r="E223" s="227"/>
      <c r="F223" s="227"/>
      <c r="G223" s="227"/>
      <c r="H223" s="227"/>
      <c r="I223" s="227"/>
      <c r="J223" s="227"/>
      <c r="K223" s="227"/>
      <c r="L223" s="227"/>
      <c r="M223" s="227"/>
      <c r="N223" s="227"/>
      <c r="O223" s="227"/>
      <c r="P223" s="227"/>
      <c r="Q223" s="227"/>
      <c r="R223" s="227"/>
      <c r="S223" s="227"/>
      <c r="T223" s="227"/>
      <c r="U223" s="227"/>
      <c r="V223" s="227"/>
      <c r="W223" s="227"/>
      <c r="X223" s="227"/>
      <c r="Y223" s="227"/>
      <c r="Z223" s="227"/>
      <c r="AA223" s="227"/>
      <c r="AB223" s="227"/>
      <c r="AC223" s="227"/>
      <c r="AD223" s="227"/>
      <c r="AE223" s="227"/>
    </row>
    <row r="224" ht="15.75" customHeight="1">
      <c r="A224" s="227"/>
      <c r="B224" s="227"/>
      <c r="C224" s="227"/>
      <c r="D224" s="227"/>
      <c r="E224" s="227"/>
      <c r="F224" s="227"/>
      <c r="G224" s="227"/>
      <c r="H224" s="227"/>
      <c r="I224" s="227"/>
      <c r="J224" s="227"/>
      <c r="K224" s="227"/>
      <c r="L224" s="227"/>
      <c r="M224" s="227"/>
      <c r="N224" s="227"/>
      <c r="O224" s="227"/>
      <c r="P224" s="227"/>
      <c r="Q224" s="227"/>
      <c r="R224" s="227"/>
      <c r="S224" s="227"/>
      <c r="T224" s="227"/>
      <c r="U224" s="227"/>
      <c r="V224" s="227"/>
      <c r="W224" s="227"/>
      <c r="X224" s="227"/>
      <c r="Y224" s="227"/>
      <c r="Z224" s="227"/>
      <c r="AA224" s="227"/>
      <c r="AB224" s="227"/>
      <c r="AC224" s="227"/>
      <c r="AD224" s="227"/>
      <c r="AE224" s="227"/>
    </row>
    <row r="225" ht="15.75" customHeight="1">
      <c r="A225" s="227"/>
      <c r="B225" s="227"/>
      <c r="C225" s="227"/>
      <c r="D225" s="227"/>
      <c r="E225" s="227"/>
      <c r="F225" s="227"/>
      <c r="G225" s="227"/>
      <c r="H225" s="227"/>
      <c r="I225" s="227"/>
      <c r="J225" s="227"/>
      <c r="K225" s="227"/>
      <c r="L225" s="227"/>
      <c r="M225" s="227"/>
      <c r="N225" s="227"/>
      <c r="O225" s="227"/>
      <c r="P225" s="227"/>
      <c r="Q225" s="227"/>
      <c r="R225" s="227"/>
      <c r="S225" s="227"/>
      <c r="T225" s="227"/>
      <c r="U225" s="227"/>
      <c r="V225" s="227"/>
      <c r="W225" s="227"/>
      <c r="X225" s="227"/>
      <c r="Y225" s="227"/>
      <c r="Z225" s="227"/>
      <c r="AA225" s="227"/>
      <c r="AB225" s="227"/>
      <c r="AC225" s="227"/>
      <c r="AD225" s="227"/>
      <c r="AE225" s="227"/>
    </row>
    <row r="226" ht="15.75" customHeight="1">
      <c r="A226" s="227"/>
      <c r="B226" s="227"/>
      <c r="C226" s="227"/>
      <c r="D226" s="227"/>
      <c r="E226" s="227"/>
      <c r="F226" s="227"/>
      <c r="G226" s="227"/>
      <c r="H226" s="227"/>
      <c r="I226" s="227"/>
      <c r="J226" s="227"/>
      <c r="K226" s="227"/>
      <c r="L226" s="227"/>
      <c r="M226" s="227"/>
      <c r="N226" s="227"/>
      <c r="O226" s="227"/>
      <c r="P226" s="227"/>
      <c r="Q226" s="227"/>
      <c r="R226" s="227"/>
      <c r="S226" s="227"/>
      <c r="T226" s="227"/>
      <c r="U226" s="227"/>
      <c r="V226" s="227"/>
      <c r="W226" s="227"/>
      <c r="X226" s="227"/>
      <c r="Y226" s="227"/>
      <c r="Z226" s="227"/>
      <c r="AA226" s="227"/>
      <c r="AB226" s="227"/>
      <c r="AC226" s="227"/>
      <c r="AD226" s="227"/>
      <c r="AE226" s="227"/>
    </row>
    <row r="227" ht="15.75" customHeight="1">
      <c r="A227" s="227"/>
      <c r="B227" s="227"/>
      <c r="C227" s="227"/>
      <c r="D227" s="227"/>
      <c r="E227" s="227"/>
      <c r="F227" s="227"/>
      <c r="G227" s="227"/>
      <c r="H227" s="227"/>
      <c r="I227" s="227"/>
      <c r="J227" s="227"/>
      <c r="K227" s="227"/>
      <c r="L227" s="227"/>
      <c r="M227" s="227"/>
      <c r="N227" s="227"/>
      <c r="O227" s="227"/>
      <c r="P227" s="227"/>
      <c r="Q227" s="227"/>
      <c r="R227" s="227"/>
      <c r="S227" s="227"/>
      <c r="T227" s="227"/>
      <c r="U227" s="227"/>
      <c r="V227" s="227"/>
      <c r="W227" s="227"/>
      <c r="X227" s="227"/>
      <c r="Y227" s="227"/>
      <c r="Z227" s="227"/>
      <c r="AA227" s="227"/>
      <c r="AB227" s="227"/>
      <c r="AC227" s="227"/>
      <c r="AD227" s="227"/>
      <c r="AE227" s="227"/>
    </row>
    <row r="228" ht="15.75" customHeight="1">
      <c r="A228" s="227"/>
      <c r="B228" s="227"/>
      <c r="C228" s="227"/>
      <c r="D228" s="227"/>
      <c r="E228" s="227"/>
      <c r="F228" s="227"/>
      <c r="G228" s="227"/>
      <c r="H228" s="227"/>
      <c r="I228" s="227"/>
      <c r="J228" s="227"/>
      <c r="K228" s="227"/>
      <c r="L228" s="227"/>
      <c r="M228" s="227"/>
      <c r="N228" s="227"/>
      <c r="O228" s="227"/>
      <c r="P228" s="227"/>
      <c r="Q228" s="227"/>
      <c r="R228" s="227"/>
      <c r="S228" s="227"/>
      <c r="T228" s="227"/>
      <c r="U228" s="227"/>
      <c r="V228" s="227"/>
      <c r="W228" s="227"/>
      <c r="X228" s="227"/>
      <c r="Y228" s="227"/>
      <c r="Z228" s="227"/>
      <c r="AA228" s="227"/>
      <c r="AB228" s="227"/>
      <c r="AC228" s="227"/>
      <c r="AD228" s="227"/>
      <c r="AE228" s="227"/>
    </row>
    <row r="229" ht="15.75" customHeight="1">
      <c r="A229" s="227"/>
      <c r="B229" s="227"/>
      <c r="C229" s="227"/>
      <c r="D229" s="227"/>
      <c r="E229" s="227"/>
      <c r="F229" s="227"/>
      <c r="G229" s="227"/>
      <c r="H229" s="227"/>
      <c r="I229" s="227"/>
      <c r="J229" s="227"/>
      <c r="K229" s="227"/>
      <c r="L229" s="227"/>
      <c r="M229" s="227"/>
      <c r="N229" s="227"/>
      <c r="O229" s="227"/>
      <c r="P229" s="227"/>
      <c r="Q229" s="227"/>
      <c r="R229" s="227"/>
      <c r="S229" s="227"/>
      <c r="T229" s="227"/>
      <c r="U229" s="227"/>
      <c r="V229" s="227"/>
      <c r="W229" s="227"/>
      <c r="X229" s="227"/>
      <c r="Y229" s="227"/>
      <c r="Z229" s="227"/>
      <c r="AA229" s="227"/>
      <c r="AB229" s="227"/>
      <c r="AC229" s="227"/>
      <c r="AD229" s="227"/>
      <c r="AE229" s="227"/>
    </row>
    <row r="230" ht="15.75" customHeight="1">
      <c r="A230" s="227"/>
      <c r="B230" s="227"/>
      <c r="C230" s="227"/>
      <c r="D230" s="227"/>
      <c r="E230" s="227"/>
      <c r="F230" s="227"/>
      <c r="G230" s="227"/>
      <c r="H230" s="227"/>
      <c r="I230" s="227"/>
      <c r="J230" s="227"/>
      <c r="K230" s="227"/>
      <c r="L230" s="227"/>
      <c r="M230" s="227"/>
      <c r="N230" s="227"/>
      <c r="O230" s="227"/>
      <c r="P230" s="227"/>
      <c r="Q230" s="227"/>
      <c r="R230" s="227"/>
      <c r="S230" s="227"/>
      <c r="T230" s="227"/>
      <c r="U230" s="227"/>
      <c r="V230" s="227"/>
      <c r="W230" s="227"/>
      <c r="X230" s="227"/>
      <c r="Y230" s="227"/>
      <c r="Z230" s="227"/>
      <c r="AA230" s="227"/>
      <c r="AB230" s="227"/>
      <c r="AC230" s="227"/>
      <c r="AD230" s="227"/>
      <c r="AE230" s="227"/>
    </row>
    <row r="231" ht="15.75" customHeight="1">
      <c r="A231" s="227"/>
      <c r="B231" s="227"/>
      <c r="C231" s="227"/>
      <c r="D231" s="227"/>
      <c r="E231" s="227"/>
      <c r="F231" s="227"/>
      <c r="G231" s="227"/>
      <c r="H231" s="227"/>
      <c r="I231" s="227"/>
      <c r="J231" s="227"/>
      <c r="K231" s="227"/>
      <c r="L231" s="227"/>
      <c r="M231" s="227"/>
      <c r="N231" s="227"/>
      <c r="O231" s="227"/>
      <c r="P231" s="227"/>
      <c r="Q231" s="227"/>
      <c r="R231" s="227"/>
      <c r="S231" s="227"/>
      <c r="T231" s="227"/>
      <c r="U231" s="227"/>
      <c r="V231" s="227"/>
      <c r="W231" s="227"/>
      <c r="X231" s="227"/>
      <c r="Y231" s="227"/>
      <c r="Z231" s="227"/>
      <c r="AA231" s="227"/>
      <c r="AB231" s="227"/>
      <c r="AC231" s="227"/>
      <c r="AD231" s="227"/>
      <c r="AE231" s="227"/>
    </row>
    <row r="232" ht="15.75" customHeight="1">
      <c r="A232" s="227"/>
      <c r="B232" s="227"/>
      <c r="C232" s="227"/>
      <c r="D232" s="227"/>
      <c r="E232" s="227"/>
      <c r="F232" s="227"/>
      <c r="G232" s="227"/>
      <c r="H232" s="227"/>
      <c r="I232" s="227"/>
      <c r="J232" s="227"/>
      <c r="K232" s="227"/>
      <c r="L232" s="227"/>
      <c r="M232" s="227"/>
      <c r="N232" s="227"/>
      <c r="O232" s="227"/>
      <c r="P232" s="227"/>
      <c r="Q232" s="227"/>
      <c r="R232" s="227"/>
      <c r="S232" s="227"/>
      <c r="T232" s="227"/>
      <c r="U232" s="227"/>
      <c r="V232" s="227"/>
      <c r="W232" s="227"/>
      <c r="X232" s="227"/>
      <c r="Y232" s="227"/>
      <c r="Z232" s="227"/>
      <c r="AA232" s="227"/>
      <c r="AB232" s="227"/>
      <c r="AC232" s="227"/>
      <c r="AD232" s="227"/>
      <c r="AE232" s="227"/>
    </row>
    <row r="233" ht="15.75" customHeight="1">
      <c r="A233" s="227"/>
      <c r="B233" s="227"/>
      <c r="C233" s="227"/>
      <c r="D233" s="227"/>
      <c r="E233" s="227"/>
      <c r="F233" s="227"/>
      <c r="G233" s="227"/>
      <c r="H233" s="227"/>
      <c r="I233" s="227"/>
      <c r="J233" s="227"/>
      <c r="K233" s="227"/>
      <c r="L233" s="227"/>
      <c r="M233" s="227"/>
      <c r="N233" s="227"/>
      <c r="O233" s="227"/>
      <c r="P233" s="227"/>
      <c r="Q233" s="227"/>
      <c r="R233" s="227"/>
      <c r="S233" s="227"/>
      <c r="T233" s="227"/>
      <c r="U233" s="227"/>
      <c r="V233" s="227"/>
      <c r="W233" s="227"/>
      <c r="X233" s="227"/>
      <c r="Y233" s="227"/>
      <c r="Z233" s="227"/>
      <c r="AA233" s="227"/>
      <c r="AB233" s="227"/>
      <c r="AC233" s="227"/>
      <c r="AD233" s="227"/>
      <c r="AE233" s="227"/>
    </row>
    <row r="234" ht="15.75" customHeight="1">
      <c r="A234" s="227"/>
      <c r="B234" s="227"/>
      <c r="C234" s="227"/>
      <c r="D234" s="227"/>
      <c r="E234" s="227"/>
      <c r="F234" s="227"/>
      <c r="G234" s="227"/>
      <c r="H234" s="227"/>
      <c r="I234" s="227"/>
      <c r="J234" s="227"/>
      <c r="K234" s="227"/>
      <c r="L234" s="227"/>
      <c r="M234" s="227"/>
      <c r="N234" s="227"/>
      <c r="O234" s="227"/>
      <c r="P234" s="227"/>
      <c r="Q234" s="227"/>
      <c r="R234" s="227"/>
      <c r="S234" s="227"/>
      <c r="T234" s="227"/>
      <c r="U234" s="227"/>
      <c r="V234" s="227"/>
      <c r="W234" s="227"/>
      <c r="X234" s="227"/>
      <c r="Y234" s="227"/>
      <c r="Z234" s="227"/>
      <c r="AA234" s="227"/>
      <c r="AB234" s="227"/>
      <c r="AC234" s="227"/>
      <c r="AD234" s="227"/>
      <c r="AE234" s="227"/>
    </row>
    <row r="235" ht="15.75" customHeight="1">
      <c r="A235" s="227"/>
      <c r="B235" s="227"/>
      <c r="C235" s="227"/>
      <c r="D235" s="227"/>
      <c r="E235" s="227"/>
      <c r="F235" s="227"/>
      <c r="G235" s="227"/>
      <c r="H235" s="227"/>
      <c r="I235" s="227"/>
      <c r="J235" s="227"/>
      <c r="K235" s="227"/>
      <c r="L235" s="227"/>
      <c r="M235" s="227"/>
      <c r="N235" s="227"/>
      <c r="O235" s="227"/>
      <c r="P235" s="227"/>
      <c r="Q235" s="227"/>
      <c r="R235" s="227"/>
      <c r="S235" s="227"/>
      <c r="T235" s="227"/>
      <c r="U235" s="227"/>
      <c r="V235" s="227"/>
      <c r="W235" s="227"/>
      <c r="X235" s="227"/>
      <c r="Y235" s="227"/>
      <c r="Z235" s="227"/>
      <c r="AA235" s="227"/>
      <c r="AB235" s="227"/>
      <c r="AC235" s="227"/>
      <c r="AD235" s="227"/>
      <c r="AE235" s="227"/>
    </row>
    <row r="236" ht="15.75" customHeight="1">
      <c r="A236" s="227"/>
      <c r="B236" s="227"/>
      <c r="C236" s="227"/>
      <c r="D236" s="227"/>
      <c r="E236" s="227"/>
      <c r="F236" s="227"/>
      <c r="G236" s="227"/>
      <c r="H236" s="227"/>
      <c r="I236" s="227"/>
      <c r="J236" s="227"/>
      <c r="K236" s="227"/>
      <c r="L236" s="227"/>
      <c r="M236" s="227"/>
      <c r="N236" s="227"/>
      <c r="O236" s="227"/>
      <c r="P236" s="227"/>
      <c r="Q236" s="227"/>
      <c r="R236" s="227"/>
      <c r="S236" s="227"/>
      <c r="T236" s="227"/>
      <c r="U236" s="227"/>
      <c r="V236" s="227"/>
      <c r="W236" s="227"/>
      <c r="X236" s="227"/>
      <c r="Y236" s="227"/>
      <c r="Z236" s="227"/>
      <c r="AA236" s="227"/>
      <c r="AB236" s="227"/>
      <c r="AC236" s="227"/>
      <c r="AD236" s="227"/>
      <c r="AE236" s="227"/>
    </row>
    <row r="237" ht="15.75" customHeight="1">
      <c r="A237" s="227"/>
      <c r="B237" s="227"/>
      <c r="C237" s="227"/>
      <c r="D237" s="227"/>
      <c r="E237" s="227"/>
      <c r="F237" s="227"/>
      <c r="G237" s="227"/>
      <c r="H237" s="227"/>
      <c r="I237" s="227"/>
      <c r="J237" s="227"/>
      <c r="K237" s="227"/>
      <c r="L237" s="227"/>
      <c r="M237" s="227"/>
      <c r="N237" s="227"/>
      <c r="O237" s="227"/>
      <c r="P237" s="227"/>
      <c r="Q237" s="227"/>
      <c r="R237" s="227"/>
      <c r="S237" s="227"/>
      <c r="T237" s="227"/>
      <c r="U237" s="227"/>
      <c r="V237" s="227"/>
      <c r="W237" s="227"/>
      <c r="X237" s="227"/>
      <c r="Y237" s="227"/>
      <c r="Z237" s="227"/>
      <c r="AA237" s="227"/>
      <c r="AB237" s="227"/>
      <c r="AC237" s="227"/>
      <c r="AD237" s="227"/>
      <c r="AE237" s="227"/>
    </row>
    <row r="238" ht="15.75" customHeight="1">
      <c r="A238" s="227"/>
      <c r="B238" s="227"/>
      <c r="C238" s="227"/>
      <c r="D238" s="227"/>
      <c r="E238" s="227"/>
      <c r="F238" s="227"/>
      <c r="G238" s="227"/>
      <c r="H238" s="227"/>
      <c r="I238" s="227"/>
      <c r="J238" s="227"/>
      <c r="K238" s="227"/>
      <c r="L238" s="227"/>
      <c r="M238" s="227"/>
      <c r="N238" s="227"/>
      <c r="O238" s="227"/>
      <c r="P238" s="227"/>
      <c r="Q238" s="227"/>
      <c r="R238" s="227"/>
      <c r="S238" s="227"/>
      <c r="T238" s="227"/>
      <c r="U238" s="227"/>
      <c r="V238" s="227"/>
      <c r="W238" s="227"/>
      <c r="X238" s="227"/>
      <c r="Y238" s="227"/>
      <c r="Z238" s="227"/>
      <c r="AA238" s="227"/>
      <c r="AB238" s="227"/>
      <c r="AC238" s="227"/>
      <c r="AD238" s="227"/>
      <c r="AE238" s="227"/>
    </row>
    <row r="239" ht="15.75" customHeight="1">
      <c r="A239" s="227"/>
      <c r="B239" s="227"/>
      <c r="C239" s="227"/>
      <c r="D239" s="227"/>
      <c r="E239" s="227"/>
      <c r="F239" s="227"/>
      <c r="G239" s="227"/>
      <c r="H239" s="227"/>
      <c r="I239" s="227"/>
      <c r="J239" s="227"/>
      <c r="K239" s="227"/>
      <c r="L239" s="227"/>
      <c r="M239" s="227"/>
      <c r="N239" s="227"/>
      <c r="O239" s="227"/>
      <c r="P239" s="227"/>
      <c r="Q239" s="227"/>
      <c r="R239" s="227"/>
      <c r="S239" s="227"/>
      <c r="T239" s="227"/>
      <c r="U239" s="227"/>
      <c r="V239" s="227"/>
      <c r="W239" s="227"/>
      <c r="X239" s="227"/>
      <c r="Y239" s="227"/>
      <c r="Z239" s="227"/>
      <c r="AA239" s="227"/>
      <c r="AB239" s="227"/>
      <c r="AC239" s="227"/>
      <c r="AD239" s="227"/>
      <c r="AE239" s="227"/>
    </row>
    <row r="240" ht="15.75" customHeight="1">
      <c r="A240" s="227"/>
      <c r="B240" s="227"/>
      <c r="C240" s="227"/>
      <c r="D240" s="227"/>
      <c r="E240" s="227"/>
      <c r="F240" s="227"/>
      <c r="G240" s="227"/>
      <c r="H240" s="227"/>
      <c r="I240" s="227"/>
      <c r="J240" s="227"/>
      <c r="K240" s="227"/>
      <c r="L240" s="227"/>
      <c r="M240" s="227"/>
      <c r="N240" s="227"/>
      <c r="O240" s="227"/>
      <c r="P240" s="227"/>
      <c r="Q240" s="227"/>
      <c r="R240" s="227"/>
      <c r="S240" s="227"/>
      <c r="T240" s="227"/>
      <c r="U240" s="227"/>
      <c r="V240" s="227"/>
      <c r="W240" s="227"/>
      <c r="X240" s="227"/>
      <c r="Y240" s="227"/>
      <c r="Z240" s="227"/>
      <c r="AA240" s="227"/>
      <c r="AB240" s="227"/>
      <c r="AC240" s="227"/>
      <c r="AD240" s="227"/>
      <c r="AE240" s="227"/>
    </row>
    <row r="241" ht="15.75" customHeight="1">
      <c r="A241" s="227"/>
      <c r="B241" s="227"/>
      <c r="C241" s="227"/>
      <c r="D241" s="227"/>
      <c r="E241" s="227"/>
      <c r="F241" s="227"/>
      <c r="G241" s="227"/>
      <c r="H241" s="227"/>
      <c r="I241" s="227"/>
      <c r="J241" s="227"/>
      <c r="K241" s="227"/>
      <c r="L241" s="227"/>
      <c r="M241" s="227"/>
      <c r="N241" s="227"/>
      <c r="O241" s="227"/>
      <c r="P241" s="227"/>
      <c r="Q241" s="227"/>
      <c r="R241" s="227"/>
      <c r="S241" s="227"/>
      <c r="T241" s="227"/>
      <c r="U241" s="227"/>
      <c r="V241" s="227"/>
      <c r="W241" s="227"/>
      <c r="X241" s="227"/>
      <c r="Y241" s="227"/>
      <c r="Z241" s="227"/>
      <c r="AA241" s="227"/>
      <c r="AB241" s="227"/>
      <c r="AC241" s="227"/>
      <c r="AD241" s="227"/>
      <c r="AE241" s="227"/>
    </row>
    <row r="242" ht="15.75" customHeight="1">
      <c r="A242" s="227"/>
      <c r="B242" s="227"/>
      <c r="C242" s="227"/>
      <c r="D242" s="227"/>
      <c r="E242" s="227"/>
      <c r="F242" s="227"/>
      <c r="G242" s="227"/>
      <c r="H242" s="227"/>
      <c r="I242" s="227"/>
      <c r="J242" s="227"/>
      <c r="K242" s="227"/>
      <c r="L242" s="227"/>
      <c r="M242" s="227"/>
      <c r="N242" s="227"/>
      <c r="O242" s="227"/>
      <c r="P242" s="227"/>
      <c r="Q242" s="227"/>
      <c r="R242" s="227"/>
      <c r="S242" s="227"/>
      <c r="T242" s="227"/>
      <c r="U242" s="227"/>
      <c r="V242" s="227"/>
      <c r="W242" s="227"/>
      <c r="X242" s="227"/>
      <c r="Y242" s="227"/>
      <c r="Z242" s="227"/>
      <c r="AA242" s="227"/>
      <c r="AB242" s="227"/>
      <c r="AC242" s="227"/>
      <c r="AD242" s="227"/>
      <c r="AE242" s="227"/>
    </row>
    <row r="243" ht="15.75" customHeight="1">
      <c r="A243" s="227"/>
      <c r="B243" s="227"/>
      <c r="C243" s="227"/>
      <c r="D243" s="227"/>
      <c r="E243" s="227"/>
      <c r="F243" s="227"/>
      <c r="G243" s="227"/>
      <c r="H243" s="227"/>
      <c r="I243" s="227"/>
      <c r="J243" s="227"/>
      <c r="K243" s="227"/>
      <c r="L243" s="227"/>
      <c r="M243" s="227"/>
      <c r="N243" s="227"/>
      <c r="O243" s="227"/>
      <c r="P243" s="227"/>
      <c r="Q243" s="227"/>
      <c r="R243" s="227"/>
      <c r="S243" s="227"/>
      <c r="T243" s="227"/>
      <c r="U243" s="227"/>
      <c r="V243" s="227"/>
      <c r="W243" s="227"/>
      <c r="X243" s="227"/>
      <c r="Y243" s="227"/>
      <c r="Z243" s="227"/>
      <c r="AA243" s="227"/>
      <c r="AB243" s="227"/>
      <c r="AC243" s="227"/>
      <c r="AD243" s="227"/>
      <c r="AE243" s="227"/>
    </row>
    <row r="244" ht="15.75" customHeight="1">
      <c r="A244" s="227"/>
      <c r="B244" s="227"/>
      <c r="C244" s="227"/>
      <c r="D244" s="227"/>
      <c r="E244" s="227"/>
      <c r="F244" s="227"/>
      <c r="G244" s="227"/>
      <c r="H244" s="227"/>
      <c r="I244" s="227"/>
      <c r="J244" s="227"/>
      <c r="K244" s="227"/>
      <c r="L244" s="227"/>
      <c r="M244" s="227"/>
      <c r="N244" s="227"/>
      <c r="O244" s="227"/>
      <c r="P244" s="227"/>
      <c r="Q244" s="227"/>
      <c r="R244" s="227"/>
      <c r="S244" s="227"/>
      <c r="T244" s="227"/>
      <c r="U244" s="227"/>
      <c r="V244" s="227"/>
      <c r="W244" s="227"/>
      <c r="X244" s="227"/>
      <c r="Y244" s="227"/>
      <c r="Z244" s="227"/>
      <c r="AA244" s="227"/>
      <c r="AB244" s="227"/>
      <c r="AC244" s="227"/>
      <c r="AD244" s="227"/>
      <c r="AE244" s="227"/>
    </row>
    <row r="245" ht="15.75" customHeight="1">
      <c r="A245" s="227"/>
      <c r="B245" s="227"/>
      <c r="C245" s="227"/>
      <c r="D245" s="227"/>
      <c r="E245" s="227"/>
      <c r="F245" s="227"/>
      <c r="G245" s="227"/>
      <c r="H245" s="227"/>
      <c r="I245" s="227"/>
      <c r="J245" s="227"/>
      <c r="K245" s="227"/>
      <c r="L245" s="227"/>
      <c r="M245" s="227"/>
      <c r="N245" s="227"/>
      <c r="O245" s="227"/>
      <c r="P245" s="227"/>
      <c r="Q245" s="227"/>
      <c r="R245" s="227"/>
      <c r="S245" s="227"/>
      <c r="T245" s="227"/>
      <c r="U245" s="227"/>
      <c r="V245" s="227"/>
      <c r="W245" s="227"/>
      <c r="X245" s="227"/>
      <c r="Y245" s="227"/>
      <c r="Z245" s="227"/>
      <c r="AA245" s="227"/>
      <c r="AB245" s="227"/>
      <c r="AC245" s="227"/>
      <c r="AD245" s="227"/>
      <c r="AE245" s="227"/>
    </row>
    <row r="246" ht="15.75" customHeight="1">
      <c r="A246" s="227"/>
      <c r="B246" s="227"/>
      <c r="C246" s="227"/>
      <c r="D246" s="227"/>
      <c r="E246" s="227"/>
      <c r="F246" s="227"/>
      <c r="G246" s="227"/>
      <c r="H246" s="227"/>
      <c r="I246" s="227"/>
      <c r="J246" s="227"/>
      <c r="K246" s="227"/>
      <c r="L246" s="227"/>
      <c r="M246" s="227"/>
      <c r="N246" s="227"/>
      <c r="O246" s="227"/>
      <c r="P246" s="227"/>
      <c r="Q246" s="227"/>
      <c r="R246" s="227"/>
      <c r="S246" s="227"/>
      <c r="T246" s="227"/>
      <c r="U246" s="227"/>
      <c r="V246" s="227"/>
      <c r="W246" s="227"/>
      <c r="X246" s="227"/>
      <c r="Y246" s="227"/>
      <c r="Z246" s="227"/>
      <c r="AA246" s="227"/>
      <c r="AB246" s="227"/>
      <c r="AC246" s="227"/>
      <c r="AD246" s="227"/>
      <c r="AE246" s="227"/>
    </row>
    <row r="247" ht="15.75" customHeight="1">
      <c r="A247" s="227"/>
      <c r="B247" s="227"/>
      <c r="C247" s="227"/>
      <c r="D247" s="227"/>
      <c r="E247" s="227"/>
      <c r="F247" s="227"/>
      <c r="G247" s="227"/>
      <c r="H247" s="227"/>
      <c r="I247" s="227"/>
      <c r="J247" s="227"/>
      <c r="K247" s="227"/>
      <c r="L247" s="227"/>
      <c r="M247" s="227"/>
      <c r="N247" s="227"/>
      <c r="O247" s="227"/>
      <c r="P247" s="227"/>
      <c r="Q247" s="227"/>
      <c r="R247" s="227"/>
      <c r="S247" s="227"/>
      <c r="T247" s="227"/>
      <c r="U247" s="227"/>
      <c r="V247" s="227"/>
      <c r="W247" s="227"/>
      <c r="X247" s="227"/>
      <c r="Y247" s="227"/>
      <c r="Z247" s="227"/>
      <c r="AA247" s="227"/>
      <c r="AB247" s="227"/>
      <c r="AC247" s="227"/>
      <c r="AD247" s="227"/>
      <c r="AE247" s="227"/>
    </row>
    <row r="248" ht="15.75" customHeight="1">
      <c r="A248" s="227"/>
      <c r="B248" s="227"/>
      <c r="C248" s="227"/>
      <c r="D248" s="227"/>
      <c r="E248" s="227"/>
      <c r="F248" s="227"/>
      <c r="G248" s="227"/>
      <c r="H248" s="227"/>
      <c r="I248" s="227"/>
      <c r="J248" s="227"/>
      <c r="K248" s="227"/>
      <c r="L248" s="227"/>
      <c r="M248" s="227"/>
      <c r="N248" s="227"/>
      <c r="O248" s="227"/>
      <c r="P248" s="227"/>
      <c r="Q248" s="227"/>
      <c r="R248" s="227"/>
      <c r="S248" s="227"/>
      <c r="T248" s="227"/>
      <c r="U248" s="227"/>
      <c r="V248" s="227"/>
      <c r="W248" s="227"/>
      <c r="X248" s="227"/>
      <c r="Y248" s="227"/>
      <c r="Z248" s="227"/>
      <c r="AA248" s="227"/>
      <c r="AB248" s="227"/>
      <c r="AC248" s="227"/>
      <c r="AD248" s="227"/>
      <c r="AE248" s="227"/>
    </row>
    <row r="249" ht="15.75" customHeight="1">
      <c r="A249" s="227"/>
      <c r="B249" s="227"/>
      <c r="C249" s="227"/>
      <c r="D249" s="227"/>
      <c r="E249" s="227"/>
      <c r="F249" s="227"/>
      <c r="G249" s="227"/>
      <c r="H249" s="227"/>
      <c r="I249" s="227"/>
      <c r="J249" s="227"/>
      <c r="K249" s="227"/>
      <c r="L249" s="227"/>
      <c r="M249" s="227"/>
      <c r="N249" s="227"/>
      <c r="O249" s="227"/>
      <c r="P249" s="227"/>
      <c r="Q249" s="227"/>
      <c r="R249" s="227"/>
      <c r="S249" s="227"/>
      <c r="T249" s="227"/>
      <c r="U249" s="227"/>
      <c r="V249" s="227"/>
      <c r="W249" s="227"/>
      <c r="X249" s="227"/>
      <c r="Y249" s="227"/>
      <c r="Z249" s="227"/>
      <c r="AA249" s="227"/>
      <c r="AB249" s="227"/>
      <c r="AC249" s="227"/>
      <c r="AD249" s="227"/>
      <c r="AE249" s="227"/>
    </row>
    <row r="250" ht="15.75" customHeight="1">
      <c r="A250" s="227"/>
      <c r="B250" s="227"/>
      <c r="C250" s="227"/>
      <c r="D250" s="227"/>
      <c r="E250" s="227"/>
      <c r="F250" s="227"/>
      <c r="G250" s="227"/>
      <c r="H250" s="227"/>
      <c r="I250" s="227"/>
      <c r="J250" s="227"/>
      <c r="K250" s="227"/>
      <c r="L250" s="227"/>
      <c r="M250" s="227"/>
      <c r="N250" s="227"/>
      <c r="O250" s="227"/>
      <c r="P250" s="227"/>
      <c r="Q250" s="227"/>
      <c r="R250" s="227"/>
      <c r="S250" s="227"/>
      <c r="T250" s="227"/>
      <c r="U250" s="227"/>
      <c r="V250" s="227"/>
      <c r="W250" s="227"/>
      <c r="X250" s="227"/>
      <c r="Y250" s="227"/>
      <c r="Z250" s="227"/>
      <c r="AA250" s="227"/>
      <c r="AB250" s="227"/>
      <c r="AC250" s="227"/>
      <c r="AD250" s="227"/>
      <c r="AE250" s="227"/>
    </row>
    <row r="251" ht="15.75" customHeight="1">
      <c r="A251" s="227"/>
      <c r="B251" s="227"/>
      <c r="C251" s="227"/>
      <c r="D251" s="227"/>
      <c r="E251" s="227"/>
      <c r="F251" s="227"/>
      <c r="G251" s="227"/>
      <c r="H251" s="227"/>
      <c r="I251" s="227"/>
      <c r="J251" s="227"/>
      <c r="K251" s="227"/>
      <c r="L251" s="227"/>
      <c r="M251" s="227"/>
      <c r="N251" s="227"/>
      <c r="O251" s="227"/>
      <c r="P251" s="227"/>
      <c r="Q251" s="227"/>
      <c r="R251" s="227"/>
      <c r="S251" s="227"/>
      <c r="T251" s="227"/>
      <c r="U251" s="227"/>
      <c r="V251" s="227"/>
      <c r="W251" s="227"/>
      <c r="X251" s="227"/>
      <c r="Y251" s="227"/>
      <c r="Z251" s="227"/>
      <c r="AA251" s="227"/>
      <c r="AB251" s="227"/>
      <c r="AC251" s="227"/>
      <c r="AD251" s="227"/>
      <c r="AE251" s="227"/>
    </row>
    <row r="252" ht="15.75" customHeight="1">
      <c r="A252" s="227"/>
      <c r="B252" s="227"/>
      <c r="C252" s="227"/>
      <c r="D252" s="227"/>
      <c r="E252" s="227"/>
      <c r="F252" s="227"/>
      <c r="G252" s="227"/>
      <c r="H252" s="227"/>
      <c r="I252" s="227"/>
      <c r="J252" s="227"/>
      <c r="K252" s="227"/>
      <c r="L252" s="227"/>
      <c r="M252" s="227"/>
      <c r="N252" s="227"/>
      <c r="O252" s="227"/>
      <c r="P252" s="227"/>
      <c r="Q252" s="227"/>
      <c r="R252" s="227"/>
      <c r="S252" s="227"/>
      <c r="T252" s="227"/>
      <c r="U252" s="227"/>
      <c r="V252" s="227"/>
      <c r="W252" s="227"/>
      <c r="X252" s="227"/>
      <c r="Y252" s="227"/>
      <c r="Z252" s="227"/>
      <c r="AA252" s="227"/>
      <c r="AB252" s="227"/>
      <c r="AC252" s="227"/>
      <c r="AD252" s="227"/>
      <c r="AE252" s="227"/>
    </row>
    <row r="253" ht="15.75" customHeight="1">
      <c r="A253" s="227"/>
      <c r="B253" s="227"/>
      <c r="C253" s="227"/>
      <c r="D253" s="227"/>
      <c r="E253" s="227"/>
      <c r="F253" s="227"/>
      <c r="G253" s="227"/>
      <c r="H253" s="227"/>
      <c r="I253" s="227"/>
      <c r="J253" s="227"/>
      <c r="K253" s="227"/>
      <c r="L253" s="227"/>
      <c r="M253" s="227"/>
      <c r="N253" s="227"/>
      <c r="O253" s="227"/>
      <c r="P253" s="227"/>
      <c r="Q253" s="227"/>
      <c r="R253" s="227"/>
      <c r="S253" s="227"/>
      <c r="T253" s="227"/>
      <c r="U253" s="227"/>
      <c r="V253" s="227"/>
      <c r="W253" s="227"/>
      <c r="X253" s="227"/>
      <c r="Y253" s="227"/>
      <c r="Z253" s="227"/>
      <c r="AA253" s="227"/>
      <c r="AB253" s="227"/>
      <c r="AC253" s="227"/>
      <c r="AD253" s="227"/>
      <c r="AE253" s="227"/>
    </row>
    <row r="254" ht="15.75" customHeight="1">
      <c r="A254" s="227"/>
      <c r="B254" s="227"/>
      <c r="C254" s="227"/>
      <c r="D254" s="227"/>
      <c r="E254" s="227"/>
      <c r="F254" s="227"/>
      <c r="G254" s="227"/>
      <c r="H254" s="227"/>
      <c r="I254" s="227"/>
      <c r="J254" s="227"/>
      <c r="K254" s="227"/>
      <c r="L254" s="227"/>
      <c r="M254" s="227"/>
      <c r="N254" s="227"/>
      <c r="O254" s="227"/>
      <c r="P254" s="227"/>
      <c r="Q254" s="227"/>
      <c r="R254" s="227"/>
      <c r="S254" s="227"/>
      <c r="T254" s="227"/>
      <c r="U254" s="227"/>
      <c r="V254" s="227"/>
      <c r="W254" s="227"/>
      <c r="X254" s="227"/>
      <c r="Y254" s="227"/>
      <c r="Z254" s="227"/>
      <c r="AA254" s="227"/>
      <c r="AB254" s="227"/>
      <c r="AC254" s="227"/>
      <c r="AD254" s="227"/>
      <c r="AE254" s="227"/>
    </row>
    <row r="255" ht="15.75" customHeight="1">
      <c r="A255" s="227"/>
      <c r="B255" s="227"/>
      <c r="C255" s="227"/>
      <c r="D255" s="227"/>
      <c r="E255" s="227"/>
      <c r="F255" s="227"/>
      <c r="G255" s="227"/>
      <c r="H255" s="227"/>
      <c r="I255" s="227"/>
      <c r="J255" s="227"/>
      <c r="K255" s="227"/>
      <c r="L255" s="227"/>
      <c r="M255" s="227"/>
      <c r="N255" s="227"/>
      <c r="O255" s="227"/>
      <c r="P255" s="227"/>
      <c r="Q255" s="227"/>
      <c r="R255" s="227"/>
      <c r="S255" s="227"/>
      <c r="T255" s="227"/>
      <c r="U255" s="227"/>
      <c r="V255" s="227"/>
      <c r="W255" s="227"/>
      <c r="X255" s="227"/>
      <c r="Y255" s="227"/>
      <c r="Z255" s="227"/>
      <c r="AA255" s="227"/>
      <c r="AB255" s="227"/>
      <c r="AC255" s="227"/>
      <c r="AD255" s="227"/>
      <c r="AE255" s="227"/>
    </row>
    <row r="256" ht="15.75" customHeight="1">
      <c r="A256" s="227"/>
      <c r="B256" s="227"/>
      <c r="C256" s="227"/>
      <c r="D256" s="227"/>
      <c r="E256" s="227"/>
      <c r="F256" s="227"/>
      <c r="G256" s="227"/>
      <c r="H256" s="227"/>
      <c r="I256" s="227"/>
      <c r="J256" s="227"/>
      <c r="K256" s="227"/>
      <c r="L256" s="227"/>
      <c r="M256" s="227"/>
      <c r="N256" s="227"/>
      <c r="O256" s="227"/>
      <c r="P256" s="227"/>
      <c r="Q256" s="227"/>
      <c r="R256" s="227"/>
      <c r="S256" s="227"/>
      <c r="T256" s="227"/>
      <c r="U256" s="227"/>
      <c r="V256" s="227"/>
      <c r="W256" s="227"/>
      <c r="X256" s="227"/>
      <c r="Y256" s="227"/>
      <c r="Z256" s="227"/>
      <c r="AA256" s="227"/>
      <c r="AB256" s="227"/>
      <c r="AC256" s="227"/>
      <c r="AD256" s="227"/>
      <c r="AE256" s="227"/>
    </row>
    <row r="257" ht="15.75" customHeight="1">
      <c r="A257" s="227"/>
      <c r="B257" s="227"/>
      <c r="C257" s="227"/>
      <c r="D257" s="227"/>
      <c r="E257" s="227"/>
      <c r="F257" s="227"/>
      <c r="G257" s="227"/>
      <c r="H257" s="227"/>
      <c r="I257" s="227"/>
      <c r="J257" s="227"/>
      <c r="K257" s="227"/>
      <c r="L257" s="227"/>
      <c r="M257" s="227"/>
      <c r="N257" s="227"/>
      <c r="O257" s="227"/>
      <c r="P257" s="227"/>
      <c r="Q257" s="227"/>
      <c r="R257" s="227"/>
      <c r="S257" s="227"/>
      <c r="T257" s="227"/>
      <c r="U257" s="227"/>
      <c r="V257" s="227"/>
      <c r="W257" s="227"/>
      <c r="X257" s="227"/>
      <c r="Y257" s="227"/>
      <c r="Z257" s="227"/>
      <c r="AA257" s="227"/>
      <c r="AB257" s="227"/>
      <c r="AC257" s="227"/>
      <c r="AD257" s="227"/>
      <c r="AE257" s="227"/>
    </row>
    <row r="258" ht="15.75" customHeight="1">
      <c r="A258" s="227"/>
      <c r="B258" s="227"/>
      <c r="C258" s="227"/>
      <c r="D258" s="227"/>
      <c r="E258" s="227"/>
      <c r="F258" s="227"/>
      <c r="G258" s="227"/>
      <c r="H258" s="227"/>
      <c r="I258" s="227"/>
      <c r="J258" s="227"/>
      <c r="K258" s="227"/>
      <c r="L258" s="227"/>
      <c r="M258" s="227"/>
      <c r="N258" s="227"/>
      <c r="O258" s="227"/>
      <c r="P258" s="227"/>
      <c r="Q258" s="227"/>
      <c r="R258" s="227"/>
      <c r="S258" s="227"/>
      <c r="T258" s="227"/>
      <c r="U258" s="227"/>
      <c r="V258" s="227"/>
      <c r="W258" s="227"/>
      <c r="X258" s="227"/>
      <c r="Y258" s="227"/>
      <c r="Z258" s="227"/>
      <c r="AA258" s="227"/>
      <c r="AB258" s="227"/>
      <c r="AC258" s="227"/>
      <c r="AD258" s="227"/>
      <c r="AE258" s="227"/>
    </row>
    <row r="259" ht="15.75" customHeight="1">
      <c r="A259" s="227"/>
      <c r="B259" s="227"/>
      <c r="C259" s="227"/>
      <c r="D259" s="227"/>
      <c r="E259" s="227"/>
      <c r="F259" s="227"/>
      <c r="G259" s="227"/>
      <c r="H259" s="227"/>
      <c r="I259" s="227"/>
      <c r="J259" s="227"/>
      <c r="K259" s="227"/>
      <c r="L259" s="227"/>
      <c r="M259" s="227"/>
      <c r="N259" s="227"/>
      <c r="O259" s="227"/>
      <c r="P259" s="227"/>
      <c r="Q259" s="227"/>
      <c r="R259" s="227"/>
      <c r="S259" s="227"/>
      <c r="T259" s="227"/>
      <c r="U259" s="227"/>
      <c r="V259" s="227"/>
      <c r="W259" s="227"/>
      <c r="X259" s="227"/>
      <c r="Y259" s="227"/>
      <c r="Z259" s="227"/>
      <c r="AA259" s="227"/>
      <c r="AB259" s="227"/>
      <c r="AC259" s="227"/>
      <c r="AD259" s="227"/>
      <c r="AE259" s="227"/>
    </row>
    <row r="260" ht="15.75" customHeight="1">
      <c r="A260" s="227"/>
      <c r="B260" s="227"/>
      <c r="C260" s="227"/>
      <c r="D260" s="227"/>
      <c r="E260" s="227"/>
      <c r="F260" s="227"/>
      <c r="G260" s="227"/>
      <c r="H260" s="227"/>
      <c r="I260" s="227"/>
      <c r="J260" s="227"/>
      <c r="K260" s="227"/>
      <c r="L260" s="227"/>
      <c r="M260" s="227"/>
      <c r="N260" s="227"/>
      <c r="O260" s="227"/>
      <c r="P260" s="227"/>
      <c r="Q260" s="227"/>
      <c r="R260" s="227"/>
      <c r="S260" s="227"/>
      <c r="T260" s="227"/>
      <c r="U260" s="227"/>
      <c r="V260" s="227"/>
      <c r="W260" s="227"/>
      <c r="X260" s="227"/>
      <c r="Y260" s="227"/>
      <c r="Z260" s="227"/>
      <c r="AA260" s="227"/>
      <c r="AB260" s="227"/>
      <c r="AC260" s="227"/>
      <c r="AD260" s="227"/>
      <c r="AE260" s="227"/>
    </row>
    <row r="261" ht="15.75" customHeight="1">
      <c r="A261" s="227"/>
      <c r="B261" s="227"/>
      <c r="C261" s="227"/>
      <c r="D261" s="227"/>
      <c r="E261" s="227"/>
      <c r="F261" s="227"/>
      <c r="G261" s="227"/>
      <c r="H261" s="227"/>
      <c r="I261" s="227"/>
      <c r="J261" s="227"/>
      <c r="K261" s="227"/>
      <c r="L261" s="227"/>
      <c r="M261" s="227"/>
      <c r="N261" s="227"/>
      <c r="O261" s="227"/>
      <c r="P261" s="227"/>
      <c r="Q261" s="227"/>
      <c r="R261" s="227"/>
      <c r="S261" s="227"/>
      <c r="T261" s="227"/>
      <c r="U261" s="227"/>
      <c r="V261" s="227"/>
      <c r="W261" s="227"/>
      <c r="X261" s="227"/>
      <c r="Y261" s="227"/>
      <c r="Z261" s="227"/>
      <c r="AA261" s="227"/>
      <c r="AB261" s="227"/>
      <c r="AC261" s="227"/>
      <c r="AD261" s="227"/>
      <c r="AE261" s="227"/>
    </row>
    <row r="262" ht="15.75" customHeight="1">
      <c r="A262" s="227"/>
      <c r="B262" s="227"/>
      <c r="C262" s="227"/>
      <c r="D262" s="227"/>
      <c r="E262" s="227"/>
      <c r="F262" s="227"/>
      <c r="G262" s="227"/>
      <c r="H262" s="227"/>
      <c r="I262" s="227"/>
      <c r="J262" s="227"/>
      <c r="K262" s="227"/>
      <c r="L262" s="227"/>
      <c r="M262" s="227"/>
      <c r="N262" s="227"/>
      <c r="O262" s="227"/>
      <c r="P262" s="227"/>
      <c r="Q262" s="227"/>
      <c r="R262" s="227"/>
      <c r="S262" s="227"/>
      <c r="T262" s="227"/>
      <c r="U262" s="227"/>
      <c r="V262" s="227"/>
      <c r="W262" s="227"/>
      <c r="X262" s="227"/>
      <c r="Y262" s="227"/>
      <c r="Z262" s="227"/>
      <c r="AA262" s="227"/>
      <c r="AB262" s="227"/>
      <c r="AC262" s="227"/>
      <c r="AD262" s="227"/>
      <c r="AE262" s="227"/>
    </row>
    <row r="263" ht="15.75" customHeight="1">
      <c r="A263" s="227"/>
      <c r="B263" s="227"/>
      <c r="C263" s="227"/>
      <c r="D263" s="227"/>
      <c r="E263" s="227"/>
      <c r="F263" s="227"/>
      <c r="G263" s="227"/>
      <c r="H263" s="227"/>
      <c r="I263" s="227"/>
      <c r="J263" s="227"/>
      <c r="K263" s="227"/>
      <c r="L263" s="227"/>
      <c r="M263" s="227"/>
      <c r="N263" s="227"/>
      <c r="O263" s="227"/>
      <c r="P263" s="227"/>
      <c r="Q263" s="227"/>
      <c r="R263" s="227"/>
      <c r="S263" s="227"/>
      <c r="T263" s="227"/>
      <c r="U263" s="227"/>
      <c r="V263" s="227"/>
      <c r="W263" s="227"/>
      <c r="X263" s="227"/>
      <c r="Y263" s="227"/>
      <c r="Z263" s="227"/>
      <c r="AA263" s="227"/>
      <c r="AB263" s="227"/>
      <c r="AC263" s="227"/>
      <c r="AD263" s="227"/>
      <c r="AE263" s="227"/>
    </row>
    <row r="264" ht="15.75" customHeight="1">
      <c r="A264" s="227"/>
      <c r="B264" s="227"/>
      <c r="C264" s="227"/>
      <c r="D264" s="227"/>
      <c r="E264" s="227"/>
      <c r="F264" s="227"/>
      <c r="G264" s="227"/>
      <c r="H264" s="227"/>
      <c r="I264" s="227"/>
      <c r="J264" s="227"/>
      <c r="K264" s="227"/>
      <c r="L264" s="227"/>
      <c r="M264" s="227"/>
      <c r="N264" s="227"/>
      <c r="O264" s="227"/>
      <c r="P264" s="227"/>
      <c r="Q264" s="227"/>
      <c r="R264" s="227"/>
      <c r="S264" s="227"/>
      <c r="T264" s="227"/>
      <c r="U264" s="227"/>
      <c r="V264" s="227"/>
      <c r="W264" s="227"/>
      <c r="X264" s="227"/>
      <c r="Y264" s="227"/>
      <c r="Z264" s="227"/>
      <c r="AA264" s="227"/>
      <c r="AB264" s="227"/>
      <c r="AC264" s="227"/>
      <c r="AD264" s="227"/>
      <c r="AE264" s="227"/>
    </row>
    <row r="265" ht="15.75" customHeight="1">
      <c r="A265" s="227"/>
      <c r="B265" s="227"/>
      <c r="C265" s="227"/>
      <c r="D265" s="227"/>
      <c r="E265" s="227"/>
      <c r="F265" s="227"/>
      <c r="G265" s="227"/>
      <c r="H265" s="227"/>
      <c r="I265" s="227"/>
      <c r="J265" s="227"/>
      <c r="K265" s="227"/>
      <c r="L265" s="227"/>
      <c r="M265" s="227"/>
      <c r="N265" s="227"/>
      <c r="O265" s="227"/>
      <c r="P265" s="227"/>
      <c r="Q265" s="227"/>
      <c r="R265" s="227"/>
      <c r="S265" s="227"/>
      <c r="T265" s="227"/>
      <c r="U265" s="227"/>
      <c r="V265" s="227"/>
      <c r="W265" s="227"/>
      <c r="X265" s="227"/>
      <c r="Y265" s="227"/>
      <c r="Z265" s="227"/>
      <c r="AA265" s="227"/>
      <c r="AB265" s="227"/>
      <c r="AC265" s="227"/>
      <c r="AD265" s="227"/>
      <c r="AE265" s="227"/>
    </row>
    <row r="266" ht="15.75" customHeight="1">
      <c r="A266" s="227"/>
      <c r="B266" s="227"/>
      <c r="C266" s="227"/>
      <c r="D266" s="227"/>
      <c r="E266" s="227"/>
      <c r="F266" s="227"/>
      <c r="G266" s="227"/>
      <c r="H266" s="227"/>
      <c r="I266" s="227"/>
      <c r="J266" s="227"/>
      <c r="K266" s="227"/>
      <c r="L266" s="227"/>
      <c r="M266" s="227"/>
      <c r="N266" s="227"/>
      <c r="O266" s="227"/>
      <c r="P266" s="227"/>
      <c r="Q266" s="227"/>
      <c r="R266" s="227"/>
      <c r="S266" s="227"/>
      <c r="T266" s="227"/>
      <c r="U266" s="227"/>
      <c r="V266" s="227"/>
      <c r="W266" s="227"/>
      <c r="X266" s="227"/>
      <c r="Y266" s="227"/>
      <c r="Z266" s="227"/>
      <c r="AA266" s="227"/>
      <c r="AB266" s="227"/>
      <c r="AC266" s="227"/>
      <c r="AD266" s="227"/>
      <c r="AE266" s="227"/>
    </row>
    <row r="267" ht="15.75" customHeight="1">
      <c r="A267" s="227"/>
      <c r="B267" s="227"/>
      <c r="C267" s="227"/>
      <c r="D267" s="227"/>
      <c r="E267" s="227"/>
      <c r="F267" s="227"/>
      <c r="G267" s="227"/>
      <c r="H267" s="227"/>
      <c r="I267" s="227"/>
      <c r="J267" s="227"/>
      <c r="K267" s="227"/>
      <c r="L267" s="227"/>
      <c r="M267" s="227"/>
      <c r="N267" s="227"/>
      <c r="O267" s="227"/>
      <c r="P267" s="227"/>
      <c r="Q267" s="227"/>
      <c r="R267" s="227"/>
      <c r="S267" s="227"/>
      <c r="T267" s="227"/>
      <c r="U267" s="227"/>
      <c r="V267" s="227"/>
      <c r="W267" s="227"/>
      <c r="X267" s="227"/>
      <c r="Y267" s="227"/>
      <c r="Z267" s="227"/>
      <c r="AA267" s="227"/>
      <c r="AB267" s="227"/>
      <c r="AC267" s="227"/>
      <c r="AD267" s="227"/>
      <c r="AE267" s="227"/>
    </row>
    <row r="268" ht="15.75" customHeight="1">
      <c r="A268" s="227"/>
      <c r="B268" s="227"/>
      <c r="C268" s="227"/>
      <c r="D268" s="227"/>
      <c r="E268" s="227"/>
      <c r="F268" s="227"/>
      <c r="G268" s="227"/>
      <c r="H268" s="227"/>
      <c r="I268" s="227"/>
      <c r="J268" s="227"/>
      <c r="K268" s="227"/>
      <c r="L268" s="227"/>
      <c r="M268" s="227"/>
      <c r="N268" s="227"/>
      <c r="O268" s="227"/>
      <c r="P268" s="227"/>
      <c r="Q268" s="227"/>
      <c r="R268" s="227"/>
      <c r="S268" s="227"/>
      <c r="T268" s="227"/>
      <c r="U268" s="227"/>
      <c r="V268" s="227"/>
      <c r="W268" s="227"/>
      <c r="X268" s="227"/>
      <c r="Y268" s="227"/>
      <c r="Z268" s="227"/>
      <c r="AA268" s="227"/>
      <c r="AB268" s="227"/>
      <c r="AC268" s="227"/>
      <c r="AD268" s="227"/>
      <c r="AE268" s="227"/>
    </row>
    <row r="269" ht="15.75" customHeight="1">
      <c r="A269" s="227"/>
      <c r="B269" s="227"/>
      <c r="C269" s="227"/>
      <c r="D269" s="227"/>
      <c r="E269" s="227"/>
      <c r="F269" s="227"/>
      <c r="G269" s="227"/>
      <c r="H269" s="227"/>
      <c r="I269" s="227"/>
      <c r="J269" s="227"/>
      <c r="K269" s="227"/>
      <c r="L269" s="227"/>
      <c r="M269" s="227"/>
      <c r="N269" s="227"/>
      <c r="O269" s="227"/>
      <c r="P269" s="227"/>
      <c r="Q269" s="227"/>
      <c r="R269" s="227"/>
      <c r="S269" s="227"/>
      <c r="T269" s="227"/>
      <c r="U269" s="227"/>
      <c r="V269" s="227"/>
      <c r="W269" s="227"/>
      <c r="X269" s="227"/>
      <c r="Y269" s="227"/>
      <c r="Z269" s="227"/>
      <c r="AA269" s="227"/>
      <c r="AB269" s="227"/>
      <c r="AC269" s="227"/>
      <c r="AD269" s="227"/>
      <c r="AE269" s="227"/>
    </row>
    <row r="270" ht="15.75" customHeight="1">
      <c r="A270" s="227"/>
      <c r="B270" s="227"/>
      <c r="C270" s="227"/>
      <c r="D270" s="227"/>
      <c r="E270" s="227"/>
      <c r="F270" s="227"/>
      <c r="G270" s="227"/>
      <c r="H270" s="227"/>
      <c r="I270" s="227"/>
      <c r="J270" s="227"/>
      <c r="K270" s="227"/>
      <c r="L270" s="227"/>
      <c r="M270" s="227"/>
      <c r="N270" s="227"/>
      <c r="O270" s="227"/>
      <c r="P270" s="227"/>
      <c r="Q270" s="227"/>
      <c r="R270" s="227"/>
      <c r="S270" s="227"/>
      <c r="T270" s="227"/>
      <c r="U270" s="227"/>
      <c r="V270" s="227"/>
      <c r="W270" s="227"/>
      <c r="X270" s="227"/>
      <c r="Y270" s="227"/>
      <c r="Z270" s="227"/>
      <c r="AA270" s="227"/>
      <c r="AB270" s="227"/>
      <c r="AC270" s="227"/>
      <c r="AD270" s="227"/>
      <c r="AE270" s="227"/>
    </row>
    <row r="271" ht="15.75" customHeight="1">
      <c r="A271" s="227"/>
      <c r="B271" s="227"/>
      <c r="C271" s="227"/>
      <c r="D271" s="227"/>
      <c r="E271" s="227"/>
      <c r="F271" s="227"/>
      <c r="G271" s="227"/>
      <c r="H271" s="227"/>
      <c r="I271" s="227"/>
      <c r="J271" s="227"/>
      <c r="K271" s="227"/>
      <c r="L271" s="227"/>
      <c r="M271" s="227"/>
      <c r="N271" s="227"/>
      <c r="O271" s="227"/>
      <c r="P271" s="227"/>
      <c r="Q271" s="227"/>
      <c r="R271" s="227"/>
      <c r="S271" s="227"/>
      <c r="T271" s="227"/>
      <c r="U271" s="227"/>
      <c r="V271" s="227"/>
      <c r="W271" s="227"/>
      <c r="X271" s="227"/>
      <c r="Y271" s="227"/>
      <c r="Z271" s="227"/>
      <c r="AA271" s="227"/>
      <c r="AB271" s="227"/>
      <c r="AC271" s="227"/>
      <c r="AD271" s="227"/>
      <c r="AE271" s="227"/>
    </row>
    <row r="272" ht="15.75" customHeight="1">
      <c r="A272" s="227"/>
      <c r="B272" s="227"/>
      <c r="C272" s="227"/>
      <c r="D272" s="227"/>
      <c r="E272" s="227"/>
      <c r="F272" s="227"/>
      <c r="G272" s="227"/>
      <c r="H272" s="227"/>
      <c r="I272" s="227"/>
      <c r="J272" s="227"/>
      <c r="K272" s="227"/>
      <c r="L272" s="227"/>
      <c r="M272" s="227"/>
      <c r="N272" s="227"/>
      <c r="O272" s="227"/>
      <c r="P272" s="227"/>
      <c r="Q272" s="227"/>
      <c r="R272" s="227"/>
      <c r="S272" s="227"/>
      <c r="T272" s="227"/>
      <c r="U272" s="227"/>
      <c r="V272" s="227"/>
      <c r="W272" s="227"/>
      <c r="X272" s="227"/>
      <c r="Y272" s="227"/>
      <c r="Z272" s="227"/>
      <c r="AA272" s="227"/>
      <c r="AB272" s="227"/>
      <c r="AC272" s="227"/>
      <c r="AD272" s="227"/>
      <c r="AE272" s="227"/>
    </row>
    <row r="273" ht="15.75" customHeight="1">
      <c r="A273" s="227"/>
      <c r="B273" s="227"/>
      <c r="C273" s="227"/>
      <c r="D273" s="227"/>
      <c r="E273" s="227"/>
      <c r="F273" s="227"/>
      <c r="G273" s="227"/>
      <c r="H273" s="227"/>
      <c r="I273" s="227"/>
      <c r="J273" s="227"/>
      <c r="K273" s="227"/>
      <c r="L273" s="227"/>
      <c r="M273" s="227"/>
      <c r="N273" s="227"/>
      <c r="O273" s="227"/>
      <c r="P273" s="227"/>
      <c r="Q273" s="227"/>
      <c r="R273" s="227"/>
      <c r="S273" s="227"/>
      <c r="T273" s="227"/>
      <c r="U273" s="227"/>
      <c r="V273" s="227"/>
      <c r="W273" s="227"/>
      <c r="X273" s="227"/>
      <c r="Y273" s="227"/>
      <c r="Z273" s="227"/>
      <c r="AA273" s="227"/>
      <c r="AB273" s="227"/>
      <c r="AC273" s="227"/>
      <c r="AD273" s="227"/>
      <c r="AE273" s="227"/>
    </row>
    <row r="274" ht="15.75" customHeight="1">
      <c r="A274" s="227"/>
      <c r="B274" s="227"/>
      <c r="C274" s="227"/>
      <c r="D274" s="227"/>
      <c r="E274" s="227"/>
      <c r="F274" s="227"/>
      <c r="G274" s="227"/>
      <c r="H274" s="227"/>
      <c r="I274" s="227"/>
      <c r="J274" s="227"/>
      <c r="K274" s="227"/>
      <c r="L274" s="227"/>
      <c r="M274" s="227"/>
      <c r="N274" s="227"/>
      <c r="O274" s="227"/>
      <c r="P274" s="227"/>
      <c r="Q274" s="227"/>
      <c r="R274" s="227"/>
      <c r="S274" s="227"/>
      <c r="T274" s="227"/>
      <c r="U274" s="227"/>
      <c r="V274" s="227"/>
      <c r="W274" s="227"/>
      <c r="X274" s="227"/>
      <c r="Y274" s="227"/>
      <c r="Z274" s="227"/>
      <c r="AA274" s="227"/>
      <c r="AB274" s="227"/>
      <c r="AC274" s="227"/>
      <c r="AD274" s="227"/>
      <c r="AE274" s="227"/>
    </row>
    <row r="275" ht="15.75" customHeight="1">
      <c r="A275" s="227"/>
      <c r="B275" s="227"/>
      <c r="C275" s="227"/>
      <c r="D275" s="227"/>
      <c r="E275" s="227"/>
      <c r="F275" s="227"/>
      <c r="G275" s="227"/>
      <c r="H275" s="227"/>
      <c r="I275" s="227"/>
      <c r="J275" s="227"/>
      <c r="K275" s="227"/>
      <c r="L275" s="227"/>
      <c r="M275" s="227"/>
      <c r="N275" s="227"/>
      <c r="O275" s="227"/>
      <c r="P275" s="227"/>
      <c r="Q275" s="227"/>
      <c r="R275" s="227"/>
      <c r="S275" s="227"/>
      <c r="T275" s="227"/>
      <c r="U275" s="227"/>
      <c r="V275" s="227"/>
      <c r="W275" s="227"/>
      <c r="X275" s="227"/>
      <c r="Y275" s="227"/>
      <c r="Z275" s="227"/>
      <c r="AA275" s="227"/>
      <c r="AB275" s="227"/>
      <c r="AC275" s="227"/>
      <c r="AD275" s="227"/>
      <c r="AE275" s="227"/>
    </row>
    <row r="276" ht="15.75" customHeight="1">
      <c r="A276" s="227"/>
      <c r="B276" s="227"/>
      <c r="C276" s="227"/>
      <c r="D276" s="227"/>
      <c r="E276" s="227"/>
      <c r="F276" s="227"/>
      <c r="G276" s="227"/>
      <c r="H276" s="227"/>
      <c r="I276" s="227"/>
      <c r="J276" s="227"/>
      <c r="K276" s="227"/>
      <c r="L276" s="227"/>
      <c r="M276" s="227"/>
      <c r="N276" s="227"/>
      <c r="O276" s="227"/>
      <c r="P276" s="227"/>
      <c r="Q276" s="227"/>
      <c r="R276" s="227"/>
      <c r="S276" s="227"/>
      <c r="T276" s="227"/>
      <c r="U276" s="227"/>
      <c r="V276" s="227"/>
      <c r="W276" s="227"/>
      <c r="X276" s="227"/>
      <c r="Y276" s="227"/>
      <c r="Z276" s="227"/>
      <c r="AA276" s="227"/>
      <c r="AB276" s="227"/>
      <c r="AC276" s="227"/>
      <c r="AD276" s="227"/>
      <c r="AE276" s="227"/>
    </row>
    <row r="277" ht="15.75" customHeight="1">
      <c r="A277" s="227"/>
      <c r="B277" s="227"/>
      <c r="C277" s="227"/>
      <c r="D277" s="227"/>
      <c r="E277" s="227"/>
      <c r="F277" s="227"/>
      <c r="G277" s="227"/>
      <c r="H277" s="227"/>
      <c r="I277" s="227"/>
      <c r="J277" s="227"/>
      <c r="K277" s="227"/>
      <c r="L277" s="227"/>
      <c r="M277" s="227"/>
      <c r="N277" s="227"/>
      <c r="O277" s="227"/>
      <c r="P277" s="227"/>
      <c r="Q277" s="227"/>
      <c r="R277" s="227"/>
      <c r="S277" s="227"/>
      <c r="T277" s="227"/>
      <c r="U277" s="227"/>
      <c r="V277" s="227"/>
      <c r="W277" s="227"/>
      <c r="X277" s="227"/>
      <c r="Y277" s="227"/>
      <c r="Z277" s="227"/>
      <c r="AA277" s="227"/>
      <c r="AB277" s="227"/>
      <c r="AC277" s="227"/>
      <c r="AD277" s="227"/>
      <c r="AE277" s="227"/>
    </row>
    <row r="278" ht="15.75" customHeight="1">
      <c r="A278" s="227"/>
      <c r="B278" s="227"/>
      <c r="C278" s="227"/>
      <c r="D278" s="227"/>
      <c r="E278" s="227"/>
      <c r="F278" s="227"/>
      <c r="G278" s="227"/>
      <c r="H278" s="227"/>
      <c r="I278" s="227"/>
      <c r="J278" s="227"/>
      <c r="K278" s="227"/>
      <c r="L278" s="227"/>
      <c r="M278" s="227"/>
      <c r="N278" s="227"/>
      <c r="O278" s="227"/>
      <c r="P278" s="227"/>
      <c r="Q278" s="227"/>
      <c r="R278" s="227"/>
      <c r="S278" s="227"/>
      <c r="T278" s="227"/>
      <c r="U278" s="227"/>
      <c r="V278" s="227"/>
      <c r="W278" s="227"/>
      <c r="X278" s="227"/>
      <c r="Y278" s="227"/>
      <c r="Z278" s="227"/>
      <c r="AA278" s="227"/>
      <c r="AB278" s="227"/>
      <c r="AC278" s="227"/>
      <c r="AD278" s="227"/>
      <c r="AE278" s="227"/>
    </row>
    <row r="279" ht="15.75" customHeight="1">
      <c r="A279" s="227"/>
      <c r="B279" s="227"/>
      <c r="C279" s="227"/>
      <c r="D279" s="227"/>
      <c r="E279" s="227"/>
      <c r="F279" s="227"/>
      <c r="G279" s="227"/>
      <c r="H279" s="227"/>
      <c r="I279" s="227"/>
      <c r="J279" s="227"/>
      <c r="K279" s="227"/>
      <c r="L279" s="227"/>
      <c r="M279" s="227"/>
      <c r="N279" s="227"/>
      <c r="O279" s="227"/>
      <c r="P279" s="227"/>
      <c r="Q279" s="227"/>
      <c r="R279" s="227"/>
      <c r="S279" s="227"/>
      <c r="T279" s="227"/>
      <c r="U279" s="227"/>
      <c r="V279" s="227"/>
      <c r="W279" s="227"/>
      <c r="X279" s="227"/>
      <c r="Y279" s="227"/>
      <c r="Z279" s="227"/>
      <c r="AA279" s="227"/>
      <c r="AB279" s="227"/>
      <c r="AC279" s="227"/>
      <c r="AD279" s="227"/>
      <c r="AE279" s="227"/>
    </row>
    <row r="280" ht="15.75" customHeight="1">
      <c r="A280" s="227"/>
      <c r="B280" s="227"/>
      <c r="C280" s="227"/>
      <c r="D280" s="227"/>
      <c r="E280" s="227"/>
      <c r="F280" s="227"/>
      <c r="G280" s="227"/>
      <c r="H280" s="227"/>
      <c r="I280" s="227"/>
      <c r="J280" s="227"/>
      <c r="K280" s="227"/>
      <c r="L280" s="227"/>
      <c r="M280" s="227"/>
      <c r="N280" s="227"/>
      <c r="O280" s="227"/>
      <c r="P280" s="227"/>
      <c r="Q280" s="227"/>
      <c r="R280" s="227"/>
      <c r="S280" s="227"/>
      <c r="T280" s="227"/>
      <c r="U280" s="227"/>
      <c r="V280" s="227"/>
      <c r="W280" s="227"/>
      <c r="X280" s="227"/>
      <c r="Y280" s="227"/>
      <c r="Z280" s="227"/>
      <c r="AA280" s="227"/>
      <c r="AB280" s="227"/>
      <c r="AC280" s="227"/>
      <c r="AD280" s="227"/>
      <c r="AE280" s="227"/>
    </row>
    <row r="281" ht="15.75" customHeight="1">
      <c r="A281" s="227"/>
      <c r="B281" s="227"/>
      <c r="C281" s="227"/>
      <c r="D281" s="227"/>
      <c r="E281" s="227"/>
      <c r="F281" s="227"/>
      <c r="G281" s="227"/>
      <c r="H281" s="227"/>
      <c r="I281" s="227"/>
      <c r="J281" s="227"/>
      <c r="K281" s="227"/>
      <c r="L281" s="227"/>
      <c r="M281" s="227"/>
      <c r="N281" s="227"/>
      <c r="O281" s="227"/>
      <c r="P281" s="227"/>
      <c r="Q281" s="227"/>
      <c r="R281" s="227"/>
      <c r="S281" s="227"/>
      <c r="T281" s="227"/>
      <c r="U281" s="227"/>
      <c r="V281" s="227"/>
      <c r="W281" s="227"/>
      <c r="X281" s="227"/>
      <c r="Y281" s="227"/>
      <c r="Z281" s="227"/>
      <c r="AA281" s="227"/>
      <c r="AB281" s="227"/>
      <c r="AC281" s="227"/>
      <c r="AD281" s="227"/>
      <c r="AE281" s="227"/>
    </row>
    <row r="282" ht="15.75" customHeight="1">
      <c r="A282" s="227"/>
      <c r="B282" s="227"/>
      <c r="C282" s="227"/>
      <c r="D282" s="227"/>
      <c r="E282" s="227"/>
      <c r="F282" s="227"/>
      <c r="G282" s="227"/>
      <c r="H282" s="227"/>
      <c r="I282" s="227"/>
      <c r="J282" s="227"/>
      <c r="K282" s="227"/>
      <c r="L282" s="227"/>
      <c r="M282" s="227"/>
      <c r="N282" s="227"/>
      <c r="O282" s="227"/>
      <c r="P282" s="227"/>
      <c r="Q282" s="227"/>
      <c r="R282" s="227"/>
      <c r="S282" s="227"/>
      <c r="T282" s="227"/>
      <c r="U282" s="227"/>
      <c r="V282" s="227"/>
      <c r="W282" s="227"/>
      <c r="X282" s="227"/>
      <c r="Y282" s="227"/>
      <c r="Z282" s="227"/>
      <c r="AA282" s="227"/>
      <c r="AB282" s="227"/>
      <c r="AC282" s="227"/>
      <c r="AD282" s="227"/>
      <c r="AE282" s="227"/>
    </row>
    <row r="283" ht="15.75" customHeight="1">
      <c r="A283" s="227"/>
      <c r="B283" s="227"/>
      <c r="C283" s="227"/>
      <c r="D283" s="227"/>
      <c r="E283" s="227"/>
      <c r="F283" s="227"/>
      <c r="G283" s="227"/>
      <c r="H283" s="227"/>
      <c r="I283" s="227"/>
      <c r="J283" s="227"/>
      <c r="K283" s="227"/>
      <c r="L283" s="227"/>
      <c r="M283" s="227"/>
      <c r="N283" s="227"/>
      <c r="O283" s="227"/>
      <c r="P283" s="227"/>
      <c r="Q283" s="227"/>
      <c r="R283" s="227"/>
      <c r="S283" s="227"/>
      <c r="T283" s="227"/>
      <c r="U283" s="227"/>
      <c r="V283" s="227"/>
      <c r="W283" s="227"/>
      <c r="X283" s="227"/>
      <c r="Y283" s="227"/>
      <c r="Z283" s="227"/>
      <c r="AA283" s="227"/>
      <c r="AB283" s="227"/>
      <c r="AC283" s="227"/>
      <c r="AD283" s="227"/>
      <c r="AE283" s="227"/>
    </row>
    <row r="284" ht="15.75" customHeight="1">
      <c r="A284" s="227"/>
      <c r="B284" s="227"/>
      <c r="C284" s="227"/>
      <c r="D284" s="227"/>
      <c r="E284" s="227"/>
      <c r="F284" s="227"/>
      <c r="G284" s="227"/>
      <c r="H284" s="227"/>
      <c r="I284" s="227"/>
      <c r="J284" s="227"/>
      <c r="K284" s="227"/>
      <c r="L284" s="227"/>
      <c r="M284" s="227"/>
      <c r="N284" s="227"/>
      <c r="O284" s="227"/>
      <c r="P284" s="227"/>
      <c r="Q284" s="227"/>
      <c r="R284" s="227"/>
      <c r="S284" s="227"/>
      <c r="T284" s="227"/>
      <c r="U284" s="227"/>
      <c r="V284" s="227"/>
      <c r="W284" s="227"/>
      <c r="X284" s="227"/>
      <c r="Y284" s="227"/>
      <c r="Z284" s="227"/>
      <c r="AA284" s="227"/>
      <c r="AB284" s="227"/>
      <c r="AC284" s="227"/>
      <c r="AD284" s="227"/>
      <c r="AE284" s="227"/>
    </row>
    <row r="285" ht="15.75" customHeight="1">
      <c r="A285" s="227"/>
      <c r="B285" s="227"/>
      <c r="C285" s="227"/>
      <c r="D285" s="227"/>
      <c r="E285" s="227"/>
      <c r="F285" s="227"/>
      <c r="G285" s="227"/>
      <c r="H285" s="227"/>
      <c r="I285" s="227"/>
      <c r="J285" s="227"/>
      <c r="K285" s="227"/>
      <c r="L285" s="227"/>
      <c r="M285" s="227"/>
      <c r="N285" s="227"/>
      <c r="O285" s="227"/>
      <c r="P285" s="227"/>
      <c r="Q285" s="227"/>
      <c r="R285" s="227"/>
      <c r="S285" s="227"/>
      <c r="T285" s="227"/>
      <c r="U285" s="227"/>
      <c r="V285" s="227"/>
      <c r="W285" s="227"/>
      <c r="X285" s="227"/>
      <c r="Y285" s="227"/>
      <c r="Z285" s="227"/>
      <c r="AA285" s="227"/>
      <c r="AB285" s="227"/>
      <c r="AC285" s="227"/>
      <c r="AD285" s="227"/>
      <c r="AE285" s="227"/>
    </row>
    <row r="286" ht="15.75" customHeight="1">
      <c r="A286" s="227"/>
      <c r="B286" s="227"/>
      <c r="C286" s="227"/>
      <c r="D286" s="227"/>
      <c r="E286" s="227"/>
      <c r="F286" s="227"/>
      <c r="G286" s="227"/>
      <c r="H286" s="227"/>
      <c r="I286" s="227"/>
      <c r="J286" s="227"/>
      <c r="K286" s="227"/>
      <c r="L286" s="227"/>
      <c r="M286" s="227"/>
      <c r="N286" s="227"/>
      <c r="O286" s="227"/>
      <c r="P286" s="227"/>
      <c r="Q286" s="227"/>
      <c r="R286" s="227"/>
      <c r="S286" s="227"/>
      <c r="T286" s="227"/>
      <c r="U286" s="227"/>
      <c r="V286" s="227"/>
      <c r="W286" s="227"/>
      <c r="X286" s="227"/>
      <c r="Y286" s="227"/>
      <c r="Z286" s="227"/>
      <c r="AA286" s="227"/>
      <c r="AB286" s="227"/>
      <c r="AC286" s="227"/>
      <c r="AD286" s="227"/>
      <c r="AE286" s="227"/>
    </row>
    <row r="287" ht="15.75" customHeight="1">
      <c r="A287" s="227"/>
      <c r="B287" s="227"/>
      <c r="C287" s="227"/>
      <c r="D287" s="227"/>
      <c r="E287" s="227"/>
      <c r="F287" s="227"/>
      <c r="G287" s="227"/>
      <c r="H287" s="227"/>
      <c r="I287" s="227"/>
      <c r="J287" s="227"/>
      <c r="K287" s="227"/>
      <c r="L287" s="227"/>
      <c r="M287" s="227"/>
      <c r="N287" s="227"/>
      <c r="O287" s="227"/>
      <c r="P287" s="227"/>
      <c r="Q287" s="227"/>
      <c r="R287" s="227"/>
      <c r="S287" s="227"/>
      <c r="T287" s="227"/>
      <c r="U287" s="227"/>
      <c r="V287" s="227"/>
      <c r="W287" s="227"/>
      <c r="X287" s="227"/>
      <c r="Y287" s="227"/>
      <c r="Z287" s="227"/>
      <c r="AA287" s="227"/>
      <c r="AB287" s="227"/>
      <c r="AC287" s="227"/>
      <c r="AD287" s="227"/>
      <c r="AE287" s="227"/>
    </row>
    <row r="288" ht="15.75" customHeight="1">
      <c r="A288" s="227"/>
      <c r="B288" s="227"/>
      <c r="C288" s="227"/>
      <c r="D288" s="227"/>
      <c r="E288" s="227"/>
      <c r="F288" s="227"/>
      <c r="G288" s="227"/>
      <c r="H288" s="227"/>
      <c r="I288" s="227"/>
      <c r="J288" s="227"/>
      <c r="K288" s="227"/>
      <c r="L288" s="227"/>
      <c r="M288" s="227"/>
      <c r="N288" s="227"/>
      <c r="O288" s="227"/>
      <c r="P288" s="227"/>
      <c r="Q288" s="227"/>
      <c r="R288" s="227"/>
      <c r="S288" s="227"/>
      <c r="T288" s="227"/>
      <c r="U288" s="227"/>
      <c r="V288" s="227"/>
      <c r="W288" s="227"/>
      <c r="X288" s="227"/>
      <c r="Y288" s="227"/>
      <c r="Z288" s="227"/>
      <c r="AA288" s="227"/>
      <c r="AB288" s="227"/>
      <c r="AC288" s="227"/>
      <c r="AD288" s="227"/>
      <c r="AE288" s="227"/>
    </row>
    <row r="289" ht="15.75" customHeight="1">
      <c r="A289" s="227"/>
      <c r="B289" s="227"/>
      <c r="C289" s="227"/>
      <c r="D289" s="227"/>
      <c r="E289" s="227"/>
      <c r="F289" s="227"/>
      <c r="G289" s="227"/>
      <c r="H289" s="227"/>
      <c r="I289" s="227"/>
      <c r="J289" s="227"/>
      <c r="K289" s="227"/>
      <c r="L289" s="227"/>
      <c r="M289" s="227"/>
      <c r="N289" s="227"/>
      <c r="O289" s="227"/>
      <c r="P289" s="227"/>
      <c r="Q289" s="227"/>
      <c r="R289" s="227"/>
      <c r="S289" s="227"/>
      <c r="T289" s="227"/>
      <c r="U289" s="227"/>
      <c r="V289" s="227"/>
      <c r="W289" s="227"/>
      <c r="X289" s="227"/>
      <c r="Y289" s="227"/>
      <c r="Z289" s="227"/>
      <c r="AA289" s="227"/>
      <c r="AB289" s="227"/>
      <c r="AC289" s="227"/>
      <c r="AD289" s="227"/>
      <c r="AE289" s="227"/>
    </row>
    <row r="290" ht="15.75" customHeight="1">
      <c r="A290" s="227"/>
      <c r="B290" s="227"/>
      <c r="C290" s="227"/>
      <c r="D290" s="227"/>
      <c r="E290" s="227"/>
      <c r="F290" s="227"/>
      <c r="G290" s="227"/>
      <c r="H290" s="227"/>
      <c r="I290" s="227"/>
      <c r="J290" s="227"/>
      <c r="K290" s="227"/>
      <c r="L290" s="227"/>
      <c r="M290" s="227"/>
      <c r="N290" s="227"/>
      <c r="O290" s="227"/>
      <c r="P290" s="227"/>
      <c r="Q290" s="227"/>
      <c r="R290" s="227"/>
      <c r="S290" s="227"/>
      <c r="T290" s="227"/>
      <c r="U290" s="227"/>
      <c r="V290" s="227"/>
      <c r="W290" s="227"/>
      <c r="X290" s="227"/>
      <c r="Y290" s="227"/>
      <c r="Z290" s="227"/>
      <c r="AA290" s="227"/>
      <c r="AB290" s="227"/>
      <c r="AC290" s="227"/>
      <c r="AD290" s="227"/>
      <c r="AE290" s="227"/>
    </row>
    <row r="291" ht="15.75" customHeight="1">
      <c r="A291" s="227"/>
      <c r="B291" s="227"/>
      <c r="C291" s="227"/>
      <c r="D291" s="227"/>
      <c r="E291" s="227"/>
      <c r="F291" s="227"/>
      <c r="G291" s="227"/>
      <c r="H291" s="227"/>
      <c r="I291" s="227"/>
      <c r="J291" s="227"/>
      <c r="K291" s="227"/>
      <c r="L291" s="227"/>
      <c r="M291" s="227"/>
      <c r="N291" s="227"/>
      <c r="O291" s="227"/>
      <c r="P291" s="227"/>
      <c r="Q291" s="227"/>
      <c r="R291" s="227"/>
      <c r="S291" s="227"/>
      <c r="T291" s="227"/>
      <c r="U291" s="227"/>
      <c r="V291" s="227"/>
      <c r="W291" s="227"/>
      <c r="X291" s="227"/>
      <c r="Y291" s="227"/>
      <c r="Z291" s="227"/>
      <c r="AA291" s="227"/>
      <c r="AB291" s="227"/>
      <c r="AC291" s="227"/>
      <c r="AD291" s="227"/>
      <c r="AE291" s="227"/>
    </row>
    <row r="292" ht="15.75" customHeight="1">
      <c r="A292" s="227"/>
      <c r="B292" s="227"/>
      <c r="C292" s="227"/>
      <c r="D292" s="227"/>
      <c r="E292" s="227"/>
      <c r="F292" s="227"/>
      <c r="G292" s="227"/>
      <c r="H292" s="227"/>
      <c r="I292" s="227"/>
      <c r="J292" s="227"/>
      <c r="K292" s="227"/>
      <c r="L292" s="227"/>
      <c r="M292" s="227"/>
      <c r="N292" s="227"/>
      <c r="O292" s="227"/>
      <c r="P292" s="227"/>
      <c r="Q292" s="227"/>
      <c r="R292" s="227"/>
      <c r="S292" s="227"/>
      <c r="T292" s="227"/>
      <c r="U292" s="227"/>
      <c r="V292" s="227"/>
      <c r="W292" s="227"/>
      <c r="X292" s="227"/>
      <c r="Y292" s="227"/>
      <c r="Z292" s="227"/>
      <c r="AA292" s="227"/>
      <c r="AB292" s="227"/>
      <c r="AC292" s="227"/>
      <c r="AD292" s="227"/>
      <c r="AE292" s="227"/>
    </row>
    <row r="293" ht="15.75" customHeight="1">
      <c r="A293" s="227"/>
      <c r="B293" s="227"/>
      <c r="C293" s="227"/>
      <c r="D293" s="227"/>
      <c r="E293" s="227"/>
      <c r="F293" s="227"/>
      <c r="G293" s="227"/>
      <c r="H293" s="227"/>
      <c r="I293" s="227"/>
      <c r="J293" s="227"/>
      <c r="K293" s="227"/>
      <c r="L293" s="227"/>
      <c r="M293" s="227"/>
      <c r="N293" s="227"/>
      <c r="O293" s="227"/>
      <c r="P293" s="227"/>
      <c r="Q293" s="227"/>
      <c r="R293" s="227"/>
      <c r="S293" s="227"/>
      <c r="T293" s="227"/>
      <c r="U293" s="227"/>
      <c r="V293" s="227"/>
      <c r="W293" s="227"/>
      <c r="X293" s="227"/>
      <c r="Y293" s="227"/>
      <c r="Z293" s="227"/>
      <c r="AA293" s="227"/>
      <c r="AB293" s="227"/>
      <c r="AC293" s="227"/>
      <c r="AD293" s="227"/>
      <c r="AE293" s="227"/>
    </row>
    <row r="294" ht="15.75" customHeight="1">
      <c r="A294" s="227"/>
      <c r="B294" s="227"/>
      <c r="C294" s="227"/>
      <c r="D294" s="227"/>
      <c r="E294" s="227"/>
      <c r="F294" s="227"/>
      <c r="G294" s="227"/>
      <c r="H294" s="227"/>
      <c r="I294" s="227"/>
      <c r="J294" s="227"/>
      <c r="K294" s="227"/>
      <c r="L294" s="227"/>
      <c r="M294" s="227"/>
      <c r="N294" s="227"/>
      <c r="O294" s="227"/>
      <c r="P294" s="227"/>
      <c r="Q294" s="227"/>
      <c r="R294" s="227"/>
      <c r="S294" s="227"/>
      <c r="T294" s="227"/>
      <c r="U294" s="227"/>
      <c r="V294" s="227"/>
      <c r="W294" s="227"/>
      <c r="X294" s="227"/>
      <c r="Y294" s="227"/>
      <c r="Z294" s="227"/>
      <c r="AA294" s="227"/>
      <c r="AB294" s="227"/>
      <c r="AC294" s="227"/>
      <c r="AD294" s="227"/>
      <c r="AE294" s="227"/>
    </row>
    <row r="295" ht="15.75" customHeight="1">
      <c r="A295" s="227"/>
      <c r="B295" s="227"/>
      <c r="C295" s="227"/>
      <c r="D295" s="227"/>
      <c r="E295" s="227"/>
      <c r="F295" s="227"/>
      <c r="G295" s="227"/>
      <c r="H295" s="227"/>
      <c r="I295" s="227"/>
      <c r="J295" s="227"/>
      <c r="K295" s="227"/>
      <c r="L295" s="227"/>
      <c r="M295" s="227"/>
      <c r="N295" s="227"/>
      <c r="O295" s="227"/>
      <c r="P295" s="227"/>
      <c r="Q295" s="227"/>
      <c r="R295" s="227"/>
      <c r="S295" s="227"/>
      <c r="T295" s="227"/>
      <c r="U295" s="227"/>
      <c r="V295" s="227"/>
      <c r="W295" s="227"/>
      <c r="X295" s="227"/>
      <c r="Y295" s="227"/>
      <c r="Z295" s="227"/>
      <c r="AA295" s="227"/>
      <c r="AB295" s="227"/>
      <c r="AC295" s="227"/>
      <c r="AD295" s="227"/>
      <c r="AE295" s="227"/>
    </row>
    <row r="296" ht="15.75" customHeight="1">
      <c r="A296" s="227"/>
      <c r="B296" s="227"/>
      <c r="C296" s="227"/>
      <c r="D296" s="227"/>
      <c r="E296" s="227"/>
      <c r="F296" s="227"/>
      <c r="G296" s="227"/>
      <c r="H296" s="227"/>
      <c r="I296" s="227"/>
      <c r="J296" s="227"/>
      <c r="K296" s="227"/>
      <c r="L296" s="227"/>
      <c r="M296" s="227"/>
      <c r="N296" s="227"/>
      <c r="O296" s="227"/>
      <c r="P296" s="227"/>
      <c r="Q296" s="227"/>
      <c r="R296" s="227"/>
      <c r="S296" s="227"/>
      <c r="T296" s="227"/>
      <c r="U296" s="227"/>
      <c r="V296" s="227"/>
      <c r="W296" s="227"/>
      <c r="X296" s="227"/>
      <c r="Y296" s="227"/>
      <c r="Z296" s="227"/>
      <c r="AA296" s="227"/>
      <c r="AB296" s="227"/>
      <c r="AC296" s="227"/>
      <c r="AD296" s="227"/>
      <c r="AE296" s="227"/>
    </row>
    <row r="297" ht="15.75" customHeight="1">
      <c r="A297" s="227"/>
      <c r="B297" s="227"/>
      <c r="C297" s="227"/>
      <c r="D297" s="227"/>
      <c r="E297" s="227"/>
      <c r="F297" s="227"/>
      <c r="G297" s="227"/>
      <c r="H297" s="227"/>
      <c r="I297" s="227"/>
      <c r="J297" s="227"/>
      <c r="K297" s="227"/>
      <c r="L297" s="227"/>
      <c r="M297" s="227"/>
      <c r="N297" s="227"/>
      <c r="O297" s="227"/>
      <c r="P297" s="227"/>
      <c r="Q297" s="227"/>
      <c r="R297" s="227"/>
      <c r="S297" s="227"/>
      <c r="T297" s="227"/>
      <c r="U297" s="227"/>
      <c r="V297" s="227"/>
      <c r="W297" s="227"/>
      <c r="X297" s="227"/>
      <c r="Y297" s="227"/>
      <c r="Z297" s="227"/>
      <c r="AA297" s="227"/>
      <c r="AB297" s="227"/>
      <c r="AC297" s="227"/>
      <c r="AD297" s="227"/>
      <c r="AE297" s="227"/>
    </row>
    <row r="298" ht="15.75" customHeight="1">
      <c r="A298" s="227"/>
      <c r="B298" s="227"/>
      <c r="C298" s="227"/>
      <c r="D298" s="227"/>
      <c r="E298" s="227"/>
      <c r="F298" s="227"/>
      <c r="G298" s="227"/>
      <c r="H298" s="227"/>
      <c r="I298" s="227"/>
      <c r="J298" s="227"/>
      <c r="K298" s="227"/>
      <c r="L298" s="227"/>
      <c r="M298" s="227"/>
      <c r="N298" s="227"/>
      <c r="O298" s="227"/>
      <c r="P298" s="227"/>
      <c r="Q298" s="227"/>
      <c r="R298" s="227"/>
      <c r="S298" s="227"/>
      <c r="T298" s="227"/>
      <c r="U298" s="227"/>
      <c r="V298" s="227"/>
      <c r="W298" s="227"/>
      <c r="X298" s="227"/>
      <c r="Y298" s="227"/>
      <c r="Z298" s="227"/>
      <c r="AA298" s="227"/>
      <c r="AB298" s="227"/>
      <c r="AC298" s="227"/>
      <c r="AD298" s="227"/>
      <c r="AE298" s="227"/>
    </row>
    <row r="299" ht="15.75" customHeight="1">
      <c r="A299" s="227"/>
      <c r="B299" s="227"/>
      <c r="C299" s="227"/>
      <c r="D299" s="227"/>
      <c r="E299" s="227"/>
      <c r="F299" s="227"/>
      <c r="G299" s="227"/>
      <c r="H299" s="227"/>
      <c r="I299" s="227"/>
      <c r="J299" s="227"/>
      <c r="K299" s="227"/>
      <c r="L299" s="227"/>
      <c r="M299" s="227"/>
      <c r="N299" s="227"/>
      <c r="O299" s="227"/>
      <c r="P299" s="227"/>
      <c r="Q299" s="227"/>
      <c r="R299" s="227"/>
      <c r="S299" s="227"/>
      <c r="T299" s="227"/>
      <c r="U299" s="227"/>
      <c r="V299" s="227"/>
      <c r="W299" s="227"/>
      <c r="X299" s="227"/>
      <c r="Y299" s="227"/>
      <c r="Z299" s="227"/>
      <c r="AA299" s="227"/>
      <c r="AB299" s="227"/>
      <c r="AC299" s="227"/>
      <c r="AD299" s="227"/>
      <c r="AE299" s="227"/>
    </row>
    <row r="300" ht="15.75" customHeight="1">
      <c r="A300" s="227"/>
      <c r="B300" s="227"/>
      <c r="C300" s="227"/>
      <c r="D300" s="227"/>
      <c r="E300" s="227"/>
      <c r="F300" s="227"/>
      <c r="G300" s="227"/>
      <c r="H300" s="227"/>
      <c r="I300" s="227"/>
      <c r="J300" s="227"/>
      <c r="K300" s="227"/>
      <c r="L300" s="227"/>
      <c r="M300" s="227"/>
      <c r="N300" s="227"/>
      <c r="O300" s="227"/>
      <c r="P300" s="227"/>
      <c r="Q300" s="227"/>
      <c r="R300" s="227"/>
      <c r="S300" s="227"/>
      <c r="T300" s="227"/>
      <c r="U300" s="227"/>
      <c r="V300" s="227"/>
      <c r="W300" s="227"/>
      <c r="X300" s="227"/>
      <c r="Y300" s="227"/>
      <c r="Z300" s="227"/>
      <c r="AA300" s="227"/>
      <c r="AB300" s="227"/>
      <c r="AC300" s="227"/>
      <c r="AD300" s="227"/>
      <c r="AE300" s="227"/>
    </row>
    <row r="301" ht="15.75" customHeight="1">
      <c r="A301" s="227"/>
      <c r="B301" s="227"/>
      <c r="C301" s="227"/>
      <c r="D301" s="227"/>
      <c r="E301" s="227"/>
      <c r="F301" s="227"/>
      <c r="G301" s="227"/>
      <c r="H301" s="227"/>
      <c r="I301" s="227"/>
      <c r="J301" s="227"/>
      <c r="K301" s="227"/>
      <c r="L301" s="227"/>
      <c r="M301" s="227"/>
      <c r="N301" s="227"/>
      <c r="O301" s="227"/>
      <c r="P301" s="227"/>
      <c r="Q301" s="227"/>
      <c r="R301" s="227"/>
      <c r="S301" s="227"/>
      <c r="T301" s="227"/>
      <c r="U301" s="227"/>
      <c r="V301" s="227"/>
      <c r="W301" s="227"/>
      <c r="X301" s="227"/>
      <c r="Y301" s="227"/>
      <c r="Z301" s="227"/>
      <c r="AA301" s="227"/>
      <c r="AB301" s="227"/>
      <c r="AC301" s="227"/>
      <c r="AD301" s="227"/>
      <c r="AE301" s="227"/>
    </row>
    <row r="302" ht="15.75" customHeight="1">
      <c r="A302" s="227"/>
      <c r="B302" s="227"/>
      <c r="C302" s="227"/>
      <c r="D302" s="227"/>
      <c r="E302" s="227"/>
      <c r="F302" s="227"/>
      <c r="G302" s="227"/>
      <c r="H302" s="227"/>
      <c r="I302" s="227"/>
      <c r="J302" s="227"/>
      <c r="K302" s="227"/>
      <c r="L302" s="227"/>
      <c r="M302" s="227"/>
      <c r="N302" s="227"/>
      <c r="O302" s="227"/>
      <c r="P302" s="227"/>
      <c r="Q302" s="227"/>
      <c r="R302" s="227"/>
      <c r="S302" s="227"/>
      <c r="T302" s="227"/>
      <c r="U302" s="227"/>
      <c r="V302" s="227"/>
      <c r="W302" s="227"/>
      <c r="X302" s="227"/>
      <c r="Y302" s="227"/>
      <c r="Z302" s="227"/>
      <c r="AA302" s="227"/>
      <c r="AB302" s="227"/>
      <c r="AC302" s="227"/>
      <c r="AD302" s="227"/>
      <c r="AE302" s="227"/>
    </row>
    <row r="303" ht="15.75" customHeight="1">
      <c r="A303" s="227"/>
      <c r="B303" s="227"/>
      <c r="C303" s="227"/>
      <c r="D303" s="227"/>
      <c r="E303" s="227"/>
      <c r="F303" s="227"/>
      <c r="G303" s="227"/>
      <c r="H303" s="227"/>
      <c r="I303" s="227"/>
      <c r="J303" s="227"/>
      <c r="K303" s="227"/>
      <c r="L303" s="227"/>
      <c r="M303" s="227"/>
      <c r="N303" s="227"/>
      <c r="O303" s="227"/>
      <c r="P303" s="227"/>
      <c r="Q303" s="227"/>
      <c r="R303" s="227"/>
      <c r="S303" s="227"/>
      <c r="T303" s="227"/>
      <c r="U303" s="227"/>
      <c r="V303" s="227"/>
      <c r="W303" s="227"/>
      <c r="X303" s="227"/>
      <c r="Y303" s="227"/>
      <c r="Z303" s="227"/>
      <c r="AA303" s="227"/>
      <c r="AB303" s="227"/>
      <c r="AC303" s="227"/>
      <c r="AD303" s="227"/>
      <c r="AE303" s="227"/>
    </row>
    <row r="304" ht="15.75" customHeight="1">
      <c r="A304" s="227"/>
      <c r="B304" s="227"/>
      <c r="C304" s="227"/>
      <c r="D304" s="227"/>
      <c r="E304" s="227"/>
      <c r="F304" s="227"/>
      <c r="G304" s="227"/>
      <c r="H304" s="227"/>
      <c r="I304" s="227"/>
      <c r="J304" s="227"/>
      <c r="K304" s="227"/>
      <c r="L304" s="227"/>
      <c r="M304" s="227"/>
      <c r="N304" s="227"/>
      <c r="O304" s="227"/>
      <c r="P304" s="227"/>
      <c r="Q304" s="227"/>
      <c r="R304" s="227"/>
      <c r="S304" s="227"/>
      <c r="T304" s="227"/>
      <c r="U304" s="227"/>
      <c r="V304" s="227"/>
      <c r="W304" s="227"/>
      <c r="X304" s="227"/>
      <c r="Y304" s="227"/>
      <c r="Z304" s="227"/>
      <c r="AA304" s="227"/>
      <c r="AB304" s="227"/>
      <c r="AC304" s="227"/>
      <c r="AD304" s="227"/>
      <c r="AE304" s="227"/>
    </row>
    <row r="305" ht="15.75" customHeight="1">
      <c r="A305" s="227"/>
      <c r="B305" s="227"/>
      <c r="C305" s="227"/>
      <c r="D305" s="227"/>
      <c r="E305" s="227"/>
      <c r="F305" s="227"/>
      <c r="G305" s="227"/>
      <c r="H305" s="227"/>
      <c r="I305" s="227"/>
      <c r="J305" s="227"/>
      <c r="K305" s="227"/>
      <c r="L305" s="227"/>
      <c r="M305" s="227"/>
      <c r="N305" s="227"/>
      <c r="O305" s="227"/>
      <c r="P305" s="227"/>
      <c r="Q305" s="227"/>
      <c r="R305" s="227"/>
      <c r="S305" s="227"/>
      <c r="T305" s="227"/>
      <c r="U305" s="227"/>
      <c r="V305" s="227"/>
      <c r="W305" s="227"/>
      <c r="X305" s="227"/>
      <c r="Y305" s="227"/>
      <c r="Z305" s="227"/>
      <c r="AA305" s="227"/>
      <c r="AB305" s="227"/>
      <c r="AC305" s="227"/>
      <c r="AD305" s="227"/>
      <c r="AE305" s="227"/>
    </row>
    <row r="306" ht="15.75" customHeight="1">
      <c r="A306" s="227"/>
      <c r="B306" s="227"/>
      <c r="C306" s="227"/>
      <c r="D306" s="227"/>
      <c r="E306" s="227"/>
      <c r="F306" s="227"/>
      <c r="G306" s="227"/>
      <c r="H306" s="227"/>
      <c r="I306" s="227"/>
      <c r="J306" s="227"/>
      <c r="K306" s="227"/>
      <c r="L306" s="227"/>
      <c r="M306" s="227"/>
      <c r="N306" s="227"/>
      <c r="O306" s="227"/>
      <c r="P306" s="227"/>
      <c r="Q306" s="227"/>
      <c r="R306" s="227"/>
      <c r="S306" s="227"/>
      <c r="T306" s="227"/>
      <c r="U306" s="227"/>
      <c r="V306" s="227"/>
      <c r="W306" s="227"/>
      <c r="X306" s="227"/>
      <c r="Y306" s="227"/>
      <c r="Z306" s="227"/>
      <c r="AA306" s="227"/>
      <c r="AB306" s="227"/>
      <c r="AC306" s="227"/>
      <c r="AD306" s="227"/>
      <c r="AE306" s="227"/>
    </row>
    <row r="307" ht="15.75" customHeight="1">
      <c r="A307" s="227"/>
      <c r="B307" s="227"/>
      <c r="C307" s="227"/>
      <c r="D307" s="227"/>
      <c r="E307" s="227"/>
      <c r="F307" s="227"/>
      <c r="G307" s="227"/>
      <c r="H307" s="227"/>
      <c r="I307" s="227"/>
      <c r="J307" s="227"/>
      <c r="K307" s="227"/>
      <c r="L307" s="227"/>
      <c r="M307" s="227"/>
      <c r="N307" s="227"/>
      <c r="O307" s="227"/>
      <c r="P307" s="227"/>
      <c r="Q307" s="227"/>
      <c r="R307" s="227"/>
      <c r="S307" s="227"/>
      <c r="T307" s="227"/>
      <c r="U307" s="227"/>
      <c r="V307" s="227"/>
      <c r="W307" s="227"/>
      <c r="X307" s="227"/>
      <c r="Y307" s="227"/>
      <c r="Z307" s="227"/>
      <c r="AA307" s="227"/>
      <c r="AB307" s="227"/>
      <c r="AC307" s="227"/>
      <c r="AD307" s="227"/>
      <c r="AE307" s="227"/>
    </row>
    <row r="308" ht="15.75" customHeight="1">
      <c r="A308" s="227"/>
      <c r="B308" s="227"/>
      <c r="C308" s="227"/>
      <c r="D308" s="227"/>
      <c r="E308" s="227"/>
      <c r="F308" s="227"/>
      <c r="G308" s="227"/>
      <c r="H308" s="227"/>
      <c r="I308" s="227"/>
      <c r="J308" s="227"/>
      <c r="K308" s="227"/>
      <c r="L308" s="227"/>
      <c r="M308" s="227"/>
      <c r="N308" s="227"/>
      <c r="O308" s="227"/>
      <c r="P308" s="227"/>
      <c r="Q308" s="227"/>
      <c r="R308" s="227"/>
      <c r="S308" s="227"/>
      <c r="T308" s="227"/>
      <c r="U308" s="227"/>
      <c r="V308" s="227"/>
      <c r="W308" s="227"/>
      <c r="X308" s="227"/>
      <c r="Y308" s="227"/>
      <c r="Z308" s="227"/>
      <c r="AA308" s="227"/>
      <c r="AB308" s="227"/>
      <c r="AC308" s="227"/>
      <c r="AD308" s="227"/>
      <c r="AE308" s="227"/>
    </row>
    <row r="309" ht="15.75" customHeight="1">
      <c r="A309" s="227"/>
      <c r="B309" s="227"/>
      <c r="C309" s="227"/>
      <c r="D309" s="227"/>
      <c r="E309" s="227"/>
      <c r="F309" s="227"/>
      <c r="G309" s="227"/>
      <c r="H309" s="227"/>
      <c r="I309" s="227"/>
      <c r="J309" s="227"/>
      <c r="K309" s="227"/>
      <c r="L309" s="227"/>
      <c r="M309" s="227"/>
      <c r="N309" s="227"/>
      <c r="O309" s="227"/>
      <c r="P309" s="227"/>
      <c r="Q309" s="227"/>
      <c r="R309" s="227"/>
      <c r="S309" s="227"/>
      <c r="T309" s="227"/>
      <c r="U309" s="227"/>
      <c r="V309" s="227"/>
      <c r="W309" s="227"/>
      <c r="X309" s="227"/>
      <c r="Y309" s="227"/>
      <c r="Z309" s="227"/>
      <c r="AA309" s="227"/>
      <c r="AB309" s="227"/>
      <c r="AC309" s="227"/>
      <c r="AD309" s="227"/>
      <c r="AE309" s="227"/>
    </row>
    <row r="310" ht="15.75" customHeight="1">
      <c r="A310" s="227"/>
      <c r="B310" s="227"/>
      <c r="C310" s="227"/>
      <c r="D310" s="227"/>
      <c r="E310" s="227"/>
      <c r="F310" s="227"/>
      <c r="G310" s="227"/>
      <c r="H310" s="227"/>
      <c r="I310" s="227"/>
      <c r="J310" s="227"/>
      <c r="K310" s="227"/>
      <c r="L310" s="227"/>
      <c r="M310" s="227"/>
      <c r="N310" s="227"/>
      <c r="O310" s="227"/>
      <c r="P310" s="227"/>
      <c r="Q310" s="227"/>
      <c r="R310" s="227"/>
      <c r="S310" s="227"/>
      <c r="T310" s="227"/>
      <c r="U310" s="227"/>
      <c r="V310" s="227"/>
      <c r="W310" s="227"/>
      <c r="X310" s="227"/>
      <c r="Y310" s="227"/>
      <c r="Z310" s="227"/>
      <c r="AA310" s="227"/>
      <c r="AB310" s="227"/>
      <c r="AC310" s="227"/>
      <c r="AD310" s="227"/>
      <c r="AE310" s="227"/>
    </row>
    <row r="311" ht="15.75" customHeight="1">
      <c r="A311" s="227"/>
      <c r="B311" s="227"/>
      <c r="C311" s="227"/>
      <c r="D311" s="227"/>
      <c r="E311" s="227"/>
      <c r="F311" s="227"/>
      <c r="G311" s="227"/>
      <c r="H311" s="227"/>
      <c r="I311" s="227"/>
      <c r="J311" s="227"/>
      <c r="K311" s="227"/>
      <c r="L311" s="227"/>
      <c r="M311" s="227"/>
      <c r="N311" s="227"/>
      <c r="O311" s="227"/>
      <c r="P311" s="227"/>
      <c r="Q311" s="227"/>
      <c r="R311" s="227"/>
      <c r="S311" s="227"/>
      <c r="T311" s="227"/>
      <c r="U311" s="227"/>
      <c r="V311" s="227"/>
      <c r="W311" s="227"/>
      <c r="X311" s="227"/>
      <c r="Y311" s="227"/>
      <c r="Z311" s="227"/>
      <c r="AA311" s="227"/>
      <c r="AB311" s="227"/>
      <c r="AC311" s="227"/>
      <c r="AD311" s="227"/>
      <c r="AE311" s="227"/>
    </row>
    <row r="312" ht="15.75" customHeight="1">
      <c r="A312" s="227"/>
      <c r="B312" s="227"/>
      <c r="C312" s="227"/>
      <c r="D312" s="227"/>
      <c r="E312" s="227"/>
      <c r="F312" s="227"/>
      <c r="G312" s="227"/>
      <c r="H312" s="227"/>
      <c r="I312" s="227"/>
      <c r="J312" s="227"/>
      <c r="K312" s="227"/>
      <c r="L312" s="227"/>
      <c r="M312" s="227"/>
      <c r="N312" s="227"/>
      <c r="O312" s="227"/>
      <c r="P312" s="227"/>
      <c r="Q312" s="227"/>
      <c r="R312" s="227"/>
      <c r="S312" s="227"/>
      <c r="T312" s="227"/>
      <c r="U312" s="227"/>
      <c r="V312" s="227"/>
      <c r="W312" s="227"/>
      <c r="X312" s="227"/>
      <c r="Y312" s="227"/>
      <c r="Z312" s="227"/>
      <c r="AA312" s="227"/>
      <c r="AB312" s="227"/>
      <c r="AC312" s="227"/>
      <c r="AD312" s="227"/>
      <c r="AE312" s="227"/>
    </row>
    <row r="313" ht="15.75" customHeight="1">
      <c r="A313" s="227"/>
      <c r="B313" s="227"/>
      <c r="C313" s="227"/>
      <c r="D313" s="227"/>
      <c r="E313" s="227"/>
      <c r="F313" s="227"/>
      <c r="G313" s="227"/>
      <c r="H313" s="227"/>
      <c r="I313" s="227"/>
      <c r="J313" s="227"/>
      <c r="K313" s="227"/>
      <c r="L313" s="227"/>
      <c r="M313" s="227"/>
      <c r="N313" s="227"/>
      <c r="O313" s="227"/>
      <c r="P313" s="227"/>
      <c r="Q313" s="227"/>
      <c r="R313" s="227"/>
      <c r="S313" s="227"/>
      <c r="T313" s="227"/>
      <c r="U313" s="227"/>
      <c r="V313" s="227"/>
      <c r="W313" s="227"/>
      <c r="X313" s="227"/>
      <c r="Y313" s="227"/>
      <c r="Z313" s="227"/>
      <c r="AA313" s="227"/>
      <c r="AB313" s="227"/>
      <c r="AC313" s="227"/>
      <c r="AD313" s="227"/>
      <c r="AE313" s="227"/>
    </row>
    <row r="314" ht="15.75" customHeight="1">
      <c r="A314" s="227"/>
      <c r="B314" s="227"/>
      <c r="C314" s="227"/>
      <c r="D314" s="227"/>
      <c r="E314" s="227"/>
      <c r="F314" s="227"/>
      <c r="G314" s="227"/>
      <c r="H314" s="227"/>
      <c r="I314" s="227"/>
      <c r="J314" s="227"/>
      <c r="K314" s="227"/>
      <c r="L314" s="227"/>
      <c r="M314" s="227"/>
      <c r="N314" s="227"/>
      <c r="O314" s="227"/>
      <c r="P314" s="227"/>
      <c r="Q314" s="227"/>
      <c r="R314" s="227"/>
      <c r="S314" s="227"/>
      <c r="T314" s="227"/>
      <c r="U314" s="227"/>
      <c r="V314" s="227"/>
      <c r="W314" s="227"/>
      <c r="X314" s="227"/>
      <c r="Y314" s="227"/>
      <c r="Z314" s="227"/>
      <c r="AA314" s="227"/>
      <c r="AB314" s="227"/>
      <c r="AC314" s="227"/>
      <c r="AD314" s="227"/>
      <c r="AE314" s="227"/>
    </row>
    <row r="315" ht="15.75" customHeight="1">
      <c r="A315" s="227"/>
      <c r="B315" s="227"/>
      <c r="C315" s="227"/>
      <c r="D315" s="227"/>
      <c r="E315" s="227"/>
      <c r="F315" s="227"/>
      <c r="G315" s="227"/>
      <c r="H315" s="227"/>
      <c r="I315" s="227"/>
      <c r="J315" s="227"/>
      <c r="K315" s="227"/>
      <c r="L315" s="227"/>
      <c r="M315" s="227"/>
      <c r="N315" s="227"/>
      <c r="O315" s="227"/>
      <c r="P315" s="227"/>
      <c r="Q315" s="227"/>
      <c r="R315" s="227"/>
      <c r="S315" s="227"/>
      <c r="T315" s="227"/>
      <c r="U315" s="227"/>
      <c r="V315" s="227"/>
      <c r="W315" s="227"/>
      <c r="X315" s="227"/>
      <c r="Y315" s="227"/>
      <c r="Z315" s="227"/>
      <c r="AA315" s="227"/>
      <c r="AB315" s="227"/>
      <c r="AC315" s="227"/>
      <c r="AD315" s="227"/>
      <c r="AE315" s="227"/>
    </row>
    <row r="316" ht="15.75" customHeight="1">
      <c r="A316" s="227"/>
      <c r="B316" s="227"/>
      <c r="C316" s="227"/>
      <c r="D316" s="227"/>
      <c r="E316" s="227"/>
      <c r="F316" s="227"/>
      <c r="G316" s="227"/>
      <c r="H316" s="227"/>
      <c r="I316" s="227"/>
      <c r="J316" s="227"/>
      <c r="K316" s="227"/>
      <c r="L316" s="227"/>
      <c r="M316" s="227"/>
      <c r="N316" s="227"/>
      <c r="O316" s="227"/>
      <c r="P316" s="227"/>
      <c r="Q316" s="227"/>
      <c r="R316" s="227"/>
      <c r="S316" s="227"/>
      <c r="T316" s="227"/>
      <c r="U316" s="227"/>
      <c r="V316" s="227"/>
      <c r="W316" s="227"/>
      <c r="X316" s="227"/>
      <c r="Y316" s="227"/>
      <c r="Z316" s="227"/>
      <c r="AA316" s="227"/>
      <c r="AB316" s="227"/>
      <c r="AC316" s="227"/>
      <c r="AD316" s="227"/>
      <c r="AE316" s="227"/>
    </row>
    <row r="317" ht="15.75" customHeight="1">
      <c r="A317" s="227"/>
      <c r="B317" s="227"/>
      <c r="C317" s="227"/>
      <c r="D317" s="227"/>
      <c r="E317" s="227"/>
      <c r="F317" s="227"/>
      <c r="G317" s="227"/>
      <c r="H317" s="227"/>
      <c r="I317" s="227"/>
      <c r="J317" s="227"/>
      <c r="K317" s="227"/>
      <c r="L317" s="227"/>
      <c r="M317" s="227"/>
      <c r="N317" s="227"/>
      <c r="O317" s="227"/>
      <c r="P317" s="227"/>
      <c r="Q317" s="227"/>
      <c r="R317" s="227"/>
      <c r="S317" s="227"/>
      <c r="T317" s="227"/>
      <c r="U317" s="227"/>
      <c r="V317" s="227"/>
      <c r="W317" s="227"/>
      <c r="X317" s="227"/>
      <c r="Y317" s="227"/>
      <c r="Z317" s="227"/>
      <c r="AA317" s="227"/>
      <c r="AB317" s="227"/>
      <c r="AC317" s="227"/>
      <c r="AD317" s="227"/>
      <c r="AE317" s="227"/>
    </row>
    <row r="318" ht="15.75" customHeight="1">
      <c r="A318" s="227"/>
      <c r="B318" s="227"/>
      <c r="C318" s="227"/>
      <c r="D318" s="227"/>
      <c r="E318" s="227"/>
      <c r="F318" s="227"/>
      <c r="G318" s="227"/>
      <c r="H318" s="227"/>
      <c r="I318" s="227"/>
      <c r="J318" s="227"/>
      <c r="K318" s="227"/>
      <c r="L318" s="227"/>
      <c r="M318" s="227"/>
      <c r="N318" s="227"/>
      <c r="O318" s="227"/>
      <c r="P318" s="227"/>
      <c r="Q318" s="227"/>
      <c r="R318" s="227"/>
      <c r="S318" s="227"/>
      <c r="T318" s="227"/>
      <c r="U318" s="227"/>
      <c r="V318" s="227"/>
      <c r="W318" s="227"/>
      <c r="X318" s="227"/>
      <c r="Y318" s="227"/>
      <c r="Z318" s="227"/>
      <c r="AA318" s="227"/>
      <c r="AB318" s="227"/>
      <c r="AC318" s="227"/>
      <c r="AD318" s="227"/>
      <c r="AE318" s="227"/>
    </row>
    <row r="319" ht="15.75" customHeight="1">
      <c r="A319" s="227"/>
      <c r="B319" s="227"/>
      <c r="C319" s="227"/>
      <c r="D319" s="227"/>
      <c r="E319" s="227"/>
      <c r="F319" s="227"/>
      <c r="G319" s="227"/>
      <c r="H319" s="227"/>
      <c r="I319" s="227"/>
      <c r="J319" s="227"/>
      <c r="K319" s="227"/>
      <c r="L319" s="227"/>
      <c r="M319" s="227"/>
      <c r="N319" s="227"/>
      <c r="O319" s="227"/>
      <c r="P319" s="227"/>
      <c r="Q319" s="227"/>
      <c r="R319" s="227"/>
      <c r="S319" s="227"/>
      <c r="T319" s="227"/>
      <c r="U319" s="227"/>
      <c r="V319" s="227"/>
      <c r="W319" s="227"/>
      <c r="X319" s="227"/>
      <c r="Y319" s="227"/>
      <c r="Z319" s="227"/>
      <c r="AA319" s="227"/>
      <c r="AB319" s="227"/>
      <c r="AC319" s="227"/>
      <c r="AD319" s="227"/>
      <c r="AE319" s="227"/>
    </row>
    <row r="320" ht="15.75" customHeight="1">
      <c r="A320" s="227"/>
      <c r="B320" s="227"/>
      <c r="C320" s="227"/>
      <c r="D320" s="227"/>
      <c r="E320" s="227"/>
      <c r="F320" s="227"/>
      <c r="G320" s="227"/>
      <c r="H320" s="227"/>
      <c r="I320" s="227"/>
      <c r="J320" s="227"/>
      <c r="K320" s="227"/>
      <c r="L320" s="227"/>
      <c r="M320" s="227"/>
      <c r="N320" s="227"/>
      <c r="O320" s="227"/>
      <c r="P320" s="227"/>
      <c r="Q320" s="227"/>
      <c r="R320" s="227"/>
      <c r="S320" s="227"/>
      <c r="T320" s="227"/>
      <c r="U320" s="227"/>
      <c r="V320" s="227"/>
      <c r="W320" s="227"/>
      <c r="X320" s="227"/>
      <c r="Y320" s="227"/>
      <c r="Z320" s="227"/>
      <c r="AA320" s="227"/>
      <c r="AB320" s="227"/>
      <c r="AC320" s="227"/>
      <c r="AD320" s="227"/>
      <c r="AE320" s="227"/>
    </row>
    <row r="321" ht="15.75" customHeight="1">
      <c r="A321" s="227"/>
      <c r="B321" s="227"/>
      <c r="C321" s="227"/>
      <c r="D321" s="227"/>
      <c r="E321" s="227"/>
      <c r="F321" s="227"/>
      <c r="G321" s="227"/>
      <c r="H321" s="227"/>
      <c r="I321" s="227"/>
      <c r="J321" s="227"/>
      <c r="K321" s="227"/>
      <c r="L321" s="227"/>
      <c r="M321" s="227"/>
      <c r="N321" s="227"/>
      <c r="O321" s="227"/>
      <c r="P321" s="227"/>
      <c r="Q321" s="227"/>
      <c r="R321" s="227"/>
      <c r="S321" s="227"/>
      <c r="T321" s="227"/>
      <c r="U321" s="227"/>
      <c r="V321" s="227"/>
      <c r="W321" s="227"/>
      <c r="X321" s="227"/>
      <c r="Y321" s="227"/>
      <c r="Z321" s="227"/>
      <c r="AA321" s="227"/>
      <c r="AB321" s="227"/>
      <c r="AC321" s="227"/>
      <c r="AD321" s="227"/>
      <c r="AE321" s="227"/>
    </row>
    <row r="322" ht="15.75" customHeight="1">
      <c r="A322" s="227"/>
      <c r="B322" s="227"/>
      <c r="C322" s="227"/>
      <c r="D322" s="227"/>
      <c r="E322" s="227"/>
      <c r="F322" s="227"/>
      <c r="G322" s="227"/>
      <c r="H322" s="227"/>
      <c r="I322" s="227"/>
      <c r="J322" s="227"/>
      <c r="K322" s="227"/>
      <c r="L322" s="227"/>
      <c r="M322" s="227"/>
      <c r="N322" s="227"/>
      <c r="O322" s="227"/>
      <c r="P322" s="227"/>
      <c r="Q322" s="227"/>
      <c r="R322" s="227"/>
      <c r="S322" s="227"/>
      <c r="T322" s="227"/>
      <c r="U322" s="227"/>
      <c r="V322" s="227"/>
      <c r="W322" s="227"/>
      <c r="X322" s="227"/>
      <c r="Y322" s="227"/>
      <c r="Z322" s="227"/>
      <c r="AA322" s="227"/>
      <c r="AB322" s="227"/>
      <c r="AC322" s="227"/>
      <c r="AD322" s="227"/>
      <c r="AE322" s="227"/>
    </row>
    <row r="323" ht="15.75" customHeight="1">
      <c r="A323" s="227"/>
      <c r="B323" s="227"/>
      <c r="C323" s="227"/>
      <c r="D323" s="227"/>
      <c r="E323" s="227"/>
      <c r="F323" s="227"/>
      <c r="G323" s="227"/>
      <c r="H323" s="227"/>
      <c r="I323" s="227"/>
      <c r="J323" s="227"/>
      <c r="K323" s="227"/>
      <c r="L323" s="227"/>
      <c r="M323" s="227"/>
      <c r="N323" s="227"/>
      <c r="O323" s="227"/>
      <c r="P323" s="227"/>
      <c r="Q323" s="227"/>
      <c r="R323" s="227"/>
      <c r="S323" s="227"/>
      <c r="T323" s="227"/>
      <c r="U323" s="227"/>
      <c r="V323" s="227"/>
      <c r="W323" s="227"/>
      <c r="X323" s="227"/>
      <c r="Y323" s="227"/>
      <c r="Z323" s="227"/>
      <c r="AA323" s="227"/>
      <c r="AB323" s="227"/>
      <c r="AC323" s="227"/>
      <c r="AD323" s="227"/>
      <c r="AE323" s="227"/>
    </row>
    <row r="324" ht="15.75" customHeight="1">
      <c r="A324" s="227"/>
      <c r="B324" s="227"/>
      <c r="C324" s="227"/>
      <c r="D324" s="227"/>
      <c r="E324" s="227"/>
      <c r="F324" s="227"/>
      <c r="G324" s="227"/>
      <c r="H324" s="227"/>
      <c r="I324" s="227"/>
      <c r="J324" s="227"/>
      <c r="K324" s="227"/>
      <c r="L324" s="227"/>
      <c r="M324" s="227"/>
      <c r="N324" s="227"/>
      <c r="O324" s="227"/>
      <c r="P324" s="227"/>
      <c r="Q324" s="227"/>
      <c r="R324" s="227"/>
      <c r="S324" s="227"/>
      <c r="T324" s="227"/>
      <c r="U324" s="227"/>
      <c r="V324" s="227"/>
      <c r="W324" s="227"/>
      <c r="X324" s="227"/>
      <c r="Y324" s="227"/>
      <c r="Z324" s="227"/>
      <c r="AA324" s="227"/>
      <c r="AB324" s="227"/>
      <c r="AC324" s="227"/>
      <c r="AD324" s="227"/>
      <c r="AE324" s="227"/>
    </row>
    <row r="325" ht="15.75" customHeight="1">
      <c r="A325" s="227"/>
      <c r="B325" s="227"/>
      <c r="C325" s="227"/>
      <c r="D325" s="227"/>
      <c r="E325" s="227"/>
      <c r="F325" s="227"/>
      <c r="G325" s="227"/>
      <c r="H325" s="227"/>
      <c r="I325" s="227"/>
      <c r="J325" s="227"/>
      <c r="K325" s="227"/>
      <c r="L325" s="227"/>
      <c r="M325" s="227"/>
      <c r="N325" s="227"/>
      <c r="O325" s="227"/>
      <c r="P325" s="227"/>
      <c r="Q325" s="227"/>
      <c r="R325" s="227"/>
      <c r="S325" s="227"/>
      <c r="T325" s="227"/>
      <c r="U325" s="227"/>
      <c r="V325" s="227"/>
      <c r="W325" s="227"/>
      <c r="X325" s="227"/>
      <c r="Y325" s="227"/>
      <c r="Z325" s="227"/>
      <c r="AA325" s="227"/>
      <c r="AB325" s="227"/>
      <c r="AC325" s="227"/>
      <c r="AD325" s="227"/>
      <c r="AE325" s="227"/>
    </row>
    <row r="326" ht="15.75" customHeight="1">
      <c r="A326" s="227"/>
      <c r="B326" s="227"/>
      <c r="C326" s="227"/>
      <c r="D326" s="227"/>
      <c r="E326" s="227"/>
      <c r="F326" s="227"/>
      <c r="G326" s="227"/>
      <c r="H326" s="227"/>
      <c r="I326" s="227"/>
      <c r="J326" s="227"/>
      <c r="K326" s="227"/>
      <c r="L326" s="227"/>
      <c r="M326" s="227"/>
      <c r="N326" s="227"/>
      <c r="O326" s="227"/>
      <c r="P326" s="227"/>
      <c r="Q326" s="227"/>
      <c r="R326" s="227"/>
      <c r="S326" s="227"/>
      <c r="T326" s="227"/>
      <c r="U326" s="227"/>
      <c r="V326" s="227"/>
      <c r="W326" s="227"/>
      <c r="X326" s="227"/>
      <c r="Y326" s="227"/>
      <c r="Z326" s="227"/>
      <c r="AA326" s="227"/>
      <c r="AB326" s="227"/>
      <c r="AC326" s="227"/>
      <c r="AD326" s="227"/>
      <c r="AE326" s="227"/>
    </row>
    <row r="327" ht="15.75" customHeight="1">
      <c r="A327" s="227"/>
      <c r="B327" s="227"/>
      <c r="C327" s="227"/>
      <c r="D327" s="227"/>
      <c r="E327" s="227"/>
      <c r="F327" s="227"/>
      <c r="G327" s="227"/>
      <c r="H327" s="227"/>
      <c r="I327" s="227"/>
      <c r="J327" s="227"/>
      <c r="K327" s="227"/>
      <c r="L327" s="227"/>
      <c r="M327" s="227"/>
      <c r="N327" s="227"/>
      <c r="O327" s="227"/>
      <c r="P327" s="227"/>
      <c r="Q327" s="227"/>
      <c r="R327" s="227"/>
      <c r="S327" s="227"/>
      <c r="T327" s="227"/>
      <c r="U327" s="227"/>
      <c r="V327" s="227"/>
      <c r="W327" s="227"/>
      <c r="X327" s="227"/>
      <c r="Y327" s="227"/>
      <c r="Z327" s="227"/>
      <c r="AA327" s="227"/>
      <c r="AB327" s="227"/>
      <c r="AC327" s="227"/>
      <c r="AD327" s="227"/>
      <c r="AE327" s="227"/>
    </row>
    <row r="328" ht="15.75" customHeight="1">
      <c r="A328" s="227"/>
      <c r="B328" s="227"/>
      <c r="C328" s="227"/>
      <c r="D328" s="227"/>
      <c r="E328" s="227"/>
      <c r="F328" s="227"/>
      <c r="G328" s="227"/>
      <c r="H328" s="227"/>
      <c r="I328" s="227"/>
      <c r="J328" s="227"/>
      <c r="K328" s="227"/>
      <c r="L328" s="227"/>
      <c r="M328" s="227"/>
      <c r="N328" s="227"/>
      <c r="O328" s="227"/>
      <c r="P328" s="227"/>
      <c r="Q328" s="227"/>
      <c r="R328" s="227"/>
      <c r="S328" s="227"/>
      <c r="T328" s="227"/>
      <c r="U328" s="227"/>
      <c r="V328" s="227"/>
      <c r="W328" s="227"/>
      <c r="X328" s="227"/>
      <c r="Y328" s="227"/>
      <c r="Z328" s="227"/>
      <c r="AA328" s="227"/>
      <c r="AB328" s="227"/>
      <c r="AC328" s="227"/>
      <c r="AD328" s="227"/>
      <c r="AE328" s="227"/>
    </row>
    <row r="329" ht="15.75" customHeight="1">
      <c r="A329" s="227"/>
      <c r="B329" s="227"/>
      <c r="C329" s="227"/>
      <c r="D329" s="227"/>
      <c r="E329" s="227"/>
      <c r="F329" s="227"/>
      <c r="G329" s="227"/>
      <c r="H329" s="227"/>
      <c r="I329" s="227"/>
      <c r="J329" s="227"/>
      <c r="K329" s="227"/>
      <c r="L329" s="227"/>
      <c r="M329" s="227"/>
      <c r="N329" s="227"/>
      <c r="O329" s="227"/>
      <c r="P329" s="227"/>
      <c r="Q329" s="227"/>
      <c r="R329" s="227"/>
      <c r="S329" s="227"/>
      <c r="T329" s="227"/>
      <c r="U329" s="227"/>
      <c r="V329" s="227"/>
      <c r="W329" s="227"/>
      <c r="X329" s="227"/>
      <c r="Y329" s="227"/>
      <c r="Z329" s="227"/>
      <c r="AA329" s="227"/>
      <c r="AB329" s="227"/>
      <c r="AC329" s="227"/>
      <c r="AD329" s="227"/>
      <c r="AE329" s="227"/>
    </row>
    <row r="330" ht="15.75" customHeight="1">
      <c r="A330" s="227"/>
      <c r="B330" s="227"/>
      <c r="C330" s="227"/>
      <c r="D330" s="227"/>
      <c r="E330" s="227"/>
      <c r="F330" s="227"/>
      <c r="G330" s="227"/>
      <c r="H330" s="227"/>
      <c r="I330" s="227"/>
      <c r="J330" s="227"/>
      <c r="K330" s="227"/>
      <c r="L330" s="227"/>
      <c r="M330" s="227"/>
      <c r="N330" s="227"/>
      <c r="O330" s="227"/>
      <c r="P330" s="227"/>
      <c r="Q330" s="227"/>
      <c r="R330" s="227"/>
      <c r="S330" s="227"/>
      <c r="T330" s="227"/>
      <c r="U330" s="227"/>
      <c r="V330" s="227"/>
      <c r="W330" s="227"/>
      <c r="X330" s="227"/>
      <c r="Y330" s="227"/>
      <c r="Z330" s="227"/>
      <c r="AA330" s="227"/>
      <c r="AB330" s="227"/>
      <c r="AC330" s="227"/>
      <c r="AD330" s="227"/>
      <c r="AE330" s="227"/>
    </row>
    <row r="331" ht="15.75" customHeight="1">
      <c r="A331" s="227"/>
      <c r="B331" s="227"/>
      <c r="C331" s="227"/>
      <c r="D331" s="227"/>
      <c r="E331" s="227"/>
      <c r="F331" s="227"/>
      <c r="G331" s="227"/>
      <c r="H331" s="227"/>
      <c r="I331" s="227"/>
      <c r="J331" s="227"/>
      <c r="K331" s="227"/>
      <c r="L331" s="227"/>
      <c r="M331" s="227"/>
      <c r="N331" s="227"/>
      <c r="O331" s="227"/>
      <c r="P331" s="227"/>
      <c r="Q331" s="227"/>
      <c r="R331" s="227"/>
      <c r="S331" s="227"/>
      <c r="T331" s="227"/>
      <c r="U331" s="227"/>
      <c r="V331" s="227"/>
      <c r="W331" s="227"/>
      <c r="X331" s="227"/>
      <c r="Y331" s="227"/>
      <c r="Z331" s="227"/>
      <c r="AA331" s="227"/>
      <c r="AB331" s="227"/>
      <c r="AC331" s="227"/>
      <c r="AD331" s="227"/>
      <c r="AE331" s="227"/>
    </row>
    <row r="332" ht="15.75" customHeight="1">
      <c r="A332" s="227"/>
      <c r="B332" s="227"/>
      <c r="C332" s="227"/>
      <c r="D332" s="227"/>
      <c r="E332" s="227"/>
      <c r="F332" s="227"/>
      <c r="G332" s="227"/>
      <c r="H332" s="227"/>
      <c r="I332" s="227"/>
      <c r="J332" s="227"/>
      <c r="K332" s="227"/>
      <c r="L332" s="227"/>
      <c r="M332" s="227"/>
      <c r="N332" s="227"/>
      <c r="O332" s="227"/>
      <c r="P332" s="227"/>
      <c r="Q332" s="227"/>
      <c r="R332" s="227"/>
      <c r="S332" s="227"/>
      <c r="T332" s="227"/>
      <c r="U332" s="227"/>
      <c r="V332" s="227"/>
      <c r="W332" s="227"/>
      <c r="X332" s="227"/>
      <c r="Y332" s="227"/>
      <c r="Z332" s="227"/>
      <c r="AA332" s="227"/>
      <c r="AB332" s="227"/>
      <c r="AC332" s="227"/>
      <c r="AD332" s="227"/>
      <c r="AE332" s="227"/>
    </row>
    <row r="333" ht="15.75" customHeight="1">
      <c r="A333" s="227"/>
      <c r="B333" s="227"/>
      <c r="C333" s="227"/>
      <c r="D333" s="227"/>
      <c r="E333" s="227"/>
      <c r="F333" s="227"/>
      <c r="G333" s="227"/>
      <c r="H333" s="227"/>
      <c r="I333" s="227"/>
      <c r="J333" s="227"/>
      <c r="K333" s="227"/>
      <c r="L333" s="227"/>
      <c r="M333" s="227"/>
      <c r="N333" s="227"/>
      <c r="O333" s="227"/>
      <c r="P333" s="227"/>
      <c r="Q333" s="227"/>
      <c r="R333" s="227"/>
      <c r="S333" s="227"/>
      <c r="T333" s="227"/>
      <c r="U333" s="227"/>
      <c r="V333" s="227"/>
      <c r="W333" s="227"/>
      <c r="X333" s="227"/>
      <c r="Y333" s="227"/>
      <c r="Z333" s="227"/>
      <c r="AA333" s="227"/>
      <c r="AB333" s="227"/>
      <c r="AC333" s="227"/>
      <c r="AD333" s="227"/>
      <c r="AE333" s="227"/>
    </row>
    <row r="334" ht="15.75" customHeight="1">
      <c r="A334" s="227"/>
      <c r="B334" s="227"/>
      <c r="C334" s="227"/>
      <c r="D334" s="227"/>
      <c r="E334" s="227"/>
      <c r="F334" s="227"/>
      <c r="G334" s="227"/>
      <c r="H334" s="227"/>
      <c r="I334" s="227"/>
      <c r="J334" s="227"/>
      <c r="K334" s="227"/>
      <c r="L334" s="227"/>
      <c r="M334" s="227"/>
      <c r="N334" s="227"/>
      <c r="O334" s="227"/>
      <c r="P334" s="227"/>
      <c r="Q334" s="227"/>
      <c r="R334" s="227"/>
      <c r="S334" s="227"/>
      <c r="T334" s="227"/>
      <c r="U334" s="227"/>
      <c r="V334" s="227"/>
      <c r="W334" s="227"/>
      <c r="X334" s="227"/>
      <c r="Y334" s="227"/>
      <c r="Z334" s="227"/>
      <c r="AA334" s="227"/>
      <c r="AB334" s="227"/>
      <c r="AC334" s="227"/>
      <c r="AD334" s="227"/>
      <c r="AE334" s="227"/>
    </row>
    <row r="335" ht="15.75" customHeight="1">
      <c r="A335" s="227"/>
      <c r="B335" s="227"/>
      <c r="C335" s="227"/>
      <c r="D335" s="227"/>
      <c r="E335" s="227"/>
      <c r="F335" s="227"/>
      <c r="G335" s="227"/>
      <c r="H335" s="227"/>
      <c r="I335" s="227"/>
      <c r="J335" s="227"/>
      <c r="K335" s="227"/>
      <c r="L335" s="227"/>
      <c r="M335" s="227"/>
      <c r="N335" s="227"/>
      <c r="O335" s="227"/>
      <c r="P335" s="227"/>
      <c r="Q335" s="227"/>
      <c r="R335" s="227"/>
      <c r="S335" s="227"/>
      <c r="T335" s="227"/>
      <c r="U335" s="227"/>
      <c r="V335" s="227"/>
      <c r="W335" s="227"/>
      <c r="X335" s="227"/>
      <c r="Y335" s="227"/>
      <c r="Z335" s="227"/>
      <c r="AA335" s="227"/>
      <c r="AB335" s="227"/>
      <c r="AC335" s="227"/>
      <c r="AD335" s="227"/>
      <c r="AE335" s="227"/>
    </row>
    <row r="336" ht="15.75" customHeight="1">
      <c r="A336" s="227"/>
      <c r="B336" s="227"/>
      <c r="C336" s="227"/>
      <c r="D336" s="227"/>
      <c r="E336" s="227"/>
      <c r="F336" s="227"/>
      <c r="G336" s="227"/>
      <c r="H336" s="227"/>
      <c r="I336" s="227"/>
      <c r="J336" s="227"/>
      <c r="K336" s="227"/>
      <c r="L336" s="227"/>
      <c r="M336" s="227"/>
      <c r="N336" s="227"/>
      <c r="O336" s="227"/>
      <c r="P336" s="227"/>
      <c r="Q336" s="227"/>
      <c r="R336" s="227"/>
      <c r="S336" s="227"/>
      <c r="T336" s="227"/>
      <c r="U336" s="227"/>
      <c r="V336" s="227"/>
      <c r="W336" s="227"/>
      <c r="X336" s="227"/>
      <c r="Y336" s="227"/>
      <c r="Z336" s="227"/>
      <c r="AA336" s="227"/>
      <c r="AB336" s="227"/>
      <c r="AC336" s="227"/>
      <c r="AD336" s="227"/>
      <c r="AE336" s="227"/>
    </row>
    <row r="337" ht="15.75" customHeight="1">
      <c r="A337" s="227"/>
      <c r="B337" s="227"/>
      <c r="C337" s="227"/>
      <c r="D337" s="227"/>
      <c r="E337" s="227"/>
      <c r="F337" s="227"/>
      <c r="G337" s="227"/>
      <c r="H337" s="227"/>
      <c r="I337" s="227"/>
      <c r="J337" s="227"/>
      <c r="K337" s="227"/>
      <c r="L337" s="227"/>
      <c r="M337" s="227"/>
      <c r="N337" s="227"/>
      <c r="O337" s="227"/>
      <c r="P337" s="227"/>
      <c r="Q337" s="227"/>
      <c r="R337" s="227"/>
      <c r="S337" s="227"/>
      <c r="T337" s="227"/>
      <c r="U337" s="227"/>
      <c r="V337" s="227"/>
      <c r="W337" s="227"/>
      <c r="X337" s="227"/>
      <c r="Y337" s="227"/>
      <c r="Z337" s="227"/>
      <c r="AA337" s="227"/>
      <c r="AB337" s="227"/>
      <c r="AC337" s="227"/>
      <c r="AD337" s="227"/>
      <c r="AE337" s="227"/>
    </row>
    <row r="338" ht="15.75" customHeight="1">
      <c r="A338" s="227"/>
      <c r="B338" s="227"/>
      <c r="C338" s="227"/>
      <c r="D338" s="227"/>
      <c r="E338" s="227"/>
      <c r="F338" s="227"/>
      <c r="G338" s="227"/>
      <c r="H338" s="227"/>
      <c r="I338" s="227"/>
      <c r="J338" s="227"/>
      <c r="K338" s="227"/>
      <c r="L338" s="227"/>
      <c r="M338" s="227"/>
      <c r="N338" s="227"/>
      <c r="O338" s="227"/>
      <c r="P338" s="227"/>
      <c r="Q338" s="227"/>
      <c r="R338" s="227"/>
      <c r="S338" s="227"/>
      <c r="T338" s="227"/>
      <c r="U338" s="227"/>
      <c r="V338" s="227"/>
      <c r="W338" s="227"/>
      <c r="X338" s="227"/>
      <c r="Y338" s="227"/>
      <c r="Z338" s="227"/>
      <c r="AA338" s="227"/>
      <c r="AB338" s="227"/>
      <c r="AC338" s="227"/>
      <c r="AD338" s="227"/>
      <c r="AE338" s="227"/>
    </row>
    <row r="339" ht="15.75" customHeight="1">
      <c r="A339" s="227"/>
      <c r="B339" s="227"/>
      <c r="C339" s="227"/>
      <c r="D339" s="227"/>
      <c r="E339" s="227"/>
      <c r="F339" s="227"/>
      <c r="G339" s="227"/>
      <c r="H339" s="227"/>
      <c r="I339" s="227"/>
      <c r="J339" s="227"/>
      <c r="K339" s="227"/>
      <c r="L339" s="227"/>
      <c r="M339" s="227"/>
      <c r="N339" s="227"/>
      <c r="O339" s="227"/>
      <c r="P339" s="227"/>
      <c r="Q339" s="227"/>
      <c r="R339" s="227"/>
      <c r="S339" s="227"/>
      <c r="T339" s="227"/>
      <c r="U339" s="227"/>
      <c r="V339" s="227"/>
      <c r="W339" s="227"/>
      <c r="X339" s="227"/>
      <c r="Y339" s="227"/>
      <c r="Z339" s="227"/>
      <c r="AA339" s="227"/>
      <c r="AB339" s="227"/>
      <c r="AC339" s="227"/>
      <c r="AD339" s="227"/>
      <c r="AE339" s="227"/>
    </row>
    <row r="340" ht="15.75" customHeight="1">
      <c r="A340" s="227"/>
      <c r="B340" s="227"/>
      <c r="C340" s="227"/>
      <c r="D340" s="227"/>
      <c r="E340" s="227"/>
      <c r="F340" s="227"/>
      <c r="G340" s="227"/>
      <c r="H340" s="227"/>
      <c r="I340" s="227"/>
      <c r="J340" s="227"/>
      <c r="K340" s="227"/>
      <c r="L340" s="227"/>
      <c r="M340" s="227"/>
      <c r="N340" s="227"/>
      <c r="O340" s="227"/>
      <c r="P340" s="227"/>
      <c r="Q340" s="227"/>
      <c r="R340" s="227"/>
      <c r="S340" s="227"/>
      <c r="T340" s="227"/>
      <c r="U340" s="227"/>
      <c r="V340" s="227"/>
      <c r="W340" s="227"/>
      <c r="X340" s="227"/>
      <c r="Y340" s="227"/>
      <c r="Z340" s="227"/>
      <c r="AA340" s="227"/>
      <c r="AB340" s="227"/>
      <c r="AC340" s="227"/>
      <c r="AD340" s="227"/>
      <c r="AE340" s="227"/>
    </row>
    <row r="341" ht="15.75" customHeight="1">
      <c r="A341" s="227"/>
      <c r="B341" s="227"/>
      <c r="C341" s="227"/>
      <c r="D341" s="227"/>
      <c r="E341" s="227"/>
      <c r="F341" s="227"/>
      <c r="G341" s="227"/>
      <c r="H341" s="227"/>
      <c r="I341" s="227"/>
      <c r="J341" s="227"/>
      <c r="K341" s="227"/>
      <c r="L341" s="227"/>
      <c r="M341" s="227"/>
      <c r="N341" s="227"/>
      <c r="O341" s="227"/>
      <c r="P341" s="227"/>
      <c r="Q341" s="227"/>
      <c r="R341" s="227"/>
      <c r="S341" s="227"/>
      <c r="T341" s="227"/>
      <c r="U341" s="227"/>
      <c r="V341" s="227"/>
      <c r="W341" s="227"/>
      <c r="X341" s="227"/>
      <c r="Y341" s="227"/>
      <c r="Z341" s="227"/>
      <c r="AA341" s="227"/>
      <c r="AB341" s="227"/>
      <c r="AC341" s="227"/>
      <c r="AD341" s="227"/>
      <c r="AE341" s="227"/>
    </row>
    <row r="342" ht="15.75" customHeight="1">
      <c r="A342" s="227"/>
      <c r="B342" s="227"/>
      <c r="C342" s="227"/>
      <c r="D342" s="227"/>
      <c r="E342" s="227"/>
      <c r="F342" s="227"/>
      <c r="G342" s="227"/>
      <c r="H342" s="227"/>
      <c r="I342" s="227"/>
      <c r="J342" s="227"/>
      <c r="K342" s="227"/>
      <c r="L342" s="227"/>
      <c r="M342" s="227"/>
      <c r="N342" s="227"/>
      <c r="O342" s="227"/>
      <c r="P342" s="227"/>
      <c r="Q342" s="227"/>
      <c r="R342" s="227"/>
      <c r="S342" s="227"/>
      <c r="T342" s="227"/>
      <c r="U342" s="227"/>
      <c r="V342" s="227"/>
      <c r="W342" s="227"/>
      <c r="X342" s="227"/>
      <c r="Y342" s="227"/>
      <c r="Z342" s="227"/>
      <c r="AA342" s="227"/>
      <c r="AB342" s="227"/>
      <c r="AC342" s="227"/>
      <c r="AD342" s="227"/>
      <c r="AE342" s="227"/>
    </row>
    <row r="343" ht="15.75" customHeight="1">
      <c r="A343" s="227"/>
      <c r="B343" s="227"/>
      <c r="C343" s="227"/>
      <c r="D343" s="227"/>
      <c r="E343" s="227"/>
      <c r="F343" s="227"/>
      <c r="G343" s="227"/>
      <c r="H343" s="227"/>
      <c r="I343" s="227"/>
      <c r="J343" s="227"/>
      <c r="K343" s="227"/>
      <c r="L343" s="227"/>
      <c r="M343" s="227"/>
      <c r="N343" s="227"/>
      <c r="O343" s="227"/>
      <c r="P343" s="227"/>
      <c r="Q343" s="227"/>
      <c r="R343" s="227"/>
      <c r="S343" s="227"/>
      <c r="T343" s="227"/>
      <c r="U343" s="227"/>
      <c r="V343" s="227"/>
      <c r="W343" s="227"/>
      <c r="X343" s="227"/>
      <c r="Y343" s="227"/>
      <c r="Z343" s="227"/>
      <c r="AA343" s="227"/>
      <c r="AB343" s="227"/>
      <c r="AC343" s="227"/>
      <c r="AD343" s="227"/>
      <c r="AE343" s="227"/>
    </row>
    <row r="344" ht="15.75" customHeight="1">
      <c r="A344" s="227"/>
      <c r="B344" s="227"/>
      <c r="C344" s="227"/>
      <c r="D344" s="227"/>
      <c r="E344" s="227"/>
      <c r="F344" s="227"/>
      <c r="G344" s="227"/>
      <c r="H344" s="227"/>
      <c r="I344" s="227"/>
      <c r="J344" s="227"/>
      <c r="K344" s="227"/>
      <c r="L344" s="227"/>
      <c r="M344" s="227"/>
      <c r="N344" s="227"/>
      <c r="O344" s="227"/>
      <c r="P344" s="227"/>
      <c r="Q344" s="227"/>
      <c r="R344" s="227"/>
      <c r="S344" s="227"/>
      <c r="T344" s="227"/>
      <c r="U344" s="227"/>
      <c r="V344" s="227"/>
      <c r="W344" s="227"/>
      <c r="X344" s="227"/>
      <c r="Y344" s="227"/>
      <c r="Z344" s="227"/>
      <c r="AA344" s="227"/>
      <c r="AB344" s="227"/>
      <c r="AC344" s="227"/>
      <c r="AD344" s="227"/>
      <c r="AE344" s="227"/>
    </row>
    <row r="345" ht="15.75" customHeight="1">
      <c r="A345" s="227"/>
      <c r="B345" s="227"/>
      <c r="C345" s="227"/>
      <c r="D345" s="227"/>
      <c r="E345" s="227"/>
      <c r="F345" s="227"/>
      <c r="G345" s="227"/>
      <c r="H345" s="227"/>
      <c r="I345" s="227"/>
      <c r="J345" s="227"/>
      <c r="K345" s="227"/>
      <c r="L345" s="227"/>
      <c r="M345" s="227"/>
      <c r="N345" s="227"/>
      <c r="O345" s="227"/>
      <c r="P345" s="227"/>
      <c r="Q345" s="227"/>
      <c r="R345" s="227"/>
      <c r="S345" s="227"/>
      <c r="T345" s="227"/>
      <c r="U345" s="227"/>
      <c r="V345" s="227"/>
      <c r="W345" s="227"/>
      <c r="X345" s="227"/>
      <c r="Y345" s="227"/>
      <c r="Z345" s="227"/>
      <c r="AA345" s="227"/>
      <c r="AB345" s="227"/>
      <c r="AC345" s="227"/>
      <c r="AD345" s="227"/>
      <c r="AE345" s="227"/>
    </row>
    <row r="346" ht="15.75" customHeight="1">
      <c r="A346" s="227"/>
      <c r="B346" s="227"/>
      <c r="C346" s="227"/>
      <c r="D346" s="227"/>
      <c r="E346" s="227"/>
      <c r="F346" s="227"/>
      <c r="G346" s="227"/>
      <c r="H346" s="227"/>
      <c r="I346" s="227"/>
      <c r="J346" s="227"/>
      <c r="K346" s="227"/>
      <c r="L346" s="227"/>
      <c r="M346" s="227"/>
      <c r="N346" s="227"/>
      <c r="O346" s="227"/>
      <c r="P346" s="227"/>
      <c r="Q346" s="227"/>
      <c r="R346" s="227"/>
      <c r="S346" s="227"/>
      <c r="T346" s="227"/>
      <c r="U346" s="227"/>
      <c r="V346" s="227"/>
      <c r="W346" s="227"/>
      <c r="X346" s="227"/>
      <c r="Y346" s="227"/>
      <c r="Z346" s="227"/>
      <c r="AA346" s="227"/>
      <c r="AB346" s="227"/>
      <c r="AC346" s="227"/>
      <c r="AD346" s="227"/>
      <c r="AE346" s="227"/>
    </row>
    <row r="347" ht="15.75" customHeight="1">
      <c r="A347" s="227"/>
      <c r="B347" s="227"/>
      <c r="C347" s="227"/>
      <c r="D347" s="227"/>
      <c r="E347" s="227"/>
      <c r="F347" s="227"/>
      <c r="G347" s="227"/>
      <c r="H347" s="227"/>
      <c r="I347" s="227"/>
      <c r="J347" s="227"/>
      <c r="K347" s="227"/>
      <c r="L347" s="227"/>
      <c r="M347" s="227"/>
      <c r="N347" s="227"/>
      <c r="O347" s="227"/>
      <c r="P347" s="227"/>
      <c r="Q347" s="227"/>
      <c r="R347" s="227"/>
      <c r="S347" s="227"/>
      <c r="T347" s="227"/>
      <c r="U347" s="227"/>
      <c r="V347" s="227"/>
      <c r="W347" s="227"/>
      <c r="X347" s="227"/>
      <c r="Y347" s="227"/>
      <c r="Z347" s="227"/>
      <c r="AA347" s="227"/>
      <c r="AB347" s="227"/>
      <c r="AC347" s="227"/>
      <c r="AD347" s="227"/>
      <c r="AE347" s="227"/>
    </row>
    <row r="348" ht="15.75" customHeight="1">
      <c r="A348" s="227"/>
      <c r="B348" s="227"/>
      <c r="C348" s="227"/>
      <c r="D348" s="227"/>
      <c r="E348" s="227"/>
      <c r="F348" s="227"/>
      <c r="G348" s="227"/>
      <c r="H348" s="227"/>
      <c r="I348" s="227"/>
      <c r="J348" s="227"/>
      <c r="K348" s="227"/>
      <c r="L348" s="227"/>
      <c r="M348" s="227"/>
      <c r="N348" s="227"/>
      <c r="O348" s="227"/>
      <c r="P348" s="227"/>
      <c r="Q348" s="227"/>
      <c r="R348" s="227"/>
      <c r="S348" s="227"/>
      <c r="T348" s="227"/>
      <c r="U348" s="227"/>
      <c r="V348" s="227"/>
      <c r="W348" s="227"/>
      <c r="X348" s="227"/>
      <c r="Y348" s="227"/>
      <c r="Z348" s="227"/>
      <c r="AA348" s="227"/>
      <c r="AB348" s="227"/>
      <c r="AC348" s="227"/>
      <c r="AD348" s="227"/>
      <c r="AE348" s="227"/>
    </row>
    <row r="349" ht="15.75" customHeight="1">
      <c r="A349" s="227"/>
      <c r="B349" s="227"/>
      <c r="C349" s="227"/>
      <c r="D349" s="227"/>
      <c r="E349" s="227"/>
      <c r="F349" s="227"/>
      <c r="G349" s="227"/>
      <c r="H349" s="227"/>
      <c r="I349" s="227"/>
      <c r="J349" s="227"/>
      <c r="K349" s="227"/>
      <c r="L349" s="227"/>
      <c r="M349" s="227"/>
      <c r="N349" s="227"/>
      <c r="O349" s="227"/>
      <c r="P349" s="227"/>
      <c r="Q349" s="227"/>
      <c r="R349" s="227"/>
      <c r="S349" s="227"/>
      <c r="T349" s="227"/>
      <c r="U349" s="227"/>
      <c r="V349" s="227"/>
      <c r="W349" s="227"/>
      <c r="X349" s="227"/>
      <c r="Y349" s="227"/>
      <c r="Z349" s="227"/>
      <c r="AA349" s="227"/>
      <c r="AB349" s="227"/>
      <c r="AC349" s="227"/>
      <c r="AD349" s="227"/>
      <c r="AE349" s="227"/>
    </row>
    <row r="350" ht="15.75" customHeight="1">
      <c r="A350" s="227"/>
      <c r="B350" s="227"/>
      <c r="C350" s="227"/>
      <c r="D350" s="227"/>
      <c r="E350" s="227"/>
      <c r="F350" s="227"/>
      <c r="G350" s="227"/>
      <c r="H350" s="227"/>
      <c r="I350" s="227"/>
      <c r="J350" s="227"/>
      <c r="K350" s="227"/>
      <c r="L350" s="227"/>
      <c r="M350" s="227"/>
      <c r="N350" s="227"/>
      <c r="O350" s="227"/>
      <c r="P350" s="227"/>
      <c r="Q350" s="227"/>
      <c r="R350" s="227"/>
      <c r="S350" s="227"/>
      <c r="T350" s="227"/>
      <c r="U350" s="227"/>
      <c r="V350" s="227"/>
      <c r="W350" s="227"/>
      <c r="X350" s="227"/>
      <c r="Y350" s="227"/>
      <c r="Z350" s="227"/>
      <c r="AA350" s="227"/>
      <c r="AB350" s="227"/>
      <c r="AC350" s="227"/>
      <c r="AD350" s="227"/>
      <c r="AE350" s="227"/>
    </row>
    <row r="351" ht="15.75" customHeight="1">
      <c r="A351" s="227"/>
      <c r="B351" s="227"/>
      <c r="C351" s="227"/>
      <c r="D351" s="227"/>
      <c r="E351" s="227"/>
      <c r="F351" s="227"/>
      <c r="G351" s="227"/>
      <c r="H351" s="227"/>
      <c r="I351" s="227"/>
      <c r="J351" s="227"/>
      <c r="K351" s="227"/>
      <c r="L351" s="227"/>
      <c r="M351" s="227"/>
      <c r="N351" s="227"/>
      <c r="O351" s="227"/>
      <c r="P351" s="227"/>
      <c r="Q351" s="227"/>
      <c r="R351" s="227"/>
      <c r="S351" s="227"/>
      <c r="T351" s="227"/>
      <c r="U351" s="227"/>
      <c r="V351" s="227"/>
      <c r="W351" s="227"/>
      <c r="X351" s="227"/>
      <c r="Y351" s="227"/>
      <c r="Z351" s="227"/>
      <c r="AA351" s="227"/>
      <c r="AB351" s="227"/>
      <c r="AC351" s="227"/>
      <c r="AD351" s="227"/>
      <c r="AE351" s="227"/>
    </row>
    <row r="352" ht="15.75" customHeight="1">
      <c r="A352" s="227"/>
      <c r="B352" s="227"/>
      <c r="C352" s="227"/>
      <c r="D352" s="227"/>
      <c r="E352" s="227"/>
      <c r="F352" s="227"/>
      <c r="G352" s="227"/>
      <c r="H352" s="227"/>
      <c r="I352" s="227"/>
      <c r="J352" s="227"/>
      <c r="K352" s="227"/>
      <c r="L352" s="227"/>
      <c r="M352" s="227"/>
      <c r="N352" s="227"/>
      <c r="O352" s="227"/>
      <c r="P352" s="227"/>
      <c r="Q352" s="227"/>
      <c r="R352" s="227"/>
      <c r="S352" s="227"/>
      <c r="T352" s="227"/>
      <c r="U352" s="227"/>
      <c r="V352" s="227"/>
      <c r="W352" s="227"/>
      <c r="X352" s="227"/>
      <c r="Y352" s="227"/>
      <c r="Z352" s="227"/>
      <c r="AA352" s="227"/>
      <c r="AB352" s="227"/>
      <c r="AC352" s="227"/>
      <c r="AD352" s="227"/>
      <c r="AE352" s="227"/>
    </row>
    <row r="353" ht="15.75" customHeight="1">
      <c r="A353" s="227"/>
      <c r="B353" s="227"/>
      <c r="C353" s="227"/>
      <c r="D353" s="227"/>
      <c r="E353" s="227"/>
      <c r="F353" s="227"/>
      <c r="G353" s="227"/>
      <c r="H353" s="227"/>
      <c r="I353" s="227"/>
      <c r="J353" s="227"/>
      <c r="K353" s="227"/>
      <c r="L353" s="227"/>
      <c r="M353" s="227"/>
      <c r="N353" s="227"/>
      <c r="O353" s="227"/>
      <c r="P353" s="227"/>
      <c r="Q353" s="227"/>
      <c r="R353" s="227"/>
      <c r="S353" s="227"/>
      <c r="T353" s="227"/>
      <c r="U353" s="227"/>
      <c r="V353" s="227"/>
      <c r="W353" s="227"/>
      <c r="X353" s="227"/>
      <c r="Y353" s="227"/>
      <c r="Z353" s="227"/>
      <c r="AA353" s="227"/>
      <c r="AB353" s="227"/>
      <c r="AC353" s="227"/>
      <c r="AD353" s="227"/>
      <c r="AE353" s="227"/>
    </row>
    <row r="354" ht="15.75" customHeight="1">
      <c r="A354" s="227"/>
      <c r="B354" s="227"/>
      <c r="C354" s="227"/>
      <c r="D354" s="227"/>
      <c r="E354" s="227"/>
      <c r="F354" s="227"/>
      <c r="G354" s="227"/>
      <c r="H354" s="227"/>
      <c r="I354" s="227"/>
      <c r="J354" s="227"/>
      <c r="K354" s="227"/>
      <c r="L354" s="227"/>
      <c r="M354" s="227"/>
      <c r="N354" s="227"/>
      <c r="O354" s="227"/>
      <c r="P354" s="227"/>
      <c r="Q354" s="227"/>
      <c r="R354" s="227"/>
      <c r="S354" s="227"/>
      <c r="T354" s="227"/>
      <c r="U354" s="227"/>
      <c r="V354" s="227"/>
      <c r="W354" s="227"/>
      <c r="X354" s="227"/>
      <c r="Y354" s="227"/>
      <c r="Z354" s="227"/>
      <c r="AA354" s="227"/>
      <c r="AB354" s="227"/>
      <c r="AC354" s="227"/>
      <c r="AD354" s="227"/>
      <c r="AE354" s="227"/>
    </row>
    <row r="355" ht="15.75" customHeight="1">
      <c r="A355" s="227"/>
      <c r="B355" s="227"/>
      <c r="C355" s="227"/>
      <c r="D355" s="227"/>
      <c r="E355" s="227"/>
      <c r="F355" s="227"/>
      <c r="G355" s="227"/>
      <c r="H355" s="227"/>
      <c r="I355" s="227"/>
      <c r="J355" s="227"/>
      <c r="K355" s="227"/>
      <c r="L355" s="227"/>
      <c r="M355" s="227"/>
      <c r="N355" s="227"/>
      <c r="O355" s="227"/>
      <c r="P355" s="227"/>
      <c r="Q355" s="227"/>
      <c r="R355" s="227"/>
      <c r="S355" s="227"/>
      <c r="T355" s="227"/>
      <c r="U355" s="227"/>
      <c r="V355" s="227"/>
      <c r="W355" s="227"/>
      <c r="X355" s="227"/>
      <c r="Y355" s="227"/>
      <c r="Z355" s="227"/>
      <c r="AA355" s="227"/>
      <c r="AB355" s="227"/>
      <c r="AC355" s="227"/>
      <c r="AD355" s="227"/>
      <c r="AE355" s="227"/>
    </row>
    <row r="356" ht="15.75" customHeight="1">
      <c r="A356" s="227"/>
      <c r="B356" s="227"/>
      <c r="C356" s="227"/>
      <c r="D356" s="227"/>
      <c r="E356" s="227"/>
      <c r="F356" s="227"/>
      <c r="G356" s="227"/>
      <c r="H356" s="227"/>
      <c r="I356" s="227"/>
      <c r="J356" s="227"/>
      <c r="K356" s="227"/>
      <c r="L356" s="227"/>
      <c r="M356" s="227"/>
      <c r="N356" s="227"/>
      <c r="O356" s="227"/>
      <c r="P356" s="227"/>
      <c r="Q356" s="227"/>
      <c r="R356" s="227"/>
      <c r="S356" s="227"/>
      <c r="T356" s="227"/>
      <c r="U356" s="227"/>
      <c r="V356" s="227"/>
      <c r="W356" s="227"/>
      <c r="X356" s="227"/>
      <c r="Y356" s="227"/>
      <c r="Z356" s="227"/>
      <c r="AA356" s="227"/>
      <c r="AB356" s="227"/>
      <c r="AC356" s="227"/>
      <c r="AD356" s="227"/>
      <c r="AE356" s="227"/>
    </row>
    <row r="357" ht="15.75" customHeight="1">
      <c r="A357" s="227"/>
      <c r="B357" s="227"/>
      <c r="C357" s="227"/>
      <c r="D357" s="227"/>
      <c r="E357" s="227"/>
      <c r="F357" s="227"/>
      <c r="G357" s="227"/>
      <c r="H357" s="227"/>
      <c r="I357" s="227"/>
      <c r="J357" s="227"/>
      <c r="K357" s="227"/>
      <c r="L357" s="227"/>
      <c r="M357" s="227"/>
      <c r="N357" s="227"/>
      <c r="O357" s="227"/>
      <c r="P357" s="227"/>
      <c r="Q357" s="227"/>
      <c r="R357" s="227"/>
      <c r="S357" s="227"/>
      <c r="T357" s="227"/>
      <c r="U357" s="227"/>
      <c r="V357" s="227"/>
      <c r="W357" s="227"/>
      <c r="X357" s="227"/>
      <c r="Y357" s="227"/>
      <c r="Z357" s="227"/>
      <c r="AA357" s="227"/>
      <c r="AB357" s="227"/>
      <c r="AC357" s="227"/>
      <c r="AD357" s="227"/>
      <c r="AE357" s="227"/>
    </row>
    <row r="358" ht="15.75" customHeight="1">
      <c r="A358" s="227"/>
      <c r="B358" s="227"/>
      <c r="C358" s="227"/>
      <c r="D358" s="227"/>
      <c r="E358" s="227"/>
      <c r="F358" s="227"/>
      <c r="G358" s="227"/>
      <c r="H358" s="227"/>
      <c r="I358" s="227"/>
      <c r="J358" s="227"/>
      <c r="K358" s="227"/>
      <c r="L358" s="227"/>
      <c r="M358" s="227"/>
      <c r="N358" s="227"/>
      <c r="O358" s="227"/>
      <c r="P358" s="227"/>
      <c r="Q358" s="227"/>
      <c r="R358" s="227"/>
      <c r="S358" s="227"/>
      <c r="T358" s="227"/>
      <c r="U358" s="227"/>
      <c r="V358" s="227"/>
      <c r="W358" s="227"/>
      <c r="X358" s="227"/>
      <c r="Y358" s="227"/>
      <c r="Z358" s="227"/>
      <c r="AA358" s="227"/>
      <c r="AB358" s="227"/>
      <c r="AC358" s="227"/>
      <c r="AD358" s="227"/>
      <c r="AE358" s="227"/>
    </row>
    <row r="359" ht="15.75" customHeight="1">
      <c r="A359" s="227"/>
      <c r="B359" s="227"/>
      <c r="C359" s="227"/>
      <c r="D359" s="227"/>
      <c r="E359" s="227"/>
      <c r="F359" s="227"/>
      <c r="G359" s="227"/>
      <c r="H359" s="227"/>
      <c r="I359" s="227"/>
      <c r="J359" s="227"/>
      <c r="K359" s="227"/>
      <c r="L359" s="227"/>
      <c r="M359" s="227"/>
      <c r="N359" s="227"/>
      <c r="O359" s="227"/>
      <c r="P359" s="227"/>
      <c r="Q359" s="227"/>
      <c r="R359" s="227"/>
      <c r="S359" s="227"/>
      <c r="T359" s="227"/>
      <c r="U359" s="227"/>
      <c r="V359" s="227"/>
      <c r="W359" s="227"/>
      <c r="X359" s="227"/>
      <c r="Y359" s="227"/>
      <c r="Z359" s="227"/>
      <c r="AA359" s="227"/>
      <c r="AB359" s="227"/>
      <c r="AC359" s="227"/>
      <c r="AD359" s="227"/>
      <c r="AE359" s="227"/>
    </row>
    <row r="360" ht="15.75" customHeight="1">
      <c r="A360" s="227"/>
      <c r="B360" s="227"/>
      <c r="C360" s="227"/>
      <c r="D360" s="227"/>
      <c r="E360" s="227"/>
      <c r="F360" s="227"/>
      <c r="G360" s="227"/>
      <c r="H360" s="227"/>
      <c r="I360" s="227"/>
      <c r="J360" s="227"/>
      <c r="K360" s="227"/>
      <c r="L360" s="227"/>
      <c r="M360" s="227"/>
      <c r="N360" s="227"/>
      <c r="O360" s="227"/>
      <c r="P360" s="227"/>
      <c r="Q360" s="227"/>
      <c r="R360" s="227"/>
      <c r="S360" s="227"/>
      <c r="T360" s="227"/>
      <c r="U360" s="227"/>
      <c r="V360" s="227"/>
      <c r="W360" s="227"/>
      <c r="X360" s="227"/>
      <c r="Y360" s="227"/>
      <c r="Z360" s="227"/>
      <c r="AA360" s="227"/>
      <c r="AB360" s="227"/>
      <c r="AC360" s="227"/>
      <c r="AD360" s="227"/>
      <c r="AE360" s="227"/>
    </row>
    <row r="361" ht="15.75" customHeight="1">
      <c r="A361" s="227"/>
      <c r="B361" s="227"/>
      <c r="C361" s="227"/>
      <c r="D361" s="227"/>
      <c r="E361" s="227"/>
      <c r="F361" s="227"/>
      <c r="G361" s="227"/>
      <c r="H361" s="227"/>
      <c r="I361" s="227"/>
      <c r="J361" s="227"/>
      <c r="K361" s="227"/>
      <c r="L361" s="227"/>
      <c r="M361" s="227"/>
      <c r="N361" s="227"/>
      <c r="O361" s="227"/>
      <c r="P361" s="227"/>
      <c r="Q361" s="227"/>
      <c r="R361" s="227"/>
      <c r="S361" s="227"/>
      <c r="T361" s="227"/>
      <c r="U361" s="227"/>
      <c r="V361" s="227"/>
      <c r="W361" s="227"/>
      <c r="X361" s="227"/>
      <c r="Y361" s="227"/>
      <c r="Z361" s="227"/>
      <c r="AA361" s="227"/>
      <c r="AB361" s="227"/>
      <c r="AC361" s="227"/>
      <c r="AD361" s="227"/>
      <c r="AE361" s="227"/>
    </row>
    <row r="362" ht="15.75" customHeight="1">
      <c r="A362" s="227"/>
      <c r="B362" s="227"/>
      <c r="C362" s="227"/>
      <c r="D362" s="227"/>
      <c r="E362" s="227"/>
      <c r="F362" s="227"/>
      <c r="G362" s="227"/>
      <c r="H362" s="227"/>
      <c r="I362" s="227"/>
      <c r="J362" s="227"/>
      <c r="K362" s="227"/>
      <c r="L362" s="227"/>
      <c r="M362" s="227"/>
      <c r="N362" s="227"/>
      <c r="O362" s="227"/>
      <c r="P362" s="227"/>
      <c r="Q362" s="227"/>
      <c r="R362" s="227"/>
      <c r="S362" s="227"/>
      <c r="T362" s="227"/>
      <c r="U362" s="227"/>
      <c r="V362" s="227"/>
      <c r="W362" s="227"/>
      <c r="X362" s="227"/>
      <c r="Y362" s="227"/>
      <c r="Z362" s="227"/>
      <c r="AA362" s="227"/>
      <c r="AB362" s="227"/>
      <c r="AC362" s="227"/>
      <c r="AD362" s="227"/>
      <c r="AE362" s="227"/>
    </row>
    <row r="363" ht="15.75" customHeight="1">
      <c r="A363" s="227"/>
      <c r="B363" s="227"/>
      <c r="C363" s="227"/>
      <c r="D363" s="227"/>
      <c r="E363" s="227"/>
      <c r="F363" s="227"/>
      <c r="G363" s="227"/>
      <c r="H363" s="227"/>
      <c r="I363" s="227"/>
      <c r="J363" s="227"/>
      <c r="K363" s="227"/>
      <c r="L363" s="227"/>
      <c r="M363" s="227"/>
      <c r="N363" s="227"/>
      <c r="O363" s="227"/>
      <c r="P363" s="227"/>
      <c r="Q363" s="227"/>
      <c r="R363" s="227"/>
      <c r="S363" s="227"/>
      <c r="T363" s="227"/>
      <c r="U363" s="227"/>
      <c r="V363" s="227"/>
      <c r="W363" s="227"/>
      <c r="X363" s="227"/>
      <c r="Y363" s="227"/>
      <c r="Z363" s="227"/>
      <c r="AA363" s="227"/>
      <c r="AB363" s="227"/>
      <c r="AC363" s="227"/>
      <c r="AD363" s="227"/>
      <c r="AE363" s="227"/>
    </row>
    <row r="364" ht="15.75" customHeight="1">
      <c r="A364" s="227"/>
      <c r="B364" s="227"/>
      <c r="C364" s="227"/>
      <c r="D364" s="227"/>
      <c r="E364" s="227"/>
      <c r="F364" s="227"/>
      <c r="G364" s="227"/>
      <c r="H364" s="227"/>
      <c r="I364" s="227"/>
      <c r="J364" s="227"/>
      <c r="K364" s="227"/>
      <c r="L364" s="227"/>
      <c r="M364" s="227"/>
      <c r="N364" s="227"/>
      <c r="O364" s="227"/>
      <c r="P364" s="227"/>
      <c r="Q364" s="227"/>
      <c r="R364" s="227"/>
      <c r="S364" s="227"/>
      <c r="T364" s="227"/>
      <c r="U364" s="227"/>
      <c r="V364" s="227"/>
      <c r="W364" s="227"/>
      <c r="X364" s="227"/>
      <c r="Y364" s="227"/>
      <c r="Z364" s="227"/>
      <c r="AA364" s="227"/>
      <c r="AB364" s="227"/>
      <c r="AC364" s="227"/>
      <c r="AD364" s="227"/>
      <c r="AE364" s="227"/>
    </row>
    <row r="365" ht="15.75" customHeight="1">
      <c r="A365" s="227"/>
      <c r="B365" s="227"/>
      <c r="C365" s="227"/>
      <c r="D365" s="227"/>
      <c r="E365" s="227"/>
      <c r="F365" s="227"/>
      <c r="G365" s="227"/>
      <c r="H365" s="227"/>
      <c r="I365" s="227"/>
      <c r="J365" s="227"/>
      <c r="K365" s="227"/>
      <c r="L365" s="227"/>
      <c r="M365" s="227"/>
      <c r="N365" s="227"/>
      <c r="O365" s="227"/>
      <c r="P365" s="227"/>
      <c r="Q365" s="227"/>
      <c r="R365" s="227"/>
      <c r="S365" s="227"/>
      <c r="T365" s="227"/>
      <c r="U365" s="227"/>
      <c r="V365" s="227"/>
      <c r="W365" s="227"/>
      <c r="X365" s="227"/>
      <c r="Y365" s="227"/>
      <c r="Z365" s="227"/>
      <c r="AA365" s="227"/>
      <c r="AB365" s="227"/>
      <c r="AC365" s="227"/>
      <c r="AD365" s="227"/>
      <c r="AE365" s="227"/>
    </row>
    <row r="366" ht="15.75" customHeight="1">
      <c r="A366" s="227"/>
      <c r="B366" s="227"/>
      <c r="C366" s="227"/>
      <c r="D366" s="227"/>
      <c r="E366" s="227"/>
      <c r="F366" s="227"/>
      <c r="G366" s="227"/>
      <c r="H366" s="227"/>
      <c r="I366" s="227"/>
      <c r="J366" s="227"/>
      <c r="K366" s="227"/>
      <c r="L366" s="227"/>
      <c r="M366" s="227"/>
      <c r="N366" s="227"/>
      <c r="O366" s="227"/>
      <c r="P366" s="227"/>
      <c r="Q366" s="227"/>
      <c r="R366" s="227"/>
      <c r="S366" s="227"/>
      <c r="T366" s="227"/>
      <c r="U366" s="227"/>
      <c r="V366" s="227"/>
      <c r="W366" s="227"/>
      <c r="X366" s="227"/>
      <c r="Y366" s="227"/>
      <c r="Z366" s="227"/>
      <c r="AA366" s="227"/>
      <c r="AB366" s="227"/>
      <c r="AC366" s="227"/>
      <c r="AD366" s="227"/>
      <c r="AE366" s="227"/>
    </row>
    <row r="367" ht="15.75" customHeight="1">
      <c r="A367" s="227"/>
      <c r="B367" s="227"/>
      <c r="C367" s="227"/>
      <c r="D367" s="227"/>
      <c r="E367" s="227"/>
      <c r="F367" s="227"/>
      <c r="G367" s="227"/>
      <c r="H367" s="227"/>
      <c r="I367" s="227"/>
      <c r="J367" s="227"/>
      <c r="K367" s="227"/>
      <c r="L367" s="227"/>
      <c r="M367" s="227"/>
      <c r="N367" s="227"/>
      <c r="O367" s="227"/>
      <c r="P367" s="227"/>
      <c r="Q367" s="227"/>
      <c r="R367" s="227"/>
      <c r="S367" s="227"/>
      <c r="T367" s="227"/>
      <c r="U367" s="227"/>
      <c r="V367" s="227"/>
      <c r="W367" s="227"/>
      <c r="X367" s="227"/>
      <c r="Y367" s="227"/>
      <c r="Z367" s="227"/>
      <c r="AA367" s="227"/>
      <c r="AB367" s="227"/>
      <c r="AC367" s="227"/>
      <c r="AD367" s="227"/>
      <c r="AE367" s="227"/>
    </row>
    <row r="368" ht="15.75" customHeight="1">
      <c r="A368" s="227"/>
      <c r="B368" s="227"/>
      <c r="C368" s="227"/>
      <c r="D368" s="227"/>
      <c r="E368" s="227"/>
      <c r="F368" s="227"/>
      <c r="G368" s="227"/>
      <c r="H368" s="227"/>
      <c r="I368" s="227"/>
      <c r="J368" s="227"/>
      <c r="K368" s="227"/>
      <c r="L368" s="227"/>
      <c r="M368" s="227"/>
      <c r="N368" s="227"/>
      <c r="O368" s="227"/>
      <c r="P368" s="227"/>
      <c r="Q368" s="227"/>
      <c r="R368" s="227"/>
      <c r="S368" s="227"/>
      <c r="T368" s="227"/>
      <c r="U368" s="227"/>
      <c r="V368" s="227"/>
      <c r="W368" s="227"/>
      <c r="X368" s="227"/>
      <c r="Y368" s="227"/>
      <c r="Z368" s="227"/>
      <c r="AA368" s="227"/>
      <c r="AB368" s="227"/>
      <c r="AC368" s="227"/>
      <c r="AD368" s="227"/>
      <c r="AE368" s="227"/>
    </row>
    <row r="369" ht="15.75" customHeight="1">
      <c r="A369" s="227"/>
      <c r="B369" s="227"/>
      <c r="C369" s="227"/>
      <c r="D369" s="227"/>
      <c r="E369" s="227"/>
      <c r="F369" s="227"/>
      <c r="G369" s="227"/>
      <c r="H369" s="227"/>
      <c r="I369" s="227"/>
      <c r="J369" s="227"/>
      <c r="K369" s="227"/>
      <c r="L369" s="227"/>
      <c r="M369" s="227"/>
      <c r="N369" s="227"/>
      <c r="O369" s="227"/>
      <c r="P369" s="227"/>
      <c r="Q369" s="227"/>
      <c r="R369" s="227"/>
      <c r="S369" s="227"/>
      <c r="T369" s="227"/>
      <c r="U369" s="227"/>
      <c r="V369" s="227"/>
      <c r="W369" s="227"/>
      <c r="X369" s="227"/>
      <c r="Y369" s="227"/>
      <c r="Z369" s="227"/>
      <c r="AA369" s="227"/>
      <c r="AB369" s="227"/>
      <c r="AC369" s="227"/>
      <c r="AD369" s="227"/>
      <c r="AE369" s="227"/>
    </row>
    <row r="370" ht="15.75" customHeight="1">
      <c r="A370" s="227"/>
      <c r="B370" s="227"/>
      <c r="C370" s="227"/>
      <c r="D370" s="227"/>
      <c r="E370" s="227"/>
      <c r="F370" s="227"/>
      <c r="G370" s="227"/>
      <c r="H370" s="227"/>
      <c r="I370" s="227"/>
      <c r="J370" s="227"/>
      <c r="K370" s="227"/>
      <c r="L370" s="227"/>
      <c r="M370" s="227"/>
      <c r="N370" s="227"/>
      <c r="O370" s="227"/>
      <c r="P370" s="227"/>
      <c r="Q370" s="227"/>
      <c r="R370" s="227"/>
      <c r="S370" s="227"/>
      <c r="T370" s="227"/>
      <c r="U370" s="227"/>
      <c r="V370" s="227"/>
      <c r="W370" s="227"/>
      <c r="X370" s="227"/>
      <c r="Y370" s="227"/>
      <c r="Z370" s="227"/>
      <c r="AA370" s="227"/>
      <c r="AB370" s="227"/>
      <c r="AC370" s="227"/>
      <c r="AD370" s="227"/>
      <c r="AE370" s="227"/>
    </row>
    <row r="371" ht="15.75" customHeight="1">
      <c r="A371" s="227"/>
      <c r="B371" s="227"/>
      <c r="C371" s="227"/>
      <c r="D371" s="227"/>
      <c r="E371" s="227"/>
      <c r="F371" s="227"/>
      <c r="G371" s="227"/>
      <c r="H371" s="227"/>
      <c r="I371" s="227"/>
      <c r="J371" s="227"/>
      <c r="K371" s="227"/>
      <c r="L371" s="227"/>
      <c r="M371" s="227"/>
      <c r="N371" s="227"/>
      <c r="O371" s="227"/>
      <c r="P371" s="227"/>
      <c r="Q371" s="227"/>
      <c r="R371" s="227"/>
      <c r="S371" s="227"/>
      <c r="T371" s="227"/>
      <c r="U371" s="227"/>
      <c r="V371" s="227"/>
      <c r="W371" s="227"/>
      <c r="X371" s="227"/>
      <c r="Y371" s="227"/>
      <c r="Z371" s="227"/>
      <c r="AA371" s="227"/>
      <c r="AB371" s="227"/>
      <c r="AC371" s="227"/>
      <c r="AD371" s="227"/>
      <c r="AE371" s="227"/>
    </row>
    <row r="372" ht="15.75" customHeight="1">
      <c r="A372" s="227"/>
      <c r="B372" s="227"/>
      <c r="C372" s="227"/>
      <c r="D372" s="227"/>
      <c r="E372" s="227"/>
      <c r="F372" s="227"/>
      <c r="G372" s="227"/>
      <c r="H372" s="227"/>
      <c r="I372" s="227"/>
      <c r="J372" s="227"/>
      <c r="K372" s="227"/>
      <c r="L372" s="227"/>
      <c r="M372" s="227"/>
      <c r="N372" s="227"/>
      <c r="O372" s="227"/>
      <c r="P372" s="227"/>
      <c r="Q372" s="227"/>
      <c r="R372" s="227"/>
      <c r="S372" s="227"/>
      <c r="T372" s="227"/>
      <c r="U372" s="227"/>
      <c r="V372" s="227"/>
      <c r="W372" s="227"/>
      <c r="X372" s="227"/>
      <c r="Y372" s="227"/>
      <c r="Z372" s="227"/>
      <c r="AA372" s="227"/>
      <c r="AB372" s="227"/>
      <c r="AC372" s="227"/>
      <c r="AD372" s="227"/>
      <c r="AE372" s="227"/>
    </row>
    <row r="373" ht="15.75" customHeight="1">
      <c r="A373" s="227"/>
      <c r="B373" s="227"/>
      <c r="C373" s="227"/>
      <c r="D373" s="227"/>
      <c r="E373" s="227"/>
      <c r="F373" s="227"/>
      <c r="G373" s="227"/>
      <c r="H373" s="227"/>
      <c r="I373" s="227"/>
      <c r="J373" s="227"/>
      <c r="K373" s="227"/>
      <c r="L373" s="227"/>
      <c r="M373" s="227"/>
      <c r="N373" s="227"/>
      <c r="O373" s="227"/>
      <c r="P373" s="227"/>
      <c r="Q373" s="227"/>
      <c r="R373" s="227"/>
      <c r="S373" s="227"/>
      <c r="T373" s="227"/>
      <c r="U373" s="227"/>
      <c r="V373" s="227"/>
      <c r="W373" s="227"/>
      <c r="X373" s="227"/>
      <c r="Y373" s="227"/>
      <c r="Z373" s="227"/>
      <c r="AA373" s="227"/>
      <c r="AB373" s="227"/>
      <c r="AC373" s="227"/>
      <c r="AD373" s="227"/>
      <c r="AE373" s="227"/>
    </row>
    <row r="374" ht="15.75" customHeight="1">
      <c r="A374" s="227"/>
      <c r="B374" s="227"/>
      <c r="C374" s="227"/>
      <c r="D374" s="227"/>
      <c r="E374" s="227"/>
      <c r="F374" s="227"/>
      <c r="G374" s="227"/>
      <c r="H374" s="227"/>
      <c r="I374" s="227"/>
      <c r="J374" s="227"/>
      <c r="K374" s="227"/>
      <c r="L374" s="227"/>
      <c r="M374" s="227"/>
      <c r="N374" s="227"/>
      <c r="O374" s="227"/>
      <c r="P374" s="227"/>
      <c r="Q374" s="227"/>
      <c r="R374" s="227"/>
      <c r="S374" s="227"/>
      <c r="T374" s="227"/>
      <c r="U374" s="227"/>
      <c r="V374" s="227"/>
      <c r="W374" s="227"/>
      <c r="X374" s="227"/>
      <c r="Y374" s="227"/>
      <c r="Z374" s="227"/>
      <c r="AA374" s="227"/>
      <c r="AB374" s="227"/>
      <c r="AC374" s="227"/>
      <c r="AD374" s="227"/>
      <c r="AE374" s="227"/>
    </row>
    <row r="375" ht="15.75" customHeight="1">
      <c r="A375" s="227"/>
      <c r="B375" s="227"/>
      <c r="C375" s="227"/>
      <c r="D375" s="227"/>
      <c r="E375" s="227"/>
      <c r="F375" s="227"/>
      <c r="G375" s="227"/>
      <c r="H375" s="227"/>
      <c r="I375" s="227"/>
      <c r="J375" s="227"/>
      <c r="K375" s="227"/>
      <c r="L375" s="227"/>
      <c r="M375" s="227"/>
      <c r="N375" s="227"/>
      <c r="O375" s="227"/>
      <c r="P375" s="227"/>
      <c r="Q375" s="227"/>
      <c r="R375" s="227"/>
      <c r="S375" s="227"/>
      <c r="T375" s="227"/>
      <c r="U375" s="227"/>
      <c r="V375" s="227"/>
      <c r="W375" s="227"/>
      <c r="X375" s="227"/>
      <c r="Y375" s="227"/>
      <c r="Z375" s="227"/>
      <c r="AA375" s="227"/>
      <c r="AB375" s="227"/>
      <c r="AC375" s="227"/>
      <c r="AD375" s="227"/>
      <c r="AE375" s="227"/>
    </row>
    <row r="376" ht="15.75" customHeight="1">
      <c r="A376" s="227"/>
      <c r="B376" s="227"/>
      <c r="C376" s="227"/>
      <c r="D376" s="227"/>
      <c r="E376" s="227"/>
      <c r="F376" s="227"/>
      <c r="G376" s="227"/>
      <c r="H376" s="227"/>
      <c r="I376" s="227"/>
      <c r="J376" s="227"/>
      <c r="K376" s="227"/>
      <c r="L376" s="227"/>
      <c r="M376" s="227"/>
      <c r="N376" s="227"/>
      <c r="O376" s="227"/>
      <c r="P376" s="227"/>
      <c r="Q376" s="227"/>
      <c r="R376" s="227"/>
      <c r="S376" s="227"/>
      <c r="T376" s="227"/>
      <c r="U376" s="227"/>
      <c r="V376" s="227"/>
      <c r="W376" s="227"/>
      <c r="X376" s="227"/>
      <c r="Y376" s="227"/>
      <c r="Z376" s="227"/>
      <c r="AA376" s="227"/>
      <c r="AB376" s="227"/>
      <c r="AC376" s="227"/>
      <c r="AD376" s="227"/>
      <c r="AE376" s="227"/>
    </row>
    <row r="377" ht="15.75" customHeight="1">
      <c r="A377" s="227"/>
      <c r="B377" s="227"/>
      <c r="C377" s="227"/>
      <c r="D377" s="227"/>
      <c r="E377" s="227"/>
      <c r="F377" s="227"/>
      <c r="G377" s="227"/>
      <c r="H377" s="227"/>
      <c r="I377" s="227"/>
      <c r="J377" s="227"/>
      <c r="K377" s="227"/>
      <c r="L377" s="227"/>
      <c r="M377" s="227"/>
      <c r="N377" s="227"/>
      <c r="O377" s="227"/>
      <c r="P377" s="227"/>
      <c r="Q377" s="227"/>
      <c r="R377" s="227"/>
      <c r="S377" s="227"/>
      <c r="T377" s="227"/>
      <c r="U377" s="227"/>
      <c r="V377" s="227"/>
      <c r="W377" s="227"/>
      <c r="X377" s="227"/>
      <c r="Y377" s="227"/>
      <c r="Z377" s="227"/>
      <c r="AA377" s="227"/>
      <c r="AB377" s="227"/>
      <c r="AC377" s="227"/>
      <c r="AD377" s="227"/>
      <c r="AE377" s="227"/>
    </row>
    <row r="378" ht="15.75" customHeight="1">
      <c r="A378" s="227"/>
      <c r="B378" s="227"/>
      <c r="C378" s="227"/>
      <c r="D378" s="227"/>
      <c r="E378" s="227"/>
      <c r="F378" s="227"/>
      <c r="G378" s="227"/>
      <c r="H378" s="227"/>
      <c r="I378" s="227"/>
      <c r="J378" s="227"/>
      <c r="K378" s="227"/>
      <c r="L378" s="227"/>
      <c r="M378" s="227"/>
      <c r="N378" s="227"/>
      <c r="O378" s="227"/>
      <c r="P378" s="227"/>
      <c r="Q378" s="227"/>
      <c r="R378" s="227"/>
      <c r="S378" s="227"/>
      <c r="T378" s="227"/>
      <c r="U378" s="227"/>
      <c r="V378" s="227"/>
      <c r="W378" s="227"/>
      <c r="X378" s="227"/>
      <c r="Y378" s="227"/>
      <c r="Z378" s="227"/>
      <c r="AA378" s="227"/>
      <c r="AB378" s="227"/>
      <c r="AC378" s="227"/>
      <c r="AD378" s="227"/>
      <c r="AE378" s="227"/>
    </row>
    <row r="379" ht="15.75" customHeight="1">
      <c r="A379" s="227"/>
      <c r="B379" s="227"/>
      <c r="C379" s="227"/>
      <c r="D379" s="227"/>
      <c r="E379" s="227"/>
      <c r="F379" s="227"/>
      <c r="G379" s="227"/>
      <c r="H379" s="227"/>
      <c r="I379" s="227"/>
      <c r="J379" s="227"/>
      <c r="K379" s="227"/>
      <c r="L379" s="227"/>
      <c r="M379" s="227"/>
      <c r="N379" s="227"/>
      <c r="O379" s="227"/>
      <c r="P379" s="227"/>
      <c r="Q379" s="227"/>
      <c r="R379" s="227"/>
      <c r="S379" s="227"/>
      <c r="T379" s="227"/>
      <c r="U379" s="227"/>
      <c r="V379" s="227"/>
      <c r="W379" s="227"/>
      <c r="X379" s="227"/>
      <c r="Y379" s="227"/>
      <c r="Z379" s="227"/>
      <c r="AA379" s="227"/>
      <c r="AB379" s="227"/>
      <c r="AC379" s="227"/>
      <c r="AD379" s="227"/>
      <c r="AE379" s="227"/>
    </row>
    <row r="380" ht="15.75" customHeight="1">
      <c r="A380" s="227"/>
      <c r="B380" s="227"/>
      <c r="C380" s="227"/>
      <c r="D380" s="227"/>
      <c r="E380" s="227"/>
      <c r="F380" s="227"/>
      <c r="G380" s="227"/>
      <c r="H380" s="227"/>
      <c r="I380" s="227"/>
      <c r="J380" s="227"/>
      <c r="K380" s="227"/>
      <c r="L380" s="227"/>
      <c r="M380" s="227"/>
      <c r="N380" s="227"/>
      <c r="O380" s="227"/>
      <c r="P380" s="227"/>
      <c r="Q380" s="227"/>
      <c r="R380" s="227"/>
      <c r="S380" s="227"/>
      <c r="T380" s="227"/>
      <c r="U380" s="227"/>
      <c r="V380" s="227"/>
      <c r="W380" s="227"/>
      <c r="X380" s="227"/>
      <c r="Y380" s="227"/>
      <c r="Z380" s="227"/>
      <c r="AA380" s="227"/>
      <c r="AB380" s="227"/>
      <c r="AC380" s="227"/>
      <c r="AD380" s="227"/>
      <c r="AE380" s="227"/>
    </row>
    <row r="381" ht="15.75" customHeight="1">
      <c r="A381" s="227"/>
      <c r="B381" s="227"/>
      <c r="C381" s="227"/>
      <c r="D381" s="227"/>
      <c r="E381" s="227"/>
      <c r="F381" s="227"/>
      <c r="G381" s="227"/>
      <c r="H381" s="227"/>
      <c r="I381" s="227"/>
      <c r="J381" s="227"/>
      <c r="K381" s="227"/>
      <c r="L381" s="227"/>
      <c r="M381" s="227"/>
      <c r="N381" s="227"/>
      <c r="O381" s="227"/>
      <c r="P381" s="227"/>
      <c r="Q381" s="227"/>
      <c r="R381" s="227"/>
      <c r="S381" s="227"/>
      <c r="T381" s="227"/>
      <c r="U381" s="227"/>
      <c r="V381" s="227"/>
      <c r="W381" s="227"/>
      <c r="X381" s="227"/>
      <c r="Y381" s="227"/>
      <c r="Z381" s="227"/>
      <c r="AA381" s="227"/>
      <c r="AB381" s="227"/>
      <c r="AC381" s="227"/>
      <c r="AD381" s="227"/>
      <c r="AE381" s="227"/>
    </row>
    <row r="382" ht="15.75" customHeight="1">
      <c r="A382" s="227"/>
      <c r="B382" s="227"/>
      <c r="C382" s="227"/>
      <c r="D382" s="227"/>
      <c r="E382" s="227"/>
      <c r="F382" s="227"/>
      <c r="G382" s="227"/>
      <c r="H382" s="227"/>
      <c r="I382" s="227"/>
      <c r="J382" s="227"/>
      <c r="K382" s="227"/>
      <c r="L382" s="227"/>
      <c r="M382" s="227"/>
      <c r="N382" s="227"/>
      <c r="O382" s="227"/>
      <c r="P382" s="227"/>
      <c r="Q382" s="227"/>
      <c r="R382" s="227"/>
      <c r="S382" s="227"/>
      <c r="T382" s="227"/>
      <c r="U382" s="227"/>
      <c r="V382" s="227"/>
      <c r="W382" s="227"/>
      <c r="X382" s="227"/>
      <c r="Y382" s="227"/>
      <c r="Z382" s="227"/>
      <c r="AA382" s="227"/>
      <c r="AB382" s="227"/>
      <c r="AC382" s="227"/>
      <c r="AD382" s="227"/>
      <c r="AE382" s="227"/>
    </row>
    <row r="383" ht="15.75" customHeight="1">
      <c r="A383" s="227"/>
      <c r="B383" s="227"/>
      <c r="C383" s="227"/>
      <c r="D383" s="227"/>
      <c r="E383" s="227"/>
      <c r="F383" s="227"/>
      <c r="G383" s="227"/>
      <c r="H383" s="227"/>
      <c r="I383" s="227"/>
      <c r="J383" s="227"/>
      <c r="K383" s="227"/>
      <c r="L383" s="227"/>
      <c r="M383" s="227"/>
      <c r="N383" s="227"/>
      <c r="O383" s="227"/>
      <c r="P383" s="227"/>
      <c r="Q383" s="227"/>
      <c r="R383" s="227"/>
      <c r="S383" s="227"/>
      <c r="T383" s="227"/>
      <c r="U383" s="227"/>
      <c r="V383" s="227"/>
      <c r="W383" s="227"/>
      <c r="X383" s="227"/>
      <c r="Y383" s="227"/>
      <c r="Z383" s="227"/>
      <c r="AA383" s="227"/>
      <c r="AB383" s="227"/>
      <c r="AC383" s="227"/>
      <c r="AD383" s="227"/>
      <c r="AE383" s="227"/>
    </row>
    <row r="384" ht="15.75" customHeight="1">
      <c r="A384" s="227"/>
      <c r="B384" s="227"/>
      <c r="C384" s="227"/>
      <c r="D384" s="227"/>
      <c r="E384" s="227"/>
      <c r="F384" s="227"/>
      <c r="G384" s="227"/>
      <c r="H384" s="227"/>
      <c r="I384" s="227"/>
      <c r="J384" s="227"/>
      <c r="K384" s="227"/>
      <c r="L384" s="227"/>
      <c r="M384" s="227"/>
      <c r="N384" s="227"/>
      <c r="O384" s="227"/>
      <c r="P384" s="227"/>
      <c r="Q384" s="227"/>
      <c r="R384" s="227"/>
      <c r="S384" s="227"/>
      <c r="T384" s="227"/>
      <c r="U384" s="227"/>
      <c r="V384" s="227"/>
      <c r="W384" s="227"/>
      <c r="X384" s="227"/>
      <c r="Y384" s="227"/>
      <c r="Z384" s="227"/>
      <c r="AA384" s="227"/>
      <c r="AB384" s="227"/>
      <c r="AC384" s="227"/>
      <c r="AD384" s="227"/>
      <c r="AE384" s="227"/>
    </row>
    <row r="385" ht="15.75" customHeight="1">
      <c r="A385" s="227"/>
      <c r="B385" s="227"/>
      <c r="C385" s="227"/>
      <c r="D385" s="227"/>
      <c r="E385" s="227"/>
      <c r="F385" s="227"/>
      <c r="G385" s="227"/>
      <c r="H385" s="227"/>
      <c r="I385" s="227"/>
      <c r="J385" s="227"/>
      <c r="K385" s="227"/>
      <c r="L385" s="227"/>
      <c r="M385" s="227"/>
      <c r="N385" s="227"/>
      <c r="O385" s="227"/>
      <c r="P385" s="227"/>
      <c r="Q385" s="227"/>
      <c r="R385" s="227"/>
      <c r="S385" s="227"/>
      <c r="T385" s="227"/>
      <c r="U385" s="227"/>
      <c r="V385" s="227"/>
      <c r="W385" s="227"/>
      <c r="X385" s="227"/>
      <c r="Y385" s="227"/>
      <c r="Z385" s="227"/>
      <c r="AA385" s="227"/>
      <c r="AB385" s="227"/>
      <c r="AC385" s="227"/>
      <c r="AD385" s="227"/>
      <c r="AE385" s="227"/>
    </row>
    <row r="386" ht="15.75" customHeight="1">
      <c r="A386" s="227"/>
      <c r="B386" s="227"/>
      <c r="C386" s="227"/>
      <c r="D386" s="227"/>
      <c r="E386" s="227"/>
      <c r="F386" s="227"/>
      <c r="G386" s="227"/>
      <c r="H386" s="227"/>
      <c r="I386" s="227"/>
      <c r="J386" s="227"/>
      <c r="K386" s="227"/>
      <c r="L386" s="227"/>
      <c r="M386" s="227"/>
      <c r="N386" s="227"/>
      <c r="O386" s="227"/>
      <c r="P386" s="227"/>
      <c r="Q386" s="227"/>
      <c r="R386" s="227"/>
      <c r="S386" s="227"/>
      <c r="T386" s="227"/>
      <c r="U386" s="227"/>
      <c r="V386" s="227"/>
      <c r="W386" s="227"/>
      <c r="X386" s="227"/>
      <c r="Y386" s="227"/>
      <c r="Z386" s="227"/>
      <c r="AA386" s="227"/>
      <c r="AB386" s="227"/>
      <c r="AC386" s="227"/>
      <c r="AD386" s="227"/>
      <c r="AE386" s="227"/>
    </row>
    <row r="387" ht="15.75" customHeight="1">
      <c r="A387" s="227"/>
      <c r="B387" s="227"/>
      <c r="C387" s="227"/>
      <c r="D387" s="227"/>
      <c r="E387" s="227"/>
      <c r="F387" s="227"/>
      <c r="G387" s="227"/>
      <c r="H387" s="227"/>
      <c r="I387" s="227"/>
      <c r="J387" s="227"/>
      <c r="K387" s="227"/>
      <c r="L387" s="227"/>
      <c r="M387" s="227"/>
      <c r="N387" s="227"/>
      <c r="O387" s="227"/>
      <c r="P387" s="227"/>
      <c r="Q387" s="227"/>
      <c r="R387" s="227"/>
      <c r="S387" s="227"/>
      <c r="T387" s="227"/>
      <c r="U387" s="227"/>
      <c r="V387" s="227"/>
      <c r="W387" s="227"/>
      <c r="X387" s="227"/>
      <c r="Y387" s="227"/>
      <c r="Z387" s="227"/>
      <c r="AA387" s="227"/>
      <c r="AB387" s="227"/>
      <c r="AC387" s="227"/>
      <c r="AD387" s="227"/>
      <c r="AE387" s="227"/>
    </row>
    <row r="388" ht="15.75" customHeight="1">
      <c r="A388" s="227"/>
      <c r="B388" s="227"/>
      <c r="C388" s="227"/>
      <c r="D388" s="227"/>
      <c r="E388" s="227"/>
      <c r="F388" s="227"/>
      <c r="G388" s="227"/>
      <c r="H388" s="227"/>
      <c r="I388" s="227"/>
      <c r="J388" s="227"/>
      <c r="K388" s="227"/>
      <c r="L388" s="227"/>
      <c r="M388" s="227"/>
      <c r="N388" s="227"/>
      <c r="O388" s="227"/>
      <c r="P388" s="227"/>
      <c r="Q388" s="227"/>
      <c r="R388" s="227"/>
      <c r="S388" s="227"/>
      <c r="T388" s="227"/>
      <c r="U388" s="227"/>
      <c r="V388" s="227"/>
      <c r="W388" s="227"/>
      <c r="X388" s="227"/>
      <c r="Y388" s="227"/>
      <c r="Z388" s="227"/>
      <c r="AA388" s="227"/>
      <c r="AB388" s="227"/>
      <c r="AC388" s="227"/>
      <c r="AD388" s="227"/>
      <c r="AE388" s="227"/>
    </row>
    <row r="389" ht="15.75" customHeight="1">
      <c r="A389" s="227"/>
      <c r="B389" s="227"/>
      <c r="C389" s="227"/>
      <c r="D389" s="227"/>
      <c r="E389" s="227"/>
      <c r="F389" s="227"/>
      <c r="G389" s="227"/>
      <c r="H389" s="227"/>
      <c r="I389" s="227"/>
      <c r="J389" s="227"/>
      <c r="K389" s="227"/>
      <c r="L389" s="227"/>
      <c r="M389" s="227"/>
      <c r="N389" s="227"/>
      <c r="O389" s="227"/>
      <c r="P389" s="227"/>
      <c r="Q389" s="227"/>
      <c r="R389" s="227"/>
      <c r="S389" s="227"/>
      <c r="T389" s="227"/>
      <c r="U389" s="227"/>
      <c r="V389" s="227"/>
      <c r="W389" s="227"/>
      <c r="X389" s="227"/>
      <c r="Y389" s="227"/>
      <c r="Z389" s="227"/>
      <c r="AA389" s="227"/>
      <c r="AB389" s="227"/>
      <c r="AC389" s="227"/>
      <c r="AD389" s="227"/>
      <c r="AE389" s="227"/>
    </row>
    <row r="390" ht="15.75" customHeight="1">
      <c r="A390" s="227"/>
      <c r="B390" s="227"/>
      <c r="C390" s="227"/>
      <c r="D390" s="227"/>
      <c r="E390" s="227"/>
      <c r="F390" s="227"/>
      <c r="G390" s="227"/>
      <c r="H390" s="227"/>
      <c r="I390" s="227"/>
      <c r="J390" s="227"/>
      <c r="K390" s="227"/>
      <c r="L390" s="227"/>
      <c r="M390" s="227"/>
      <c r="N390" s="227"/>
      <c r="O390" s="227"/>
      <c r="P390" s="227"/>
      <c r="Q390" s="227"/>
      <c r="R390" s="227"/>
      <c r="S390" s="227"/>
      <c r="T390" s="227"/>
      <c r="U390" s="227"/>
      <c r="V390" s="227"/>
      <c r="W390" s="227"/>
      <c r="X390" s="227"/>
      <c r="Y390" s="227"/>
      <c r="Z390" s="227"/>
      <c r="AA390" s="227"/>
      <c r="AB390" s="227"/>
      <c r="AC390" s="227"/>
      <c r="AD390" s="227"/>
      <c r="AE390" s="227"/>
    </row>
    <row r="391" ht="15.75" customHeight="1">
      <c r="A391" s="227"/>
      <c r="B391" s="227"/>
      <c r="C391" s="227"/>
      <c r="D391" s="227"/>
      <c r="E391" s="227"/>
      <c r="F391" s="227"/>
      <c r="G391" s="227"/>
      <c r="H391" s="227"/>
      <c r="I391" s="227"/>
      <c r="J391" s="227"/>
      <c r="K391" s="227"/>
      <c r="L391" s="227"/>
      <c r="M391" s="227"/>
      <c r="N391" s="227"/>
      <c r="O391" s="227"/>
      <c r="P391" s="227"/>
      <c r="Q391" s="227"/>
      <c r="R391" s="227"/>
      <c r="S391" s="227"/>
      <c r="T391" s="227"/>
      <c r="U391" s="227"/>
      <c r="V391" s="227"/>
      <c r="W391" s="227"/>
      <c r="X391" s="227"/>
      <c r="Y391" s="227"/>
      <c r="Z391" s="227"/>
      <c r="AA391" s="227"/>
      <c r="AB391" s="227"/>
      <c r="AC391" s="227"/>
      <c r="AD391" s="227"/>
      <c r="AE391" s="227"/>
    </row>
    <row r="392" ht="15.75" customHeight="1">
      <c r="A392" s="227"/>
      <c r="B392" s="227"/>
      <c r="C392" s="227"/>
      <c r="D392" s="227"/>
      <c r="E392" s="227"/>
      <c r="F392" s="227"/>
      <c r="G392" s="227"/>
      <c r="H392" s="227"/>
      <c r="I392" s="227"/>
      <c r="J392" s="227"/>
      <c r="K392" s="227"/>
      <c r="L392" s="227"/>
      <c r="M392" s="227"/>
      <c r="N392" s="227"/>
      <c r="O392" s="227"/>
      <c r="P392" s="227"/>
      <c r="Q392" s="227"/>
      <c r="R392" s="227"/>
      <c r="S392" s="227"/>
      <c r="T392" s="227"/>
      <c r="U392" s="227"/>
      <c r="V392" s="227"/>
      <c r="W392" s="227"/>
      <c r="X392" s="227"/>
      <c r="Y392" s="227"/>
      <c r="Z392" s="227"/>
      <c r="AA392" s="227"/>
      <c r="AB392" s="227"/>
      <c r="AC392" s="227"/>
      <c r="AD392" s="227"/>
      <c r="AE392" s="227"/>
    </row>
    <row r="393" ht="15.75" customHeight="1">
      <c r="A393" s="227"/>
      <c r="B393" s="227"/>
      <c r="C393" s="227"/>
      <c r="D393" s="227"/>
      <c r="E393" s="227"/>
      <c r="F393" s="227"/>
      <c r="G393" s="227"/>
      <c r="H393" s="227"/>
      <c r="I393" s="227"/>
      <c r="J393" s="227"/>
      <c r="K393" s="227"/>
      <c r="L393" s="227"/>
      <c r="M393" s="227"/>
      <c r="N393" s="227"/>
      <c r="O393" s="227"/>
      <c r="P393" s="227"/>
      <c r="Q393" s="227"/>
      <c r="R393" s="227"/>
      <c r="S393" s="227"/>
      <c r="T393" s="227"/>
      <c r="U393" s="227"/>
      <c r="V393" s="227"/>
      <c r="W393" s="227"/>
      <c r="X393" s="227"/>
      <c r="Y393" s="227"/>
      <c r="Z393" s="227"/>
      <c r="AA393" s="227"/>
      <c r="AB393" s="227"/>
      <c r="AC393" s="227"/>
      <c r="AD393" s="227"/>
      <c r="AE393" s="227"/>
    </row>
    <row r="394" ht="15.75" customHeight="1">
      <c r="A394" s="227"/>
      <c r="B394" s="227"/>
      <c r="C394" s="227"/>
      <c r="D394" s="227"/>
      <c r="E394" s="227"/>
      <c r="F394" s="227"/>
      <c r="G394" s="227"/>
      <c r="H394" s="227"/>
      <c r="I394" s="227"/>
      <c r="J394" s="227"/>
      <c r="K394" s="227"/>
      <c r="L394" s="227"/>
      <c r="M394" s="227"/>
      <c r="N394" s="227"/>
      <c r="O394" s="227"/>
      <c r="P394" s="227"/>
      <c r="Q394" s="227"/>
      <c r="R394" s="227"/>
      <c r="S394" s="227"/>
      <c r="T394" s="227"/>
      <c r="U394" s="227"/>
      <c r="V394" s="227"/>
      <c r="W394" s="227"/>
      <c r="X394" s="227"/>
      <c r="Y394" s="227"/>
      <c r="Z394" s="227"/>
      <c r="AA394" s="227"/>
      <c r="AB394" s="227"/>
      <c r="AC394" s="227"/>
      <c r="AD394" s="227"/>
      <c r="AE394" s="227"/>
    </row>
    <row r="395" ht="15.75" customHeight="1">
      <c r="A395" s="227"/>
      <c r="B395" s="227"/>
      <c r="C395" s="227"/>
      <c r="D395" s="227"/>
      <c r="E395" s="227"/>
      <c r="F395" s="227"/>
      <c r="G395" s="227"/>
      <c r="H395" s="227"/>
      <c r="I395" s="227"/>
      <c r="J395" s="227"/>
      <c r="K395" s="227"/>
      <c r="L395" s="227"/>
      <c r="M395" s="227"/>
      <c r="N395" s="227"/>
      <c r="O395" s="227"/>
      <c r="P395" s="227"/>
      <c r="Q395" s="227"/>
      <c r="R395" s="227"/>
      <c r="S395" s="227"/>
      <c r="T395" s="227"/>
      <c r="U395" s="227"/>
      <c r="V395" s="227"/>
      <c r="W395" s="227"/>
      <c r="X395" s="227"/>
      <c r="Y395" s="227"/>
      <c r="Z395" s="227"/>
      <c r="AA395" s="227"/>
      <c r="AB395" s="227"/>
      <c r="AC395" s="227"/>
      <c r="AD395" s="227"/>
      <c r="AE395" s="227"/>
    </row>
    <row r="396" ht="15.75" customHeight="1">
      <c r="A396" s="227"/>
      <c r="B396" s="227"/>
      <c r="C396" s="227"/>
      <c r="D396" s="227"/>
      <c r="E396" s="227"/>
      <c r="F396" s="227"/>
      <c r="G396" s="227"/>
      <c r="H396" s="227"/>
      <c r="I396" s="227"/>
      <c r="J396" s="227"/>
      <c r="K396" s="227"/>
      <c r="L396" s="227"/>
      <c r="M396" s="227"/>
      <c r="N396" s="227"/>
      <c r="O396" s="227"/>
      <c r="P396" s="227"/>
      <c r="Q396" s="227"/>
      <c r="R396" s="227"/>
      <c r="S396" s="227"/>
      <c r="T396" s="227"/>
      <c r="U396" s="227"/>
      <c r="V396" s="227"/>
      <c r="W396" s="227"/>
      <c r="X396" s="227"/>
      <c r="Y396" s="227"/>
      <c r="Z396" s="227"/>
      <c r="AA396" s="227"/>
      <c r="AB396" s="227"/>
      <c r="AC396" s="227"/>
      <c r="AD396" s="227"/>
      <c r="AE396" s="227"/>
    </row>
    <row r="397" ht="15.75" customHeight="1">
      <c r="A397" s="227"/>
      <c r="B397" s="227"/>
      <c r="C397" s="227"/>
      <c r="D397" s="227"/>
      <c r="E397" s="227"/>
      <c r="F397" s="227"/>
      <c r="G397" s="227"/>
      <c r="H397" s="227"/>
      <c r="I397" s="227"/>
      <c r="J397" s="227"/>
      <c r="K397" s="227"/>
      <c r="L397" s="227"/>
      <c r="M397" s="227"/>
      <c r="N397" s="227"/>
      <c r="O397" s="227"/>
      <c r="P397" s="227"/>
      <c r="Q397" s="227"/>
      <c r="R397" s="227"/>
      <c r="S397" s="227"/>
      <c r="T397" s="227"/>
      <c r="U397" s="227"/>
      <c r="V397" s="227"/>
      <c r="W397" s="227"/>
      <c r="X397" s="227"/>
      <c r="Y397" s="227"/>
      <c r="Z397" s="227"/>
      <c r="AA397" s="227"/>
      <c r="AB397" s="227"/>
      <c r="AC397" s="227"/>
      <c r="AD397" s="227"/>
      <c r="AE397" s="227"/>
    </row>
    <row r="398" ht="15.75" customHeight="1">
      <c r="A398" s="227"/>
      <c r="B398" s="227"/>
      <c r="C398" s="227"/>
      <c r="D398" s="227"/>
      <c r="E398" s="227"/>
      <c r="F398" s="227"/>
      <c r="G398" s="227"/>
      <c r="H398" s="227"/>
      <c r="I398" s="227"/>
      <c r="J398" s="227"/>
      <c r="K398" s="227"/>
      <c r="L398" s="227"/>
      <c r="M398" s="227"/>
      <c r="N398" s="227"/>
      <c r="O398" s="227"/>
      <c r="P398" s="227"/>
      <c r="Q398" s="227"/>
      <c r="R398" s="227"/>
      <c r="S398" s="227"/>
      <c r="T398" s="227"/>
      <c r="U398" s="227"/>
      <c r="V398" s="227"/>
      <c r="W398" s="227"/>
      <c r="X398" s="227"/>
      <c r="Y398" s="227"/>
      <c r="Z398" s="227"/>
      <c r="AA398" s="227"/>
      <c r="AB398" s="227"/>
      <c r="AC398" s="227"/>
      <c r="AD398" s="227"/>
      <c r="AE398" s="227"/>
    </row>
    <row r="399" ht="15.75" customHeight="1">
      <c r="A399" s="227"/>
      <c r="B399" s="227"/>
      <c r="C399" s="227"/>
      <c r="D399" s="227"/>
      <c r="E399" s="227"/>
      <c r="F399" s="227"/>
      <c r="G399" s="227"/>
      <c r="H399" s="227"/>
      <c r="I399" s="227"/>
      <c r="J399" s="227"/>
      <c r="K399" s="227"/>
      <c r="L399" s="227"/>
      <c r="M399" s="227"/>
      <c r="N399" s="227"/>
      <c r="O399" s="227"/>
      <c r="P399" s="227"/>
      <c r="Q399" s="227"/>
      <c r="R399" s="227"/>
      <c r="S399" s="227"/>
      <c r="T399" s="227"/>
      <c r="U399" s="227"/>
      <c r="V399" s="227"/>
      <c r="W399" s="227"/>
      <c r="X399" s="227"/>
      <c r="Y399" s="227"/>
      <c r="Z399" s="227"/>
      <c r="AA399" s="227"/>
      <c r="AB399" s="227"/>
      <c r="AC399" s="227"/>
      <c r="AD399" s="227"/>
      <c r="AE399" s="227"/>
    </row>
    <row r="400" ht="15.75" customHeight="1">
      <c r="A400" s="227"/>
      <c r="B400" s="227"/>
      <c r="C400" s="227"/>
      <c r="D400" s="227"/>
      <c r="E400" s="227"/>
      <c r="F400" s="227"/>
      <c r="G400" s="227"/>
      <c r="H400" s="227"/>
      <c r="I400" s="227"/>
      <c r="J400" s="227"/>
      <c r="K400" s="227"/>
      <c r="L400" s="227"/>
      <c r="M400" s="227"/>
      <c r="N400" s="227"/>
      <c r="O400" s="227"/>
      <c r="P400" s="227"/>
      <c r="Q400" s="227"/>
      <c r="R400" s="227"/>
      <c r="S400" s="227"/>
      <c r="T400" s="227"/>
      <c r="U400" s="227"/>
      <c r="V400" s="227"/>
      <c r="W400" s="227"/>
      <c r="X400" s="227"/>
      <c r="Y400" s="227"/>
      <c r="Z400" s="227"/>
      <c r="AA400" s="227"/>
      <c r="AB400" s="227"/>
      <c r="AC400" s="227"/>
      <c r="AD400" s="227"/>
      <c r="AE400" s="227"/>
    </row>
    <row r="401" ht="15.75" customHeight="1">
      <c r="A401" s="227"/>
      <c r="B401" s="227"/>
      <c r="C401" s="227"/>
      <c r="D401" s="227"/>
      <c r="E401" s="227"/>
      <c r="F401" s="227"/>
      <c r="G401" s="227"/>
      <c r="H401" s="227"/>
      <c r="I401" s="227"/>
      <c r="J401" s="227"/>
      <c r="K401" s="227"/>
      <c r="L401" s="227"/>
      <c r="M401" s="227"/>
      <c r="N401" s="227"/>
      <c r="O401" s="227"/>
      <c r="P401" s="227"/>
      <c r="Q401" s="227"/>
      <c r="R401" s="227"/>
      <c r="S401" s="227"/>
      <c r="T401" s="227"/>
      <c r="U401" s="227"/>
      <c r="V401" s="227"/>
      <c r="W401" s="227"/>
      <c r="X401" s="227"/>
      <c r="Y401" s="227"/>
      <c r="Z401" s="227"/>
      <c r="AA401" s="227"/>
      <c r="AB401" s="227"/>
      <c r="AC401" s="227"/>
      <c r="AD401" s="227"/>
      <c r="AE401" s="227"/>
    </row>
    <row r="402" ht="15.75" customHeight="1">
      <c r="A402" s="227"/>
      <c r="B402" s="227"/>
      <c r="C402" s="227"/>
      <c r="D402" s="227"/>
      <c r="E402" s="227"/>
      <c r="F402" s="227"/>
      <c r="G402" s="227"/>
      <c r="H402" s="227"/>
      <c r="I402" s="227"/>
      <c r="J402" s="227"/>
      <c r="K402" s="227"/>
      <c r="L402" s="227"/>
      <c r="M402" s="227"/>
      <c r="N402" s="227"/>
      <c r="O402" s="227"/>
      <c r="P402" s="227"/>
      <c r="Q402" s="227"/>
      <c r="R402" s="227"/>
      <c r="S402" s="227"/>
      <c r="T402" s="227"/>
      <c r="U402" s="227"/>
      <c r="V402" s="227"/>
      <c r="W402" s="227"/>
      <c r="X402" s="227"/>
      <c r="Y402" s="227"/>
      <c r="Z402" s="227"/>
      <c r="AA402" s="227"/>
      <c r="AB402" s="227"/>
      <c r="AC402" s="227"/>
      <c r="AD402" s="227"/>
      <c r="AE402" s="227"/>
    </row>
    <row r="403" ht="15.75" customHeight="1">
      <c r="A403" s="227"/>
      <c r="B403" s="227"/>
      <c r="C403" s="227"/>
      <c r="D403" s="227"/>
      <c r="E403" s="227"/>
      <c r="F403" s="227"/>
      <c r="G403" s="227"/>
      <c r="H403" s="227"/>
      <c r="I403" s="227"/>
      <c r="J403" s="227"/>
      <c r="K403" s="227"/>
      <c r="L403" s="227"/>
      <c r="M403" s="227"/>
      <c r="N403" s="227"/>
      <c r="O403" s="227"/>
      <c r="P403" s="227"/>
      <c r="Q403" s="227"/>
      <c r="R403" s="227"/>
      <c r="S403" s="227"/>
      <c r="T403" s="227"/>
      <c r="U403" s="227"/>
      <c r="V403" s="227"/>
      <c r="W403" s="227"/>
      <c r="X403" s="227"/>
      <c r="Y403" s="227"/>
      <c r="Z403" s="227"/>
      <c r="AA403" s="227"/>
      <c r="AB403" s="227"/>
      <c r="AC403" s="227"/>
      <c r="AD403" s="227"/>
      <c r="AE403" s="227"/>
    </row>
    <row r="404" ht="15.75" customHeight="1">
      <c r="A404" s="227"/>
      <c r="B404" s="227"/>
      <c r="C404" s="227"/>
      <c r="D404" s="227"/>
      <c r="E404" s="227"/>
      <c r="F404" s="227"/>
      <c r="G404" s="227"/>
      <c r="H404" s="227"/>
      <c r="I404" s="227"/>
      <c r="J404" s="227"/>
      <c r="K404" s="227"/>
      <c r="L404" s="227"/>
      <c r="M404" s="227"/>
      <c r="N404" s="227"/>
      <c r="O404" s="227"/>
      <c r="P404" s="227"/>
      <c r="Q404" s="227"/>
      <c r="R404" s="227"/>
      <c r="S404" s="227"/>
      <c r="T404" s="227"/>
      <c r="U404" s="227"/>
      <c r="V404" s="227"/>
      <c r="W404" s="227"/>
      <c r="X404" s="227"/>
      <c r="Y404" s="227"/>
      <c r="Z404" s="227"/>
      <c r="AA404" s="227"/>
      <c r="AB404" s="227"/>
      <c r="AC404" s="227"/>
      <c r="AD404" s="227"/>
      <c r="AE404" s="227"/>
    </row>
    <row r="405" ht="15.75" customHeight="1">
      <c r="A405" s="227"/>
      <c r="B405" s="227"/>
      <c r="C405" s="227"/>
      <c r="D405" s="227"/>
      <c r="E405" s="227"/>
      <c r="F405" s="227"/>
      <c r="G405" s="227"/>
      <c r="H405" s="227"/>
      <c r="I405" s="227"/>
      <c r="J405" s="227"/>
      <c r="K405" s="227"/>
      <c r="L405" s="227"/>
      <c r="M405" s="227"/>
      <c r="N405" s="227"/>
      <c r="O405" s="227"/>
      <c r="P405" s="227"/>
      <c r="Q405" s="227"/>
      <c r="R405" s="227"/>
      <c r="S405" s="227"/>
      <c r="T405" s="227"/>
      <c r="U405" s="227"/>
      <c r="V405" s="227"/>
      <c r="W405" s="227"/>
      <c r="X405" s="227"/>
      <c r="Y405" s="227"/>
      <c r="Z405" s="227"/>
      <c r="AA405" s="227"/>
      <c r="AB405" s="227"/>
      <c r="AC405" s="227"/>
      <c r="AD405" s="227"/>
      <c r="AE405" s="227"/>
    </row>
    <row r="406" ht="15.75" customHeight="1">
      <c r="A406" s="227"/>
      <c r="B406" s="227"/>
      <c r="C406" s="227"/>
      <c r="D406" s="227"/>
      <c r="E406" s="227"/>
      <c r="F406" s="227"/>
      <c r="G406" s="227"/>
      <c r="H406" s="227"/>
      <c r="I406" s="227"/>
      <c r="J406" s="227"/>
      <c r="K406" s="227"/>
      <c r="L406" s="227"/>
      <c r="M406" s="227"/>
      <c r="N406" s="227"/>
      <c r="O406" s="227"/>
      <c r="P406" s="227"/>
      <c r="Q406" s="227"/>
      <c r="R406" s="227"/>
      <c r="S406" s="227"/>
      <c r="T406" s="227"/>
      <c r="U406" s="227"/>
      <c r="V406" s="227"/>
      <c r="W406" s="227"/>
      <c r="X406" s="227"/>
      <c r="Y406" s="227"/>
      <c r="Z406" s="227"/>
      <c r="AA406" s="227"/>
      <c r="AB406" s="227"/>
      <c r="AC406" s="227"/>
      <c r="AD406" s="227"/>
      <c r="AE406" s="227"/>
    </row>
    <row r="407" ht="15.75" customHeight="1">
      <c r="A407" s="227"/>
      <c r="B407" s="227"/>
      <c r="C407" s="227"/>
      <c r="D407" s="227"/>
      <c r="E407" s="227"/>
      <c r="F407" s="227"/>
      <c r="G407" s="227"/>
      <c r="H407" s="227"/>
      <c r="I407" s="227"/>
      <c r="J407" s="227"/>
      <c r="K407" s="227"/>
      <c r="L407" s="227"/>
      <c r="M407" s="227"/>
      <c r="N407" s="227"/>
      <c r="O407" s="227"/>
      <c r="P407" s="227"/>
      <c r="Q407" s="227"/>
      <c r="R407" s="227"/>
      <c r="S407" s="227"/>
      <c r="T407" s="227"/>
      <c r="U407" s="227"/>
      <c r="V407" s="227"/>
      <c r="W407" s="227"/>
      <c r="X407" s="227"/>
      <c r="Y407" s="227"/>
      <c r="Z407" s="227"/>
      <c r="AA407" s="227"/>
      <c r="AB407" s="227"/>
      <c r="AC407" s="227"/>
      <c r="AD407" s="227"/>
      <c r="AE407" s="227"/>
    </row>
    <row r="408" ht="15.75" customHeight="1">
      <c r="A408" s="227"/>
      <c r="B408" s="227"/>
      <c r="C408" s="227"/>
      <c r="D408" s="227"/>
      <c r="E408" s="227"/>
      <c r="F408" s="227"/>
      <c r="G408" s="227"/>
      <c r="H408" s="227"/>
      <c r="I408" s="227"/>
      <c r="J408" s="227"/>
      <c r="K408" s="227"/>
      <c r="L408" s="227"/>
      <c r="M408" s="227"/>
      <c r="N408" s="227"/>
      <c r="O408" s="227"/>
      <c r="P408" s="227"/>
      <c r="Q408" s="227"/>
      <c r="R408" s="227"/>
      <c r="S408" s="227"/>
      <c r="T408" s="227"/>
      <c r="U408" s="227"/>
      <c r="V408" s="227"/>
      <c r="W408" s="227"/>
      <c r="X408" s="227"/>
      <c r="Y408" s="227"/>
      <c r="Z408" s="227"/>
      <c r="AA408" s="227"/>
      <c r="AB408" s="227"/>
      <c r="AC408" s="227"/>
      <c r="AD408" s="227"/>
      <c r="AE408" s="227"/>
    </row>
    <row r="409" ht="15.75" customHeight="1">
      <c r="A409" s="227"/>
      <c r="B409" s="227"/>
      <c r="C409" s="227"/>
      <c r="D409" s="227"/>
      <c r="E409" s="227"/>
      <c r="F409" s="227"/>
      <c r="G409" s="227"/>
      <c r="H409" s="227"/>
      <c r="I409" s="227"/>
      <c r="J409" s="227"/>
      <c r="K409" s="227"/>
      <c r="L409" s="227"/>
      <c r="M409" s="227"/>
      <c r="N409" s="227"/>
      <c r="O409" s="227"/>
      <c r="P409" s="227"/>
      <c r="Q409" s="227"/>
      <c r="R409" s="227"/>
      <c r="S409" s="227"/>
      <c r="T409" s="227"/>
      <c r="U409" s="227"/>
      <c r="V409" s="227"/>
      <c r="W409" s="227"/>
      <c r="X409" s="227"/>
      <c r="Y409" s="227"/>
      <c r="Z409" s="227"/>
      <c r="AA409" s="227"/>
      <c r="AB409" s="227"/>
      <c r="AC409" s="227"/>
      <c r="AD409" s="227"/>
      <c r="AE409" s="227"/>
    </row>
    <row r="410" ht="15.75" customHeight="1">
      <c r="A410" s="227"/>
      <c r="B410" s="227"/>
      <c r="C410" s="227"/>
      <c r="D410" s="227"/>
      <c r="E410" s="227"/>
      <c r="F410" s="227"/>
      <c r="G410" s="227"/>
      <c r="H410" s="227"/>
      <c r="I410" s="227"/>
      <c r="J410" s="227"/>
      <c r="K410" s="227"/>
      <c r="L410" s="227"/>
      <c r="M410" s="227"/>
      <c r="N410" s="227"/>
      <c r="O410" s="227"/>
      <c r="P410" s="227"/>
      <c r="Q410" s="227"/>
      <c r="R410" s="227"/>
      <c r="S410" s="227"/>
      <c r="T410" s="227"/>
      <c r="U410" s="227"/>
      <c r="V410" s="227"/>
      <c r="W410" s="227"/>
      <c r="X410" s="227"/>
      <c r="Y410" s="227"/>
      <c r="Z410" s="227"/>
      <c r="AA410" s="227"/>
      <c r="AB410" s="227"/>
      <c r="AC410" s="227"/>
      <c r="AD410" s="227"/>
      <c r="AE410" s="227"/>
    </row>
    <row r="411" ht="15.75" customHeight="1">
      <c r="A411" s="227"/>
      <c r="B411" s="227"/>
      <c r="C411" s="227"/>
      <c r="D411" s="227"/>
      <c r="E411" s="227"/>
      <c r="F411" s="227"/>
      <c r="G411" s="227"/>
      <c r="H411" s="227"/>
      <c r="I411" s="227"/>
      <c r="J411" s="227"/>
      <c r="K411" s="227"/>
      <c r="L411" s="227"/>
      <c r="M411" s="227"/>
      <c r="N411" s="227"/>
      <c r="O411" s="227"/>
      <c r="P411" s="227"/>
      <c r="Q411" s="227"/>
      <c r="R411" s="227"/>
      <c r="S411" s="227"/>
      <c r="T411" s="227"/>
      <c r="U411" s="227"/>
      <c r="V411" s="227"/>
      <c r="W411" s="227"/>
      <c r="X411" s="227"/>
      <c r="Y411" s="227"/>
      <c r="Z411" s="227"/>
      <c r="AA411" s="227"/>
      <c r="AB411" s="227"/>
      <c r="AC411" s="227"/>
      <c r="AD411" s="227"/>
      <c r="AE411" s="227"/>
    </row>
    <row r="412" ht="15.75" customHeight="1">
      <c r="A412" s="227"/>
      <c r="B412" s="227"/>
      <c r="C412" s="227"/>
      <c r="D412" s="227"/>
      <c r="E412" s="227"/>
      <c r="F412" s="227"/>
      <c r="G412" s="227"/>
      <c r="H412" s="227"/>
      <c r="I412" s="227"/>
      <c r="J412" s="227"/>
      <c r="K412" s="227"/>
      <c r="L412" s="227"/>
      <c r="M412" s="227"/>
      <c r="N412" s="227"/>
      <c r="O412" s="227"/>
      <c r="P412" s="227"/>
      <c r="Q412" s="227"/>
      <c r="R412" s="227"/>
      <c r="S412" s="227"/>
      <c r="T412" s="227"/>
      <c r="U412" s="227"/>
      <c r="V412" s="227"/>
      <c r="W412" s="227"/>
      <c r="X412" s="227"/>
      <c r="Y412" s="227"/>
      <c r="Z412" s="227"/>
      <c r="AA412" s="227"/>
      <c r="AB412" s="227"/>
      <c r="AC412" s="227"/>
      <c r="AD412" s="227"/>
      <c r="AE412" s="227"/>
    </row>
    <row r="413" ht="15.75" customHeight="1">
      <c r="A413" s="227"/>
      <c r="B413" s="227"/>
      <c r="C413" s="227"/>
      <c r="D413" s="227"/>
      <c r="E413" s="227"/>
      <c r="F413" s="227"/>
      <c r="G413" s="227"/>
      <c r="H413" s="227"/>
      <c r="I413" s="227"/>
      <c r="J413" s="227"/>
      <c r="K413" s="227"/>
      <c r="L413" s="227"/>
      <c r="M413" s="227"/>
      <c r="N413" s="227"/>
      <c r="O413" s="227"/>
      <c r="P413" s="227"/>
      <c r="Q413" s="227"/>
      <c r="R413" s="227"/>
      <c r="S413" s="227"/>
      <c r="T413" s="227"/>
      <c r="U413" s="227"/>
      <c r="V413" s="227"/>
      <c r="W413" s="227"/>
      <c r="X413" s="227"/>
      <c r="Y413" s="227"/>
      <c r="Z413" s="227"/>
      <c r="AA413" s="227"/>
      <c r="AB413" s="227"/>
      <c r="AC413" s="227"/>
      <c r="AD413" s="227"/>
      <c r="AE413" s="227"/>
    </row>
    <row r="414" ht="15.75" customHeight="1">
      <c r="A414" s="227"/>
      <c r="B414" s="227"/>
      <c r="C414" s="227"/>
      <c r="D414" s="227"/>
      <c r="E414" s="227"/>
      <c r="F414" s="227"/>
      <c r="G414" s="227"/>
      <c r="H414" s="227"/>
      <c r="I414" s="227"/>
      <c r="J414" s="227"/>
      <c r="K414" s="227"/>
      <c r="L414" s="227"/>
      <c r="M414" s="227"/>
      <c r="N414" s="227"/>
      <c r="O414" s="227"/>
      <c r="P414" s="227"/>
      <c r="Q414" s="227"/>
      <c r="R414" s="227"/>
      <c r="S414" s="227"/>
      <c r="T414" s="227"/>
      <c r="U414" s="227"/>
      <c r="V414" s="227"/>
      <c r="W414" s="227"/>
      <c r="X414" s="227"/>
      <c r="Y414" s="227"/>
      <c r="Z414" s="227"/>
      <c r="AA414" s="227"/>
      <c r="AB414" s="227"/>
      <c r="AC414" s="227"/>
      <c r="AD414" s="227"/>
      <c r="AE414" s="227"/>
    </row>
    <row r="415" ht="15.75" customHeight="1">
      <c r="A415" s="227"/>
      <c r="B415" s="227"/>
      <c r="C415" s="227"/>
      <c r="D415" s="227"/>
      <c r="E415" s="227"/>
      <c r="F415" s="227"/>
      <c r="G415" s="227"/>
      <c r="H415" s="227"/>
      <c r="I415" s="227"/>
      <c r="J415" s="227"/>
      <c r="K415" s="227"/>
      <c r="L415" s="227"/>
      <c r="M415" s="227"/>
      <c r="N415" s="227"/>
      <c r="O415" s="227"/>
      <c r="P415" s="227"/>
      <c r="Q415" s="227"/>
      <c r="R415" s="227"/>
      <c r="S415" s="227"/>
      <c r="T415" s="227"/>
      <c r="U415" s="227"/>
      <c r="V415" s="227"/>
      <c r="W415" s="227"/>
      <c r="X415" s="227"/>
      <c r="Y415" s="227"/>
      <c r="Z415" s="227"/>
      <c r="AA415" s="227"/>
      <c r="AB415" s="227"/>
      <c r="AC415" s="227"/>
      <c r="AD415" s="227"/>
      <c r="AE415" s="227"/>
    </row>
    <row r="416" ht="15.75" customHeight="1">
      <c r="A416" s="227"/>
      <c r="B416" s="227"/>
      <c r="C416" s="227"/>
      <c r="D416" s="227"/>
      <c r="E416" s="227"/>
      <c r="F416" s="227"/>
      <c r="G416" s="227"/>
      <c r="H416" s="227"/>
      <c r="I416" s="227"/>
      <c r="J416" s="227"/>
      <c r="K416" s="227"/>
      <c r="L416" s="227"/>
      <c r="M416" s="227"/>
      <c r="N416" s="227"/>
      <c r="O416" s="227"/>
      <c r="P416" s="227"/>
      <c r="Q416" s="227"/>
      <c r="R416" s="227"/>
      <c r="S416" s="227"/>
      <c r="T416" s="227"/>
      <c r="U416" s="227"/>
      <c r="V416" s="227"/>
      <c r="W416" s="227"/>
      <c r="X416" s="227"/>
      <c r="Y416" s="227"/>
      <c r="Z416" s="227"/>
      <c r="AA416" s="227"/>
      <c r="AB416" s="227"/>
      <c r="AC416" s="227"/>
      <c r="AD416" s="227"/>
      <c r="AE416" s="227"/>
    </row>
    <row r="417" ht="15.75" customHeight="1">
      <c r="A417" s="227"/>
      <c r="B417" s="227"/>
      <c r="C417" s="227"/>
      <c r="D417" s="227"/>
      <c r="E417" s="227"/>
      <c r="F417" s="227"/>
      <c r="G417" s="227"/>
      <c r="H417" s="227"/>
      <c r="I417" s="227"/>
      <c r="J417" s="227"/>
      <c r="K417" s="227"/>
      <c r="L417" s="227"/>
      <c r="M417" s="227"/>
      <c r="N417" s="227"/>
      <c r="O417" s="227"/>
      <c r="P417" s="227"/>
      <c r="Q417" s="227"/>
      <c r="R417" s="227"/>
      <c r="S417" s="227"/>
      <c r="T417" s="227"/>
      <c r="U417" s="227"/>
      <c r="V417" s="227"/>
      <c r="W417" s="227"/>
      <c r="X417" s="227"/>
      <c r="Y417" s="227"/>
      <c r="Z417" s="227"/>
      <c r="AA417" s="227"/>
      <c r="AB417" s="227"/>
      <c r="AC417" s="227"/>
      <c r="AD417" s="227"/>
      <c r="AE417" s="227"/>
    </row>
    <row r="418" ht="15.75" customHeight="1">
      <c r="A418" s="227"/>
      <c r="B418" s="227"/>
      <c r="C418" s="227"/>
      <c r="D418" s="227"/>
      <c r="E418" s="227"/>
      <c r="F418" s="227"/>
      <c r="G418" s="227"/>
      <c r="H418" s="227"/>
      <c r="I418" s="227"/>
      <c r="J418" s="227"/>
      <c r="K418" s="227"/>
      <c r="L418" s="227"/>
      <c r="M418" s="227"/>
      <c r="N418" s="227"/>
      <c r="O418" s="227"/>
      <c r="P418" s="227"/>
      <c r="Q418" s="227"/>
      <c r="R418" s="227"/>
      <c r="S418" s="227"/>
      <c r="T418" s="227"/>
      <c r="U418" s="227"/>
      <c r="V418" s="227"/>
      <c r="W418" s="227"/>
      <c r="X418" s="227"/>
      <c r="Y418" s="227"/>
      <c r="Z418" s="227"/>
      <c r="AA418" s="227"/>
      <c r="AB418" s="227"/>
      <c r="AC418" s="227"/>
      <c r="AD418" s="227"/>
      <c r="AE418" s="227"/>
    </row>
    <row r="419" ht="15.75" customHeight="1">
      <c r="A419" s="227"/>
      <c r="B419" s="227"/>
      <c r="C419" s="227"/>
      <c r="D419" s="227"/>
      <c r="E419" s="227"/>
      <c r="F419" s="227"/>
      <c r="G419" s="227"/>
      <c r="H419" s="227"/>
      <c r="I419" s="227"/>
      <c r="J419" s="227"/>
      <c r="K419" s="227"/>
      <c r="L419" s="227"/>
      <c r="M419" s="227"/>
      <c r="N419" s="227"/>
      <c r="O419" s="227"/>
      <c r="P419" s="227"/>
      <c r="Q419" s="227"/>
      <c r="R419" s="227"/>
      <c r="S419" s="227"/>
      <c r="T419" s="227"/>
      <c r="U419" s="227"/>
      <c r="V419" s="227"/>
      <c r="W419" s="227"/>
      <c r="X419" s="227"/>
      <c r="Y419" s="227"/>
      <c r="Z419" s="227"/>
      <c r="AA419" s="227"/>
      <c r="AB419" s="227"/>
      <c r="AC419" s="227"/>
      <c r="AD419" s="227"/>
      <c r="AE419" s="227"/>
    </row>
    <row r="420" ht="15.75" customHeight="1">
      <c r="A420" s="227"/>
      <c r="B420" s="227"/>
      <c r="C420" s="227"/>
      <c r="D420" s="227"/>
      <c r="E420" s="227"/>
      <c r="F420" s="227"/>
      <c r="G420" s="227"/>
      <c r="H420" s="227"/>
      <c r="I420" s="227"/>
      <c r="J420" s="227"/>
      <c r="K420" s="227"/>
      <c r="L420" s="227"/>
      <c r="M420" s="227"/>
      <c r="N420" s="227"/>
      <c r="O420" s="227"/>
      <c r="P420" s="227"/>
      <c r="Q420" s="227"/>
      <c r="R420" s="227"/>
      <c r="S420" s="227"/>
      <c r="T420" s="227"/>
      <c r="U420" s="227"/>
      <c r="V420" s="227"/>
      <c r="W420" s="227"/>
      <c r="X420" s="227"/>
      <c r="Y420" s="227"/>
      <c r="Z420" s="227"/>
      <c r="AA420" s="227"/>
      <c r="AB420" s="227"/>
      <c r="AC420" s="227"/>
      <c r="AD420" s="227"/>
      <c r="AE420" s="227"/>
    </row>
    <row r="421" ht="15.75" customHeight="1">
      <c r="A421" s="227"/>
      <c r="B421" s="227"/>
      <c r="C421" s="227"/>
      <c r="D421" s="227"/>
      <c r="E421" s="227"/>
      <c r="F421" s="227"/>
      <c r="G421" s="227"/>
      <c r="H421" s="227"/>
      <c r="I421" s="227"/>
      <c r="J421" s="227"/>
      <c r="K421" s="227"/>
      <c r="L421" s="227"/>
      <c r="M421" s="227"/>
      <c r="N421" s="227"/>
      <c r="O421" s="227"/>
      <c r="P421" s="227"/>
      <c r="Q421" s="227"/>
      <c r="R421" s="227"/>
      <c r="S421" s="227"/>
      <c r="T421" s="227"/>
      <c r="U421" s="227"/>
      <c r="V421" s="227"/>
      <c r="W421" s="227"/>
      <c r="X421" s="227"/>
      <c r="Y421" s="227"/>
      <c r="Z421" s="227"/>
      <c r="AA421" s="227"/>
      <c r="AB421" s="227"/>
      <c r="AC421" s="227"/>
      <c r="AD421" s="227"/>
      <c r="AE421" s="227"/>
    </row>
    <row r="422" ht="15.75" customHeight="1">
      <c r="A422" s="227"/>
      <c r="B422" s="227"/>
      <c r="C422" s="227"/>
      <c r="D422" s="227"/>
      <c r="E422" s="227"/>
      <c r="F422" s="227"/>
      <c r="G422" s="227"/>
      <c r="H422" s="227"/>
      <c r="I422" s="227"/>
      <c r="J422" s="227"/>
      <c r="K422" s="227"/>
      <c r="L422" s="227"/>
      <c r="M422" s="227"/>
      <c r="N422" s="227"/>
      <c r="O422" s="227"/>
      <c r="P422" s="227"/>
      <c r="Q422" s="227"/>
      <c r="R422" s="227"/>
      <c r="S422" s="227"/>
      <c r="T422" s="227"/>
      <c r="U422" s="227"/>
      <c r="V422" s="227"/>
      <c r="W422" s="227"/>
      <c r="X422" s="227"/>
      <c r="Y422" s="227"/>
      <c r="Z422" s="227"/>
      <c r="AA422" s="227"/>
      <c r="AB422" s="227"/>
      <c r="AC422" s="227"/>
      <c r="AD422" s="227"/>
      <c r="AE422" s="227"/>
    </row>
    <row r="423" ht="15.75" customHeight="1">
      <c r="A423" s="227"/>
      <c r="B423" s="227"/>
      <c r="C423" s="227"/>
      <c r="D423" s="227"/>
      <c r="E423" s="227"/>
      <c r="F423" s="227"/>
      <c r="G423" s="227"/>
      <c r="H423" s="227"/>
      <c r="I423" s="227"/>
      <c r="J423" s="227"/>
      <c r="K423" s="227"/>
      <c r="L423" s="227"/>
      <c r="M423" s="227"/>
      <c r="N423" s="227"/>
      <c r="O423" s="227"/>
      <c r="P423" s="227"/>
      <c r="Q423" s="227"/>
      <c r="R423" s="227"/>
      <c r="S423" s="227"/>
      <c r="T423" s="227"/>
      <c r="U423" s="227"/>
      <c r="V423" s="227"/>
      <c r="W423" s="227"/>
      <c r="X423" s="227"/>
      <c r="Y423" s="227"/>
      <c r="Z423" s="227"/>
      <c r="AA423" s="227"/>
      <c r="AB423" s="227"/>
      <c r="AC423" s="227"/>
      <c r="AD423" s="227"/>
      <c r="AE423" s="227"/>
    </row>
    <row r="424" ht="15.75" customHeight="1">
      <c r="A424" s="227"/>
      <c r="B424" s="227"/>
      <c r="C424" s="227"/>
      <c r="D424" s="227"/>
      <c r="E424" s="227"/>
      <c r="F424" s="227"/>
      <c r="G424" s="227"/>
      <c r="H424" s="227"/>
      <c r="I424" s="227"/>
      <c r="J424" s="227"/>
      <c r="K424" s="227"/>
      <c r="L424" s="227"/>
      <c r="M424" s="227"/>
      <c r="N424" s="227"/>
      <c r="O424" s="227"/>
      <c r="P424" s="227"/>
      <c r="Q424" s="227"/>
      <c r="R424" s="227"/>
      <c r="S424" s="227"/>
      <c r="T424" s="227"/>
      <c r="U424" s="227"/>
      <c r="V424" s="227"/>
      <c r="W424" s="227"/>
      <c r="X424" s="227"/>
      <c r="Y424" s="227"/>
      <c r="Z424" s="227"/>
      <c r="AA424" s="227"/>
      <c r="AB424" s="227"/>
      <c r="AC424" s="227"/>
      <c r="AD424" s="227"/>
      <c r="AE424" s="227"/>
    </row>
    <row r="425" ht="15.75" customHeight="1">
      <c r="A425" s="227"/>
      <c r="B425" s="227"/>
      <c r="C425" s="227"/>
      <c r="D425" s="227"/>
      <c r="E425" s="227"/>
      <c r="F425" s="227"/>
      <c r="G425" s="227"/>
      <c r="H425" s="227"/>
      <c r="I425" s="227"/>
      <c r="J425" s="227"/>
      <c r="K425" s="227"/>
      <c r="L425" s="227"/>
      <c r="M425" s="227"/>
      <c r="N425" s="227"/>
      <c r="O425" s="227"/>
      <c r="P425" s="227"/>
      <c r="Q425" s="227"/>
      <c r="R425" s="227"/>
      <c r="S425" s="227"/>
      <c r="T425" s="227"/>
      <c r="U425" s="227"/>
      <c r="V425" s="227"/>
      <c r="W425" s="227"/>
      <c r="X425" s="227"/>
      <c r="Y425" s="227"/>
      <c r="Z425" s="227"/>
      <c r="AA425" s="227"/>
      <c r="AB425" s="227"/>
      <c r="AC425" s="227"/>
      <c r="AD425" s="227"/>
      <c r="AE425" s="227"/>
    </row>
    <row r="426" ht="15.75" customHeight="1">
      <c r="A426" s="227"/>
      <c r="B426" s="227"/>
      <c r="C426" s="227"/>
      <c r="D426" s="227"/>
      <c r="E426" s="227"/>
      <c r="F426" s="227"/>
      <c r="G426" s="227"/>
      <c r="H426" s="227"/>
      <c r="I426" s="227"/>
      <c r="J426" s="227"/>
      <c r="K426" s="227"/>
      <c r="L426" s="227"/>
      <c r="M426" s="227"/>
      <c r="N426" s="227"/>
      <c r="O426" s="227"/>
      <c r="P426" s="227"/>
      <c r="Q426" s="227"/>
      <c r="R426" s="227"/>
      <c r="S426" s="227"/>
      <c r="T426" s="227"/>
      <c r="U426" s="227"/>
      <c r="V426" s="227"/>
      <c r="W426" s="227"/>
      <c r="X426" s="227"/>
      <c r="Y426" s="227"/>
      <c r="Z426" s="227"/>
      <c r="AA426" s="227"/>
      <c r="AB426" s="227"/>
      <c r="AC426" s="227"/>
      <c r="AD426" s="227"/>
      <c r="AE426" s="227"/>
    </row>
    <row r="427" ht="15.75" customHeight="1">
      <c r="A427" s="227"/>
      <c r="B427" s="227"/>
      <c r="C427" s="227"/>
      <c r="D427" s="227"/>
      <c r="E427" s="227"/>
      <c r="F427" s="227"/>
      <c r="G427" s="227"/>
      <c r="H427" s="227"/>
      <c r="I427" s="227"/>
      <c r="J427" s="227"/>
      <c r="K427" s="227"/>
      <c r="L427" s="227"/>
      <c r="M427" s="227"/>
      <c r="N427" s="227"/>
      <c r="O427" s="227"/>
      <c r="P427" s="227"/>
      <c r="Q427" s="227"/>
      <c r="R427" s="227"/>
      <c r="S427" s="227"/>
      <c r="T427" s="227"/>
      <c r="U427" s="227"/>
      <c r="V427" s="227"/>
      <c r="W427" s="227"/>
      <c r="X427" s="227"/>
      <c r="Y427" s="227"/>
      <c r="Z427" s="227"/>
      <c r="AA427" s="227"/>
      <c r="AB427" s="227"/>
      <c r="AC427" s="227"/>
      <c r="AD427" s="227"/>
      <c r="AE427" s="227"/>
    </row>
    <row r="428" ht="15.75" customHeight="1">
      <c r="A428" s="227"/>
      <c r="B428" s="227"/>
      <c r="C428" s="227"/>
      <c r="D428" s="227"/>
      <c r="E428" s="227"/>
      <c r="F428" s="227"/>
      <c r="G428" s="227"/>
      <c r="H428" s="227"/>
      <c r="I428" s="227"/>
      <c r="J428" s="227"/>
      <c r="K428" s="227"/>
      <c r="L428" s="227"/>
      <c r="M428" s="227"/>
      <c r="N428" s="227"/>
      <c r="O428" s="227"/>
      <c r="P428" s="227"/>
      <c r="Q428" s="227"/>
      <c r="R428" s="227"/>
      <c r="S428" s="227"/>
      <c r="T428" s="227"/>
      <c r="U428" s="227"/>
      <c r="V428" s="227"/>
      <c r="W428" s="227"/>
      <c r="X428" s="227"/>
      <c r="Y428" s="227"/>
      <c r="Z428" s="227"/>
      <c r="AA428" s="227"/>
      <c r="AB428" s="227"/>
      <c r="AC428" s="227"/>
      <c r="AD428" s="227"/>
      <c r="AE428" s="227"/>
    </row>
    <row r="429" ht="15.75" customHeight="1">
      <c r="A429" s="227"/>
      <c r="B429" s="227"/>
      <c r="C429" s="227"/>
      <c r="D429" s="227"/>
      <c r="E429" s="227"/>
      <c r="F429" s="227"/>
      <c r="G429" s="227"/>
      <c r="H429" s="227"/>
      <c r="I429" s="227"/>
      <c r="J429" s="227"/>
      <c r="K429" s="227"/>
      <c r="L429" s="227"/>
      <c r="M429" s="227"/>
      <c r="N429" s="227"/>
      <c r="O429" s="227"/>
      <c r="P429" s="227"/>
      <c r="Q429" s="227"/>
      <c r="R429" s="227"/>
      <c r="S429" s="227"/>
      <c r="T429" s="227"/>
      <c r="U429" s="227"/>
      <c r="V429" s="227"/>
      <c r="W429" s="227"/>
      <c r="X429" s="227"/>
      <c r="Y429" s="227"/>
      <c r="Z429" s="227"/>
      <c r="AA429" s="227"/>
      <c r="AB429" s="227"/>
      <c r="AC429" s="227"/>
      <c r="AD429" s="227"/>
      <c r="AE429" s="227"/>
    </row>
    <row r="430" ht="15.75" customHeight="1">
      <c r="A430" s="227"/>
      <c r="B430" s="227"/>
      <c r="C430" s="227"/>
      <c r="D430" s="227"/>
      <c r="E430" s="227"/>
      <c r="F430" s="227"/>
      <c r="G430" s="227"/>
      <c r="H430" s="227"/>
      <c r="I430" s="227"/>
      <c r="J430" s="227"/>
      <c r="K430" s="227"/>
      <c r="L430" s="227"/>
      <c r="M430" s="227"/>
      <c r="N430" s="227"/>
      <c r="O430" s="227"/>
      <c r="P430" s="227"/>
      <c r="Q430" s="227"/>
      <c r="R430" s="227"/>
      <c r="S430" s="227"/>
      <c r="T430" s="227"/>
      <c r="U430" s="227"/>
      <c r="V430" s="227"/>
      <c r="W430" s="227"/>
      <c r="X430" s="227"/>
      <c r="Y430" s="227"/>
      <c r="Z430" s="227"/>
      <c r="AA430" s="227"/>
      <c r="AB430" s="227"/>
      <c r="AC430" s="227"/>
      <c r="AD430" s="227"/>
      <c r="AE430" s="227"/>
    </row>
    <row r="431" ht="15.75" customHeight="1">
      <c r="A431" s="227"/>
      <c r="B431" s="227"/>
      <c r="C431" s="227"/>
      <c r="D431" s="227"/>
      <c r="E431" s="227"/>
      <c r="F431" s="227"/>
      <c r="G431" s="227"/>
      <c r="H431" s="227"/>
      <c r="I431" s="227"/>
      <c r="J431" s="227"/>
      <c r="K431" s="227"/>
      <c r="L431" s="227"/>
      <c r="M431" s="227"/>
      <c r="N431" s="227"/>
      <c r="O431" s="227"/>
      <c r="P431" s="227"/>
      <c r="Q431" s="227"/>
      <c r="R431" s="227"/>
      <c r="S431" s="227"/>
      <c r="T431" s="227"/>
      <c r="U431" s="227"/>
      <c r="V431" s="227"/>
      <c r="W431" s="227"/>
      <c r="X431" s="227"/>
      <c r="Y431" s="227"/>
      <c r="Z431" s="227"/>
      <c r="AA431" s="227"/>
      <c r="AB431" s="227"/>
      <c r="AC431" s="227"/>
      <c r="AD431" s="227"/>
      <c r="AE431" s="227"/>
    </row>
    <row r="432" ht="15.75" customHeight="1">
      <c r="A432" s="227"/>
      <c r="B432" s="227"/>
      <c r="C432" s="227"/>
      <c r="D432" s="227"/>
      <c r="E432" s="227"/>
      <c r="F432" s="227"/>
      <c r="G432" s="227"/>
      <c r="H432" s="227"/>
      <c r="I432" s="227"/>
      <c r="J432" s="227"/>
      <c r="K432" s="227"/>
      <c r="L432" s="227"/>
      <c r="M432" s="227"/>
      <c r="N432" s="227"/>
      <c r="O432" s="227"/>
      <c r="P432" s="227"/>
      <c r="Q432" s="227"/>
      <c r="R432" s="227"/>
      <c r="S432" s="227"/>
      <c r="T432" s="227"/>
      <c r="U432" s="227"/>
      <c r="V432" s="227"/>
      <c r="W432" s="227"/>
      <c r="X432" s="227"/>
      <c r="Y432" s="227"/>
      <c r="Z432" s="227"/>
      <c r="AA432" s="227"/>
      <c r="AB432" s="227"/>
      <c r="AC432" s="227"/>
      <c r="AD432" s="227"/>
      <c r="AE432" s="227"/>
    </row>
    <row r="433" ht="15.75" customHeight="1">
      <c r="A433" s="227"/>
      <c r="B433" s="227"/>
      <c r="C433" s="227"/>
      <c r="D433" s="227"/>
      <c r="E433" s="227"/>
      <c r="F433" s="227"/>
      <c r="G433" s="227"/>
      <c r="H433" s="227"/>
      <c r="I433" s="227"/>
      <c r="J433" s="227"/>
      <c r="K433" s="227"/>
      <c r="L433" s="227"/>
      <c r="M433" s="227"/>
      <c r="N433" s="227"/>
      <c r="O433" s="227"/>
      <c r="P433" s="227"/>
      <c r="Q433" s="227"/>
      <c r="R433" s="227"/>
      <c r="S433" s="227"/>
      <c r="T433" s="227"/>
      <c r="U433" s="227"/>
      <c r="V433" s="227"/>
      <c r="W433" s="227"/>
      <c r="X433" s="227"/>
      <c r="Y433" s="227"/>
      <c r="Z433" s="227"/>
      <c r="AA433" s="227"/>
      <c r="AB433" s="227"/>
      <c r="AC433" s="227"/>
      <c r="AD433" s="227"/>
      <c r="AE433" s="227"/>
    </row>
    <row r="434" ht="15.75" customHeight="1">
      <c r="A434" s="227"/>
      <c r="B434" s="227"/>
      <c r="C434" s="227"/>
      <c r="D434" s="227"/>
      <c r="E434" s="227"/>
      <c r="F434" s="227"/>
      <c r="G434" s="227"/>
      <c r="H434" s="227"/>
      <c r="I434" s="227"/>
      <c r="J434" s="227"/>
      <c r="K434" s="227"/>
      <c r="L434" s="227"/>
      <c r="M434" s="227"/>
      <c r="N434" s="227"/>
      <c r="O434" s="227"/>
      <c r="P434" s="227"/>
      <c r="Q434" s="227"/>
      <c r="R434" s="227"/>
      <c r="S434" s="227"/>
      <c r="T434" s="227"/>
      <c r="U434" s="227"/>
      <c r="V434" s="227"/>
      <c r="W434" s="227"/>
      <c r="X434" s="227"/>
      <c r="Y434" s="227"/>
      <c r="Z434" s="227"/>
      <c r="AA434" s="227"/>
      <c r="AB434" s="227"/>
      <c r="AC434" s="227"/>
      <c r="AD434" s="227"/>
      <c r="AE434" s="227"/>
    </row>
    <row r="435" ht="15.75" customHeight="1">
      <c r="A435" s="227"/>
      <c r="B435" s="227"/>
      <c r="C435" s="227"/>
      <c r="D435" s="227"/>
      <c r="E435" s="227"/>
      <c r="F435" s="227"/>
      <c r="G435" s="227"/>
      <c r="H435" s="227"/>
      <c r="I435" s="227"/>
      <c r="J435" s="227"/>
      <c r="K435" s="227"/>
      <c r="L435" s="227"/>
      <c r="M435" s="227"/>
      <c r="N435" s="227"/>
      <c r="O435" s="227"/>
      <c r="P435" s="227"/>
      <c r="Q435" s="227"/>
      <c r="R435" s="227"/>
      <c r="S435" s="227"/>
      <c r="T435" s="227"/>
      <c r="U435" s="227"/>
      <c r="V435" s="227"/>
      <c r="W435" s="227"/>
      <c r="X435" s="227"/>
      <c r="Y435" s="227"/>
      <c r="Z435" s="227"/>
      <c r="AA435" s="227"/>
      <c r="AB435" s="227"/>
      <c r="AC435" s="227"/>
      <c r="AD435" s="227"/>
      <c r="AE435" s="227"/>
    </row>
    <row r="436" ht="15.75" customHeight="1">
      <c r="A436" s="227"/>
      <c r="B436" s="227"/>
      <c r="C436" s="227"/>
      <c r="D436" s="227"/>
      <c r="E436" s="227"/>
      <c r="F436" s="227"/>
      <c r="G436" s="227"/>
      <c r="H436" s="227"/>
      <c r="I436" s="227"/>
      <c r="J436" s="227"/>
      <c r="K436" s="227"/>
      <c r="L436" s="227"/>
      <c r="M436" s="227"/>
      <c r="N436" s="227"/>
      <c r="O436" s="227"/>
      <c r="P436" s="227"/>
      <c r="Q436" s="227"/>
      <c r="R436" s="227"/>
      <c r="S436" s="227"/>
      <c r="T436" s="227"/>
      <c r="U436" s="227"/>
      <c r="V436" s="227"/>
      <c r="W436" s="227"/>
      <c r="X436" s="227"/>
      <c r="Y436" s="227"/>
      <c r="Z436" s="227"/>
      <c r="AA436" s="227"/>
      <c r="AB436" s="227"/>
      <c r="AC436" s="227"/>
      <c r="AD436" s="227"/>
      <c r="AE436" s="227"/>
    </row>
    <row r="437" ht="15.75" customHeight="1">
      <c r="A437" s="227"/>
      <c r="B437" s="227"/>
      <c r="C437" s="227"/>
      <c r="D437" s="227"/>
      <c r="E437" s="227"/>
      <c r="F437" s="227"/>
      <c r="G437" s="227"/>
      <c r="H437" s="227"/>
      <c r="I437" s="227"/>
      <c r="J437" s="227"/>
      <c r="K437" s="227"/>
      <c r="L437" s="227"/>
      <c r="M437" s="227"/>
      <c r="N437" s="227"/>
      <c r="O437" s="227"/>
      <c r="P437" s="227"/>
      <c r="Q437" s="227"/>
      <c r="R437" s="227"/>
      <c r="S437" s="227"/>
      <c r="T437" s="227"/>
      <c r="U437" s="227"/>
      <c r="V437" s="227"/>
      <c r="W437" s="227"/>
      <c r="X437" s="227"/>
      <c r="Y437" s="227"/>
      <c r="Z437" s="227"/>
      <c r="AA437" s="227"/>
      <c r="AB437" s="227"/>
      <c r="AC437" s="227"/>
      <c r="AD437" s="227"/>
      <c r="AE437" s="227"/>
    </row>
    <row r="438" ht="15.75" customHeight="1">
      <c r="A438" s="227"/>
      <c r="B438" s="227"/>
      <c r="C438" s="227"/>
      <c r="D438" s="227"/>
      <c r="E438" s="227"/>
      <c r="F438" s="227"/>
      <c r="G438" s="227"/>
      <c r="H438" s="227"/>
      <c r="I438" s="227"/>
      <c r="J438" s="227"/>
      <c r="K438" s="227"/>
      <c r="L438" s="227"/>
      <c r="M438" s="227"/>
      <c r="N438" s="227"/>
      <c r="O438" s="227"/>
      <c r="P438" s="227"/>
      <c r="Q438" s="227"/>
      <c r="R438" s="227"/>
      <c r="S438" s="227"/>
      <c r="T438" s="227"/>
      <c r="U438" s="227"/>
      <c r="V438" s="227"/>
      <c r="W438" s="227"/>
      <c r="X438" s="227"/>
      <c r="Y438" s="227"/>
      <c r="Z438" s="227"/>
      <c r="AA438" s="227"/>
      <c r="AB438" s="227"/>
      <c r="AC438" s="227"/>
      <c r="AD438" s="227"/>
      <c r="AE438" s="227"/>
    </row>
    <row r="439" ht="15.75" customHeight="1">
      <c r="A439" s="227"/>
      <c r="B439" s="227"/>
      <c r="C439" s="227"/>
      <c r="D439" s="227"/>
      <c r="E439" s="227"/>
      <c r="F439" s="227"/>
      <c r="G439" s="227"/>
      <c r="H439" s="227"/>
      <c r="I439" s="227"/>
      <c r="J439" s="227"/>
      <c r="K439" s="227"/>
      <c r="L439" s="227"/>
      <c r="M439" s="227"/>
      <c r="N439" s="227"/>
      <c r="O439" s="227"/>
      <c r="P439" s="227"/>
      <c r="Q439" s="227"/>
      <c r="R439" s="227"/>
      <c r="S439" s="227"/>
      <c r="T439" s="227"/>
      <c r="U439" s="227"/>
      <c r="V439" s="227"/>
      <c r="W439" s="227"/>
      <c r="X439" s="227"/>
      <c r="Y439" s="227"/>
      <c r="Z439" s="227"/>
      <c r="AA439" s="227"/>
      <c r="AB439" s="227"/>
      <c r="AC439" s="227"/>
      <c r="AD439" s="227"/>
      <c r="AE439" s="227"/>
    </row>
    <row r="440" ht="15.75" customHeight="1">
      <c r="A440" s="227"/>
      <c r="B440" s="227"/>
      <c r="C440" s="227"/>
      <c r="D440" s="227"/>
      <c r="E440" s="227"/>
      <c r="F440" s="227"/>
      <c r="G440" s="227"/>
      <c r="H440" s="227"/>
      <c r="I440" s="227"/>
      <c r="J440" s="227"/>
      <c r="K440" s="227"/>
      <c r="L440" s="227"/>
      <c r="M440" s="227"/>
      <c r="N440" s="227"/>
      <c r="O440" s="227"/>
      <c r="P440" s="227"/>
      <c r="Q440" s="227"/>
      <c r="R440" s="227"/>
      <c r="S440" s="227"/>
      <c r="T440" s="227"/>
      <c r="U440" s="227"/>
      <c r="V440" s="227"/>
      <c r="W440" s="227"/>
      <c r="X440" s="227"/>
      <c r="Y440" s="227"/>
      <c r="Z440" s="227"/>
      <c r="AA440" s="227"/>
      <c r="AB440" s="227"/>
      <c r="AC440" s="227"/>
      <c r="AD440" s="227"/>
      <c r="AE440" s="227"/>
    </row>
    <row r="441" ht="15.75" customHeight="1">
      <c r="A441" s="227"/>
      <c r="B441" s="227"/>
      <c r="C441" s="227"/>
      <c r="D441" s="227"/>
      <c r="E441" s="227"/>
      <c r="F441" s="227"/>
      <c r="G441" s="227"/>
      <c r="H441" s="227"/>
      <c r="I441" s="227"/>
      <c r="J441" s="227"/>
      <c r="K441" s="227"/>
      <c r="L441" s="227"/>
      <c r="M441" s="227"/>
      <c r="N441" s="227"/>
      <c r="O441" s="227"/>
      <c r="P441" s="227"/>
      <c r="Q441" s="227"/>
      <c r="R441" s="227"/>
      <c r="S441" s="227"/>
      <c r="T441" s="227"/>
      <c r="U441" s="227"/>
      <c r="V441" s="227"/>
      <c r="W441" s="227"/>
      <c r="X441" s="227"/>
      <c r="Y441" s="227"/>
      <c r="Z441" s="227"/>
      <c r="AA441" s="227"/>
      <c r="AB441" s="227"/>
      <c r="AC441" s="227"/>
      <c r="AD441" s="227"/>
      <c r="AE441" s="227"/>
    </row>
    <row r="442" ht="15.75" customHeight="1">
      <c r="A442" s="227"/>
      <c r="B442" s="227"/>
      <c r="C442" s="227"/>
      <c r="D442" s="227"/>
      <c r="E442" s="227"/>
      <c r="F442" s="227"/>
      <c r="G442" s="227"/>
      <c r="H442" s="227"/>
      <c r="I442" s="227"/>
      <c r="J442" s="227"/>
      <c r="K442" s="227"/>
      <c r="L442" s="227"/>
      <c r="M442" s="227"/>
      <c r="N442" s="227"/>
      <c r="O442" s="227"/>
      <c r="P442" s="227"/>
      <c r="Q442" s="227"/>
      <c r="R442" s="227"/>
      <c r="S442" s="227"/>
      <c r="T442" s="227"/>
      <c r="U442" s="227"/>
      <c r="V442" s="227"/>
      <c r="W442" s="227"/>
      <c r="X442" s="227"/>
      <c r="Y442" s="227"/>
      <c r="Z442" s="227"/>
      <c r="AA442" s="227"/>
      <c r="AB442" s="227"/>
      <c r="AC442" s="227"/>
      <c r="AD442" s="227"/>
      <c r="AE442" s="227"/>
    </row>
    <row r="443" ht="15.75" customHeight="1">
      <c r="A443" s="227"/>
      <c r="B443" s="227"/>
      <c r="C443" s="227"/>
      <c r="D443" s="227"/>
      <c r="E443" s="227"/>
      <c r="F443" s="227"/>
      <c r="G443" s="227"/>
      <c r="H443" s="227"/>
      <c r="I443" s="227"/>
      <c r="J443" s="227"/>
      <c r="K443" s="227"/>
      <c r="L443" s="227"/>
      <c r="M443" s="227"/>
      <c r="N443" s="227"/>
      <c r="O443" s="227"/>
      <c r="P443" s="227"/>
      <c r="Q443" s="227"/>
      <c r="R443" s="227"/>
      <c r="S443" s="227"/>
      <c r="T443" s="227"/>
      <c r="U443" s="227"/>
      <c r="V443" s="227"/>
      <c r="W443" s="227"/>
      <c r="X443" s="227"/>
      <c r="Y443" s="227"/>
      <c r="Z443" s="227"/>
      <c r="AA443" s="227"/>
      <c r="AB443" s="227"/>
      <c r="AC443" s="227"/>
      <c r="AD443" s="227"/>
      <c r="AE443" s="227"/>
    </row>
    <row r="444" ht="15.75" customHeight="1">
      <c r="A444" s="227"/>
      <c r="B444" s="227"/>
      <c r="C444" s="227"/>
      <c r="D444" s="227"/>
      <c r="E444" s="227"/>
      <c r="F444" s="227"/>
      <c r="G444" s="227"/>
      <c r="H444" s="227"/>
      <c r="I444" s="227"/>
      <c r="J444" s="227"/>
      <c r="K444" s="227"/>
      <c r="L444" s="227"/>
      <c r="M444" s="227"/>
      <c r="N444" s="227"/>
      <c r="O444" s="227"/>
      <c r="P444" s="227"/>
      <c r="Q444" s="227"/>
      <c r="R444" s="227"/>
      <c r="S444" s="227"/>
      <c r="T444" s="227"/>
      <c r="U444" s="227"/>
      <c r="V444" s="227"/>
      <c r="W444" s="227"/>
      <c r="X444" s="227"/>
      <c r="Y444" s="227"/>
      <c r="Z444" s="227"/>
      <c r="AA444" s="227"/>
      <c r="AB444" s="227"/>
      <c r="AC444" s="227"/>
      <c r="AD444" s="227"/>
      <c r="AE444" s="227"/>
    </row>
    <row r="445" ht="15.75" customHeight="1">
      <c r="A445" s="227"/>
      <c r="B445" s="227"/>
      <c r="C445" s="227"/>
      <c r="D445" s="227"/>
      <c r="E445" s="227"/>
      <c r="F445" s="227"/>
      <c r="G445" s="227"/>
      <c r="H445" s="227"/>
      <c r="I445" s="227"/>
      <c r="J445" s="227"/>
      <c r="K445" s="227"/>
      <c r="L445" s="227"/>
      <c r="M445" s="227"/>
      <c r="N445" s="227"/>
      <c r="O445" s="227"/>
      <c r="P445" s="227"/>
      <c r="Q445" s="227"/>
      <c r="R445" s="227"/>
      <c r="S445" s="227"/>
      <c r="T445" s="227"/>
      <c r="U445" s="227"/>
      <c r="V445" s="227"/>
      <c r="W445" s="227"/>
      <c r="X445" s="227"/>
      <c r="Y445" s="227"/>
      <c r="Z445" s="227"/>
      <c r="AA445" s="227"/>
      <c r="AB445" s="227"/>
      <c r="AC445" s="227"/>
      <c r="AD445" s="227"/>
      <c r="AE445" s="227"/>
    </row>
    <row r="446" ht="15.75" customHeight="1">
      <c r="A446" s="227"/>
      <c r="B446" s="227"/>
      <c r="C446" s="227"/>
      <c r="D446" s="227"/>
      <c r="E446" s="227"/>
      <c r="F446" s="227"/>
      <c r="G446" s="227"/>
      <c r="H446" s="227"/>
      <c r="I446" s="227"/>
      <c r="J446" s="227"/>
      <c r="K446" s="227"/>
      <c r="L446" s="227"/>
      <c r="M446" s="227"/>
      <c r="N446" s="227"/>
      <c r="O446" s="227"/>
      <c r="P446" s="227"/>
      <c r="Q446" s="227"/>
      <c r="R446" s="227"/>
      <c r="S446" s="227"/>
      <c r="T446" s="227"/>
      <c r="U446" s="227"/>
      <c r="V446" s="227"/>
      <c r="W446" s="227"/>
      <c r="X446" s="227"/>
      <c r="Y446" s="227"/>
      <c r="Z446" s="227"/>
      <c r="AA446" s="227"/>
      <c r="AB446" s="227"/>
      <c r="AC446" s="227"/>
      <c r="AD446" s="227"/>
      <c r="AE446" s="227"/>
    </row>
    <row r="447" ht="15.75" customHeight="1">
      <c r="A447" s="227"/>
      <c r="B447" s="227"/>
      <c r="C447" s="227"/>
      <c r="D447" s="227"/>
      <c r="E447" s="227"/>
      <c r="F447" s="227"/>
      <c r="G447" s="227"/>
      <c r="H447" s="227"/>
      <c r="I447" s="227"/>
      <c r="J447" s="227"/>
      <c r="K447" s="227"/>
      <c r="L447" s="227"/>
      <c r="M447" s="227"/>
      <c r="N447" s="227"/>
      <c r="O447" s="227"/>
      <c r="P447" s="227"/>
      <c r="Q447" s="227"/>
      <c r="R447" s="227"/>
      <c r="S447" s="227"/>
      <c r="T447" s="227"/>
      <c r="U447" s="227"/>
      <c r="V447" s="227"/>
      <c r="W447" s="227"/>
      <c r="X447" s="227"/>
      <c r="Y447" s="227"/>
      <c r="Z447" s="227"/>
      <c r="AA447" s="227"/>
      <c r="AB447" s="227"/>
      <c r="AC447" s="227"/>
      <c r="AD447" s="227"/>
      <c r="AE447" s="227"/>
    </row>
    <row r="448" ht="15.75" customHeight="1">
      <c r="A448" s="227"/>
      <c r="B448" s="227"/>
      <c r="C448" s="227"/>
      <c r="D448" s="227"/>
      <c r="E448" s="227"/>
      <c r="F448" s="227"/>
      <c r="G448" s="227"/>
      <c r="H448" s="227"/>
      <c r="I448" s="227"/>
      <c r="J448" s="227"/>
      <c r="K448" s="227"/>
      <c r="L448" s="227"/>
      <c r="M448" s="227"/>
      <c r="N448" s="227"/>
      <c r="O448" s="227"/>
      <c r="P448" s="227"/>
      <c r="Q448" s="227"/>
      <c r="R448" s="227"/>
      <c r="S448" s="227"/>
      <c r="T448" s="227"/>
      <c r="U448" s="227"/>
      <c r="V448" s="227"/>
      <c r="W448" s="227"/>
      <c r="X448" s="227"/>
      <c r="Y448" s="227"/>
      <c r="Z448" s="227"/>
      <c r="AA448" s="227"/>
      <c r="AB448" s="227"/>
      <c r="AC448" s="227"/>
      <c r="AD448" s="227"/>
      <c r="AE448" s="227"/>
    </row>
    <row r="449" ht="15.75" customHeight="1">
      <c r="A449" s="227"/>
      <c r="B449" s="227"/>
      <c r="C449" s="227"/>
      <c r="D449" s="227"/>
      <c r="E449" s="227"/>
      <c r="F449" s="227"/>
      <c r="G449" s="227"/>
      <c r="H449" s="227"/>
      <c r="I449" s="227"/>
      <c r="J449" s="227"/>
      <c r="K449" s="227"/>
      <c r="L449" s="227"/>
      <c r="M449" s="227"/>
      <c r="N449" s="227"/>
      <c r="O449" s="227"/>
      <c r="P449" s="227"/>
      <c r="Q449" s="227"/>
      <c r="R449" s="227"/>
      <c r="S449" s="227"/>
      <c r="T449" s="227"/>
      <c r="U449" s="227"/>
      <c r="V449" s="227"/>
      <c r="W449" s="227"/>
      <c r="X449" s="227"/>
      <c r="Y449" s="227"/>
      <c r="Z449" s="227"/>
      <c r="AA449" s="227"/>
      <c r="AB449" s="227"/>
      <c r="AC449" s="227"/>
      <c r="AD449" s="227"/>
      <c r="AE449" s="227"/>
    </row>
    <row r="450" ht="15.75" customHeight="1">
      <c r="A450" s="227"/>
      <c r="B450" s="227"/>
      <c r="C450" s="227"/>
      <c r="D450" s="227"/>
      <c r="E450" s="227"/>
      <c r="F450" s="227"/>
      <c r="G450" s="227"/>
      <c r="H450" s="227"/>
      <c r="I450" s="227"/>
      <c r="J450" s="227"/>
      <c r="K450" s="227"/>
      <c r="L450" s="227"/>
      <c r="M450" s="227"/>
      <c r="N450" s="227"/>
      <c r="O450" s="227"/>
      <c r="P450" s="227"/>
      <c r="Q450" s="227"/>
      <c r="R450" s="227"/>
      <c r="S450" s="227"/>
      <c r="T450" s="227"/>
      <c r="U450" s="227"/>
      <c r="V450" s="227"/>
      <c r="W450" s="227"/>
      <c r="X450" s="227"/>
      <c r="Y450" s="227"/>
      <c r="Z450" s="227"/>
      <c r="AA450" s="227"/>
      <c r="AB450" s="227"/>
      <c r="AC450" s="227"/>
      <c r="AD450" s="227"/>
      <c r="AE450" s="227"/>
    </row>
    <row r="451" ht="15.75" customHeight="1">
      <c r="A451" s="227"/>
      <c r="B451" s="227"/>
      <c r="C451" s="227"/>
      <c r="D451" s="227"/>
      <c r="E451" s="227"/>
      <c r="F451" s="227"/>
      <c r="G451" s="227"/>
      <c r="H451" s="227"/>
      <c r="I451" s="227"/>
      <c r="J451" s="227"/>
      <c r="K451" s="227"/>
      <c r="L451" s="227"/>
      <c r="M451" s="227"/>
      <c r="N451" s="227"/>
      <c r="O451" s="227"/>
      <c r="P451" s="227"/>
      <c r="Q451" s="227"/>
      <c r="R451" s="227"/>
      <c r="S451" s="227"/>
      <c r="T451" s="227"/>
      <c r="U451" s="227"/>
      <c r="V451" s="227"/>
      <c r="W451" s="227"/>
      <c r="X451" s="227"/>
      <c r="Y451" s="227"/>
      <c r="Z451" s="227"/>
      <c r="AA451" s="227"/>
      <c r="AB451" s="227"/>
      <c r="AC451" s="227"/>
      <c r="AD451" s="227"/>
      <c r="AE451" s="227"/>
    </row>
    <row r="452" ht="15.75" customHeight="1">
      <c r="A452" s="227"/>
      <c r="B452" s="227"/>
      <c r="C452" s="227"/>
      <c r="D452" s="227"/>
      <c r="E452" s="227"/>
      <c r="F452" s="227"/>
      <c r="G452" s="227"/>
      <c r="H452" s="227"/>
      <c r="I452" s="227"/>
      <c r="J452" s="227"/>
      <c r="K452" s="227"/>
      <c r="L452" s="227"/>
      <c r="M452" s="227"/>
      <c r="N452" s="227"/>
      <c r="O452" s="227"/>
      <c r="P452" s="227"/>
      <c r="Q452" s="227"/>
      <c r="R452" s="227"/>
      <c r="S452" s="227"/>
      <c r="T452" s="227"/>
      <c r="U452" s="227"/>
      <c r="V452" s="227"/>
      <c r="W452" s="227"/>
      <c r="X452" s="227"/>
      <c r="Y452" s="227"/>
      <c r="Z452" s="227"/>
      <c r="AA452" s="227"/>
      <c r="AB452" s="227"/>
      <c r="AC452" s="227"/>
      <c r="AD452" s="227"/>
      <c r="AE452" s="227"/>
    </row>
    <row r="453" ht="15.75" customHeight="1">
      <c r="A453" s="227"/>
      <c r="B453" s="227"/>
      <c r="C453" s="227"/>
      <c r="D453" s="227"/>
      <c r="E453" s="227"/>
      <c r="F453" s="227"/>
      <c r="G453" s="227"/>
      <c r="H453" s="227"/>
      <c r="I453" s="227"/>
      <c r="J453" s="227"/>
      <c r="K453" s="227"/>
      <c r="L453" s="227"/>
      <c r="M453" s="227"/>
      <c r="N453" s="227"/>
      <c r="O453" s="227"/>
      <c r="P453" s="227"/>
      <c r="Q453" s="227"/>
      <c r="R453" s="227"/>
      <c r="S453" s="227"/>
      <c r="T453" s="227"/>
      <c r="U453" s="227"/>
      <c r="V453" s="227"/>
      <c r="W453" s="227"/>
      <c r="X453" s="227"/>
      <c r="Y453" s="227"/>
      <c r="Z453" s="227"/>
      <c r="AA453" s="227"/>
      <c r="AB453" s="227"/>
      <c r="AC453" s="227"/>
      <c r="AD453" s="227"/>
      <c r="AE453" s="227"/>
    </row>
    <row r="454" ht="15.75" customHeight="1">
      <c r="A454" s="227"/>
      <c r="B454" s="227"/>
      <c r="C454" s="227"/>
      <c r="D454" s="227"/>
      <c r="E454" s="227"/>
      <c r="F454" s="227"/>
      <c r="G454" s="227"/>
      <c r="H454" s="227"/>
      <c r="I454" s="227"/>
      <c r="J454" s="227"/>
      <c r="K454" s="227"/>
      <c r="L454" s="227"/>
      <c r="M454" s="227"/>
      <c r="N454" s="227"/>
      <c r="O454" s="227"/>
      <c r="P454" s="227"/>
      <c r="Q454" s="227"/>
      <c r="R454" s="227"/>
      <c r="S454" s="227"/>
      <c r="T454" s="227"/>
      <c r="U454" s="227"/>
      <c r="V454" s="227"/>
      <c r="W454" s="227"/>
      <c r="X454" s="227"/>
      <c r="Y454" s="227"/>
      <c r="Z454" s="227"/>
      <c r="AA454" s="227"/>
      <c r="AB454" s="227"/>
      <c r="AC454" s="227"/>
      <c r="AD454" s="227"/>
      <c r="AE454" s="227"/>
    </row>
    <row r="455" ht="15.75" customHeight="1">
      <c r="A455" s="227"/>
      <c r="B455" s="227"/>
      <c r="C455" s="227"/>
      <c r="D455" s="227"/>
      <c r="E455" s="227"/>
      <c r="F455" s="227"/>
      <c r="G455" s="227"/>
      <c r="H455" s="227"/>
      <c r="I455" s="227"/>
      <c r="J455" s="227"/>
      <c r="K455" s="227"/>
      <c r="L455" s="227"/>
      <c r="M455" s="227"/>
      <c r="N455" s="227"/>
      <c r="O455" s="227"/>
      <c r="P455" s="227"/>
      <c r="Q455" s="227"/>
      <c r="R455" s="227"/>
      <c r="S455" s="227"/>
      <c r="T455" s="227"/>
      <c r="U455" s="227"/>
      <c r="V455" s="227"/>
      <c r="W455" s="227"/>
      <c r="X455" s="227"/>
      <c r="Y455" s="227"/>
      <c r="Z455" s="227"/>
      <c r="AA455" s="227"/>
      <c r="AB455" s="227"/>
      <c r="AC455" s="227"/>
      <c r="AD455" s="227"/>
      <c r="AE455" s="227"/>
    </row>
    <row r="456" ht="15.75" customHeight="1">
      <c r="A456" s="227"/>
      <c r="B456" s="227"/>
      <c r="C456" s="227"/>
      <c r="D456" s="227"/>
      <c r="E456" s="227"/>
      <c r="F456" s="227"/>
      <c r="G456" s="227"/>
      <c r="H456" s="227"/>
      <c r="I456" s="227"/>
      <c r="J456" s="227"/>
      <c r="K456" s="227"/>
      <c r="L456" s="227"/>
      <c r="M456" s="227"/>
      <c r="N456" s="227"/>
      <c r="O456" s="227"/>
      <c r="P456" s="227"/>
      <c r="Q456" s="227"/>
      <c r="R456" s="227"/>
      <c r="S456" s="227"/>
      <c r="T456" s="227"/>
      <c r="U456" s="227"/>
      <c r="V456" s="227"/>
      <c r="W456" s="227"/>
      <c r="X456" s="227"/>
      <c r="Y456" s="227"/>
      <c r="Z456" s="227"/>
      <c r="AA456" s="227"/>
      <c r="AB456" s="227"/>
      <c r="AC456" s="227"/>
      <c r="AD456" s="227"/>
      <c r="AE456" s="227"/>
    </row>
    <row r="457" ht="15.75" customHeight="1">
      <c r="A457" s="227"/>
      <c r="B457" s="227"/>
      <c r="C457" s="227"/>
      <c r="D457" s="227"/>
      <c r="E457" s="227"/>
      <c r="F457" s="227"/>
      <c r="G457" s="227"/>
      <c r="H457" s="227"/>
      <c r="I457" s="227"/>
      <c r="J457" s="227"/>
      <c r="K457" s="227"/>
      <c r="L457" s="227"/>
      <c r="M457" s="227"/>
      <c r="N457" s="227"/>
      <c r="O457" s="227"/>
      <c r="P457" s="227"/>
      <c r="Q457" s="227"/>
      <c r="R457" s="227"/>
      <c r="S457" s="227"/>
      <c r="T457" s="227"/>
      <c r="U457" s="227"/>
      <c r="V457" s="227"/>
      <c r="W457" s="227"/>
      <c r="X457" s="227"/>
      <c r="Y457" s="227"/>
      <c r="Z457" s="227"/>
      <c r="AA457" s="227"/>
      <c r="AB457" s="227"/>
      <c r="AC457" s="227"/>
      <c r="AD457" s="227"/>
      <c r="AE457" s="227"/>
    </row>
    <row r="458" ht="15.75" customHeight="1">
      <c r="A458" s="227"/>
      <c r="B458" s="227"/>
      <c r="C458" s="227"/>
      <c r="D458" s="227"/>
      <c r="E458" s="227"/>
      <c r="F458" s="227"/>
      <c r="G458" s="227"/>
      <c r="H458" s="227"/>
      <c r="I458" s="227"/>
      <c r="J458" s="227"/>
      <c r="K458" s="227"/>
      <c r="L458" s="227"/>
      <c r="M458" s="227"/>
      <c r="N458" s="227"/>
      <c r="O458" s="227"/>
      <c r="P458" s="227"/>
      <c r="Q458" s="227"/>
      <c r="R458" s="227"/>
      <c r="S458" s="227"/>
      <c r="T458" s="227"/>
      <c r="U458" s="227"/>
      <c r="V458" s="227"/>
      <c r="W458" s="227"/>
      <c r="X458" s="227"/>
      <c r="Y458" s="227"/>
      <c r="Z458" s="227"/>
      <c r="AA458" s="227"/>
      <c r="AB458" s="227"/>
      <c r="AC458" s="227"/>
      <c r="AD458" s="227"/>
      <c r="AE458" s="227"/>
    </row>
    <row r="459" ht="15.75" customHeight="1">
      <c r="A459" s="227"/>
      <c r="B459" s="227"/>
      <c r="C459" s="227"/>
      <c r="D459" s="227"/>
      <c r="E459" s="227"/>
      <c r="F459" s="227"/>
      <c r="G459" s="227"/>
      <c r="H459" s="227"/>
      <c r="I459" s="227"/>
      <c r="J459" s="227"/>
      <c r="K459" s="227"/>
      <c r="L459" s="227"/>
      <c r="M459" s="227"/>
      <c r="N459" s="227"/>
      <c r="O459" s="227"/>
      <c r="P459" s="227"/>
      <c r="Q459" s="227"/>
      <c r="R459" s="227"/>
      <c r="S459" s="227"/>
      <c r="T459" s="227"/>
      <c r="U459" s="227"/>
      <c r="V459" s="227"/>
      <c r="W459" s="227"/>
      <c r="X459" s="227"/>
      <c r="Y459" s="227"/>
      <c r="Z459" s="227"/>
      <c r="AA459" s="227"/>
      <c r="AB459" s="227"/>
      <c r="AC459" s="227"/>
      <c r="AD459" s="227"/>
      <c r="AE459" s="227"/>
    </row>
    <row r="460" ht="15.75" customHeight="1">
      <c r="A460" s="227"/>
      <c r="B460" s="227"/>
      <c r="C460" s="227"/>
      <c r="D460" s="227"/>
      <c r="E460" s="227"/>
      <c r="F460" s="227"/>
      <c r="G460" s="227"/>
      <c r="H460" s="227"/>
      <c r="I460" s="227"/>
      <c r="J460" s="227"/>
      <c r="K460" s="227"/>
      <c r="L460" s="227"/>
      <c r="M460" s="227"/>
      <c r="N460" s="227"/>
      <c r="O460" s="227"/>
      <c r="P460" s="227"/>
      <c r="Q460" s="227"/>
      <c r="R460" s="227"/>
      <c r="S460" s="227"/>
      <c r="T460" s="227"/>
      <c r="U460" s="227"/>
      <c r="V460" s="227"/>
      <c r="W460" s="227"/>
      <c r="X460" s="227"/>
      <c r="Y460" s="227"/>
      <c r="Z460" s="227"/>
      <c r="AA460" s="227"/>
      <c r="AB460" s="227"/>
      <c r="AC460" s="227"/>
      <c r="AD460" s="227"/>
      <c r="AE460" s="227"/>
    </row>
    <row r="461" ht="15.75" customHeight="1">
      <c r="A461" s="227"/>
      <c r="B461" s="227"/>
      <c r="C461" s="227"/>
      <c r="D461" s="227"/>
      <c r="E461" s="227"/>
      <c r="F461" s="227"/>
      <c r="G461" s="227"/>
      <c r="H461" s="227"/>
      <c r="I461" s="227"/>
      <c r="J461" s="227"/>
      <c r="K461" s="227"/>
      <c r="L461" s="227"/>
      <c r="M461" s="227"/>
      <c r="N461" s="227"/>
      <c r="O461" s="227"/>
      <c r="P461" s="227"/>
      <c r="Q461" s="227"/>
      <c r="R461" s="227"/>
      <c r="S461" s="227"/>
      <c r="T461" s="227"/>
      <c r="U461" s="227"/>
      <c r="V461" s="227"/>
      <c r="W461" s="227"/>
      <c r="X461" s="227"/>
      <c r="Y461" s="227"/>
      <c r="Z461" s="227"/>
      <c r="AA461" s="227"/>
      <c r="AB461" s="227"/>
      <c r="AC461" s="227"/>
      <c r="AD461" s="227"/>
      <c r="AE461" s="227"/>
    </row>
    <row r="462" ht="15.75" customHeight="1">
      <c r="A462" s="227"/>
      <c r="B462" s="227"/>
      <c r="C462" s="227"/>
      <c r="D462" s="227"/>
      <c r="E462" s="227"/>
      <c r="F462" s="227"/>
      <c r="G462" s="227"/>
      <c r="H462" s="227"/>
      <c r="I462" s="227"/>
      <c r="J462" s="227"/>
      <c r="K462" s="227"/>
      <c r="L462" s="227"/>
      <c r="M462" s="227"/>
      <c r="N462" s="227"/>
      <c r="O462" s="227"/>
      <c r="P462" s="227"/>
      <c r="Q462" s="227"/>
      <c r="R462" s="227"/>
      <c r="S462" s="227"/>
      <c r="T462" s="227"/>
      <c r="U462" s="227"/>
      <c r="V462" s="227"/>
      <c r="W462" s="227"/>
      <c r="X462" s="227"/>
      <c r="Y462" s="227"/>
      <c r="Z462" s="227"/>
      <c r="AA462" s="227"/>
      <c r="AB462" s="227"/>
      <c r="AC462" s="227"/>
      <c r="AD462" s="227"/>
      <c r="AE462" s="227"/>
    </row>
    <row r="463" ht="15.75" customHeight="1">
      <c r="A463" s="227"/>
      <c r="B463" s="227"/>
      <c r="C463" s="227"/>
      <c r="D463" s="227"/>
      <c r="E463" s="227"/>
      <c r="F463" s="227"/>
      <c r="G463" s="227"/>
      <c r="H463" s="227"/>
      <c r="I463" s="227"/>
      <c r="J463" s="227"/>
      <c r="K463" s="227"/>
      <c r="L463" s="227"/>
      <c r="M463" s="227"/>
      <c r="N463" s="227"/>
      <c r="O463" s="227"/>
      <c r="P463" s="227"/>
      <c r="Q463" s="227"/>
      <c r="R463" s="227"/>
      <c r="S463" s="227"/>
      <c r="T463" s="227"/>
      <c r="U463" s="227"/>
      <c r="V463" s="227"/>
      <c r="W463" s="227"/>
      <c r="X463" s="227"/>
      <c r="Y463" s="227"/>
      <c r="Z463" s="227"/>
      <c r="AA463" s="227"/>
      <c r="AB463" s="227"/>
      <c r="AC463" s="227"/>
      <c r="AD463" s="227"/>
      <c r="AE463" s="227"/>
    </row>
    <row r="464" ht="15.75" customHeight="1">
      <c r="A464" s="227"/>
      <c r="B464" s="227"/>
      <c r="C464" s="227"/>
      <c r="D464" s="227"/>
      <c r="E464" s="227"/>
      <c r="F464" s="227"/>
      <c r="G464" s="227"/>
      <c r="H464" s="227"/>
      <c r="I464" s="227"/>
      <c r="J464" s="227"/>
      <c r="K464" s="227"/>
      <c r="L464" s="227"/>
      <c r="M464" s="227"/>
      <c r="N464" s="227"/>
      <c r="O464" s="227"/>
      <c r="P464" s="227"/>
      <c r="Q464" s="227"/>
      <c r="R464" s="227"/>
      <c r="S464" s="227"/>
      <c r="T464" s="227"/>
      <c r="U464" s="227"/>
      <c r="V464" s="227"/>
      <c r="W464" s="227"/>
      <c r="X464" s="227"/>
      <c r="Y464" s="227"/>
      <c r="Z464" s="227"/>
      <c r="AA464" s="227"/>
      <c r="AB464" s="227"/>
      <c r="AC464" s="227"/>
      <c r="AD464" s="227"/>
      <c r="AE464" s="227"/>
    </row>
    <row r="465" ht="15.75" customHeight="1">
      <c r="A465" s="227"/>
      <c r="B465" s="227"/>
      <c r="C465" s="227"/>
      <c r="D465" s="227"/>
      <c r="E465" s="227"/>
      <c r="F465" s="227"/>
      <c r="G465" s="227"/>
      <c r="H465" s="227"/>
      <c r="I465" s="227"/>
      <c r="J465" s="227"/>
      <c r="K465" s="227"/>
      <c r="L465" s="227"/>
      <c r="M465" s="227"/>
      <c r="N465" s="227"/>
      <c r="O465" s="227"/>
      <c r="P465" s="227"/>
      <c r="Q465" s="227"/>
      <c r="R465" s="227"/>
      <c r="S465" s="227"/>
      <c r="T465" s="227"/>
      <c r="U465" s="227"/>
      <c r="V465" s="227"/>
      <c r="W465" s="227"/>
      <c r="X465" s="227"/>
      <c r="Y465" s="227"/>
      <c r="Z465" s="227"/>
      <c r="AA465" s="227"/>
      <c r="AB465" s="227"/>
      <c r="AC465" s="227"/>
      <c r="AD465" s="227"/>
      <c r="AE465" s="227"/>
    </row>
    <row r="466" ht="15.75" customHeight="1">
      <c r="A466" s="227"/>
      <c r="B466" s="227"/>
      <c r="C466" s="227"/>
      <c r="D466" s="227"/>
      <c r="E466" s="227"/>
      <c r="F466" s="227"/>
      <c r="G466" s="227"/>
      <c r="H466" s="227"/>
      <c r="I466" s="227"/>
      <c r="J466" s="227"/>
      <c r="K466" s="227"/>
      <c r="L466" s="227"/>
      <c r="M466" s="227"/>
      <c r="N466" s="227"/>
      <c r="O466" s="227"/>
      <c r="P466" s="227"/>
      <c r="Q466" s="227"/>
      <c r="R466" s="227"/>
      <c r="S466" s="227"/>
      <c r="T466" s="227"/>
      <c r="U466" s="227"/>
      <c r="V466" s="227"/>
      <c r="W466" s="227"/>
      <c r="X466" s="227"/>
      <c r="Y466" s="227"/>
      <c r="Z466" s="227"/>
      <c r="AA466" s="227"/>
      <c r="AB466" s="227"/>
      <c r="AC466" s="227"/>
      <c r="AD466" s="227"/>
      <c r="AE466" s="227"/>
    </row>
    <row r="467" ht="15.75" customHeight="1">
      <c r="A467" s="227"/>
      <c r="B467" s="227"/>
      <c r="C467" s="227"/>
      <c r="D467" s="227"/>
      <c r="E467" s="227"/>
      <c r="F467" s="227"/>
      <c r="G467" s="227"/>
      <c r="H467" s="227"/>
      <c r="I467" s="227"/>
      <c r="J467" s="227"/>
      <c r="K467" s="227"/>
      <c r="L467" s="227"/>
      <c r="M467" s="227"/>
      <c r="N467" s="227"/>
      <c r="O467" s="227"/>
      <c r="P467" s="227"/>
      <c r="Q467" s="227"/>
      <c r="R467" s="227"/>
      <c r="S467" s="227"/>
      <c r="T467" s="227"/>
      <c r="U467" s="227"/>
      <c r="V467" s="227"/>
      <c r="W467" s="227"/>
      <c r="X467" s="227"/>
      <c r="Y467" s="227"/>
      <c r="Z467" s="227"/>
      <c r="AA467" s="227"/>
      <c r="AB467" s="227"/>
      <c r="AC467" s="227"/>
      <c r="AD467" s="227"/>
      <c r="AE467" s="227"/>
    </row>
    <row r="468" ht="15.75" customHeight="1">
      <c r="A468" s="227"/>
      <c r="B468" s="227"/>
      <c r="C468" s="227"/>
      <c r="D468" s="227"/>
      <c r="E468" s="227"/>
      <c r="F468" s="227"/>
      <c r="G468" s="227"/>
      <c r="H468" s="227"/>
      <c r="I468" s="227"/>
      <c r="J468" s="227"/>
      <c r="K468" s="227"/>
      <c r="L468" s="227"/>
      <c r="M468" s="227"/>
      <c r="N468" s="227"/>
      <c r="O468" s="227"/>
      <c r="P468" s="227"/>
      <c r="Q468" s="227"/>
      <c r="R468" s="227"/>
      <c r="S468" s="227"/>
      <c r="T468" s="227"/>
      <c r="U468" s="227"/>
      <c r="V468" s="227"/>
      <c r="W468" s="227"/>
      <c r="X468" s="227"/>
      <c r="Y468" s="227"/>
      <c r="Z468" s="227"/>
      <c r="AA468" s="227"/>
      <c r="AB468" s="227"/>
      <c r="AC468" s="227"/>
      <c r="AD468" s="227"/>
      <c r="AE468" s="227"/>
    </row>
    <row r="469" ht="15.75" customHeight="1">
      <c r="A469" s="227"/>
      <c r="B469" s="227"/>
      <c r="C469" s="227"/>
      <c r="D469" s="227"/>
      <c r="E469" s="227"/>
      <c r="F469" s="227"/>
      <c r="G469" s="227"/>
      <c r="H469" s="227"/>
      <c r="I469" s="227"/>
      <c r="J469" s="227"/>
      <c r="K469" s="227"/>
      <c r="L469" s="227"/>
      <c r="M469" s="227"/>
      <c r="N469" s="227"/>
      <c r="O469" s="227"/>
      <c r="P469" s="227"/>
      <c r="Q469" s="227"/>
      <c r="R469" s="227"/>
      <c r="S469" s="227"/>
      <c r="T469" s="227"/>
      <c r="U469" s="227"/>
      <c r="V469" s="227"/>
      <c r="W469" s="227"/>
      <c r="X469" s="227"/>
      <c r="Y469" s="227"/>
      <c r="Z469" s="227"/>
      <c r="AA469" s="227"/>
      <c r="AB469" s="227"/>
      <c r="AC469" s="227"/>
      <c r="AD469" s="227"/>
      <c r="AE469" s="227"/>
    </row>
    <row r="470" ht="15.75" customHeight="1">
      <c r="A470" s="227"/>
      <c r="B470" s="227"/>
      <c r="C470" s="227"/>
      <c r="D470" s="227"/>
      <c r="E470" s="227"/>
      <c r="F470" s="227"/>
      <c r="G470" s="227"/>
      <c r="H470" s="227"/>
      <c r="I470" s="227"/>
      <c r="J470" s="227"/>
      <c r="K470" s="227"/>
      <c r="L470" s="227"/>
      <c r="M470" s="227"/>
      <c r="N470" s="227"/>
      <c r="O470" s="227"/>
      <c r="P470" s="227"/>
      <c r="Q470" s="227"/>
      <c r="R470" s="227"/>
      <c r="S470" s="227"/>
      <c r="T470" s="227"/>
      <c r="U470" s="227"/>
      <c r="V470" s="227"/>
      <c r="W470" s="227"/>
      <c r="X470" s="227"/>
      <c r="Y470" s="227"/>
      <c r="Z470" s="227"/>
      <c r="AA470" s="227"/>
      <c r="AB470" s="227"/>
      <c r="AC470" s="227"/>
      <c r="AD470" s="227"/>
      <c r="AE470" s="227"/>
    </row>
    <row r="471" ht="15.75" customHeight="1">
      <c r="A471" s="227"/>
      <c r="B471" s="227"/>
      <c r="C471" s="227"/>
      <c r="D471" s="227"/>
      <c r="E471" s="227"/>
      <c r="F471" s="227"/>
      <c r="G471" s="227"/>
      <c r="H471" s="227"/>
      <c r="I471" s="227"/>
      <c r="J471" s="227"/>
      <c r="K471" s="227"/>
      <c r="L471" s="227"/>
      <c r="M471" s="227"/>
      <c r="N471" s="227"/>
      <c r="O471" s="227"/>
      <c r="P471" s="227"/>
      <c r="Q471" s="227"/>
      <c r="R471" s="227"/>
      <c r="S471" s="227"/>
      <c r="T471" s="227"/>
      <c r="U471" s="227"/>
      <c r="V471" s="227"/>
      <c r="W471" s="227"/>
      <c r="X471" s="227"/>
      <c r="Y471" s="227"/>
      <c r="Z471" s="227"/>
      <c r="AA471" s="227"/>
      <c r="AB471" s="227"/>
      <c r="AC471" s="227"/>
      <c r="AD471" s="227"/>
      <c r="AE471" s="227"/>
    </row>
    <row r="472" ht="15.75" customHeight="1">
      <c r="A472" s="227"/>
      <c r="B472" s="227"/>
      <c r="C472" s="227"/>
      <c r="D472" s="227"/>
      <c r="E472" s="227"/>
      <c r="F472" s="227"/>
      <c r="G472" s="227"/>
      <c r="H472" s="227"/>
      <c r="I472" s="227"/>
      <c r="J472" s="227"/>
      <c r="K472" s="227"/>
      <c r="L472" s="227"/>
      <c r="M472" s="227"/>
      <c r="N472" s="227"/>
      <c r="O472" s="227"/>
      <c r="P472" s="227"/>
      <c r="Q472" s="227"/>
      <c r="R472" s="227"/>
      <c r="S472" s="227"/>
      <c r="T472" s="227"/>
      <c r="U472" s="227"/>
      <c r="V472" s="227"/>
      <c r="W472" s="227"/>
      <c r="X472" s="227"/>
      <c r="Y472" s="227"/>
      <c r="Z472" s="227"/>
      <c r="AA472" s="227"/>
      <c r="AB472" s="227"/>
      <c r="AC472" s="227"/>
      <c r="AD472" s="227"/>
      <c r="AE472" s="227"/>
    </row>
    <row r="473" ht="15.75" customHeight="1">
      <c r="A473" s="227"/>
      <c r="B473" s="227"/>
      <c r="C473" s="227"/>
      <c r="D473" s="227"/>
      <c r="E473" s="227"/>
      <c r="F473" s="227"/>
      <c r="G473" s="227"/>
      <c r="H473" s="227"/>
      <c r="I473" s="227"/>
      <c r="J473" s="227"/>
      <c r="K473" s="227"/>
      <c r="L473" s="227"/>
      <c r="M473" s="227"/>
      <c r="N473" s="227"/>
      <c r="O473" s="227"/>
      <c r="P473" s="227"/>
      <c r="Q473" s="227"/>
      <c r="R473" s="227"/>
      <c r="S473" s="227"/>
      <c r="T473" s="227"/>
      <c r="U473" s="227"/>
      <c r="V473" s="227"/>
      <c r="W473" s="227"/>
      <c r="X473" s="227"/>
      <c r="Y473" s="227"/>
      <c r="Z473" s="227"/>
      <c r="AA473" s="227"/>
      <c r="AB473" s="227"/>
      <c r="AC473" s="227"/>
      <c r="AD473" s="227"/>
      <c r="AE473" s="227"/>
    </row>
    <row r="474" ht="15.75" customHeight="1">
      <c r="A474" s="227"/>
      <c r="B474" s="227"/>
      <c r="C474" s="227"/>
      <c r="D474" s="227"/>
      <c r="E474" s="227"/>
      <c r="F474" s="227"/>
      <c r="G474" s="227"/>
      <c r="H474" s="227"/>
      <c r="I474" s="227"/>
      <c r="J474" s="227"/>
      <c r="K474" s="227"/>
      <c r="L474" s="227"/>
      <c r="M474" s="227"/>
      <c r="N474" s="227"/>
      <c r="O474" s="227"/>
      <c r="P474" s="227"/>
      <c r="Q474" s="227"/>
      <c r="R474" s="227"/>
      <c r="S474" s="227"/>
      <c r="T474" s="227"/>
      <c r="U474" s="227"/>
      <c r="V474" s="227"/>
      <c r="W474" s="227"/>
      <c r="X474" s="227"/>
      <c r="Y474" s="227"/>
      <c r="Z474" s="227"/>
      <c r="AA474" s="227"/>
      <c r="AB474" s="227"/>
      <c r="AC474" s="227"/>
      <c r="AD474" s="227"/>
      <c r="AE474" s="227"/>
    </row>
    <row r="475" ht="15.75" customHeight="1">
      <c r="A475" s="227"/>
      <c r="B475" s="227"/>
      <c r="C475" s="227"/>
      <c r="D475" s="227"/>
      <c r="E475" s="227"/>
      <c r="F475" s="227"/>
      <c r="G475" s="227"/>
      <c r="H475" s="227"/>
      <c r="I475" s="227"/>
      <c r="J475" s="227"/>
      <c r="K475" s="227"/>
      <c r="L475" s="227"/>
      <c r="M475" s="227"/>
      <c r="N475" s="227"/>
      <c r="O475" s="227"/>
      <c r="P475" s="227"/>
      <c r="Q475" s="227"/>
      <c r="R475" s="227"/>
      <c r="S475" s="227"/>
      <c r="T475" s="227"/>
      <c r="U475" s="227"/>
      <c r="V475" s="227"/>
      <c r="W475" s="227"/>
      <c r="X475" s="227"/>
      <c r="Y475" s="227"/>
      <c r="Z475" s="227"/>
      <c r="AA475" s="227"/>
      <c r="AB475" s="227"/>
      <c r="AC475" s="227"/>
      <c r="AD475" s="227"/>
      <c r="AE475" s="227"/>
    </row>
    <row r="476" ht="15.75" customHeight="1">
      <c r="A476" s="227"/>
      <c r="B476" s="227"/>
      <c r="C476" s="227"/>
      <c r="D476" s="227"/>
      <c r="E476" s="227"/>
      <c r="F476" s="227"/>
      <c r="G476" s="227"/>
      <c r="H476" s="227"/>
      <c r="I476" s="227"/>
      <c r="J476" s="227"/>
      <c r="K476" s="227"/>
      <c r="L476" s="227"/>
      <c r="M476" s="227"/>
      <c r="N476" s="227"/>
      <c r="O476" s="227"/>
      <c r="P476" s="227"/>
      <c r="Q476" s="227"/>
      <c r="R476" s="227"/>
      <c r="S476" s="227"/>
      <c r="T476" s="227"/>
      <c r="U476" s="227"/>
      <c r="V476" s="227"/>
      <c r="W476" s="227"/>
      <c r="X476" s="227"/>
      <c r="Y476" s="227"/>
      <c r="Z476" s="227"/>
      <c r="AA476" s="227"/>
      <c r="AB476" s="227"/>
      <c r="AC476" s="227"/>
      <c r="AD476" s="227"/>
      <c r="AE476" s="227"/>
    </row>
    <row r="477" ht="15.75" customHeight="1">
      <c r="A477" s="227"/>
      <c r="B477" s="227"/>
      <c r="C477" s="227"/>
      <c r="D477" s="227"/>
      <c r="E477" s="227"/>
      <c r="F477" s="227"/>
      <c r="G477" s="227"/>
      <c r="H477" s="227"/>
      <c r="I477" s="227"/>
      <c r="J477" s="227"/>
      <c r="K477" s="227"/>
      <c r="L477" s="227"/>
      <c r="M477" s="227"/>
      <c r="N477" s="227"/>
      <c r="O477" s="227"/>
      <c r="P477" s="227"/>
      <c r="Q477" s="227"/>
      <c r="R477" s="227"/>
      <c r="S477" s="227"/>
      <c r="T477" s="227"/>
      <c r="U477" s="227"/>
      <c r="V477" s="227"/>
      <c r="W477" s="227"/>
      <c r="X477" s="227"/>
      <c r="Y477" s="227"/>
      <c r="Z477" s="227"/>
      <c r="AA477" s="227"/>
      <c r="AB477" s="227"/>
      <c r="AC477" s="227"/>
      <c r="AD477" s="227"/>
      <c r="AE477" s="227"/>
    </row>
    <row r="478" ht="15.75" customHeight="1">
      <c r="A478" s="227"/>
      <c r="B478" s="227"/>
      <c r="C478" s="227"/>
      <c r="D478" s="227"/>
      <c r="E478" s="227"/>
      <c r="F478" s="227"/>
      <c r="G478" s="227"/>
      <c r="H478" s="227"/>
      <c r="I478" s="227"/>
      <c r="J478" s="227"/>
      <c r="K478" s="227"/>
      <c r="L478" s="227"/>
      <c r="M478" s="227"/>
      <c r="N478" s="227"/>
      <c r="O478" s="227"/>
      <c r="P478" s="227"/>
      <c r="Q478" s="227"/>
      <c r="R478" s="227"/>
      <c r="S478" s="227"/>
      <c r="T478" s="227"/>
      <c r="U478" s="227"/>
      <c r="V478" s="227"/>
      <c r="W478" s="227"/>
      <c r="X478" s="227"/>
      <c r="Y478" s="227"/>
      <c r="Z478" s="227"/>
      <c r="AA478" s="227"/>
      <c r="AB478" s="227"/>
      <c r="AC478" s="227"/>
      <c r="AD478" s="227"/>
      <c r="AE478" s="227"/>
    </row>
    <row r="479" ht="15.75" customHeight="1">
      <c r="A479" s="227"/>
      <c r="B479" s="227"/>
      <c r="C479" s="227"/>
      <c r="D479" s="227"/>
      <c r="E479" s="227"/>
      <c r="F479" s="227"/>
      <c r="G479" s="227"/>
      <c r="H479" s="227"/>
      <c r="I479" s="227"/>
      <c r="J479" s="227"/>
      <c r="K479" s="227"/>
      <c r="L479" s="227"/>
      <c r="M479" s="227"/>
      <c r="N479" s="227"/>
      <c r="O479" s="227"/>
      <c r="P479" s="227"/>
      <c r="Q479" s="227"/>
      <c r="R479" s="227"/>
      <c r="S479" s="227"/>
      <c r="T479" s="227"/>
      <c r="U479" s="227"/>
      <c r="V479" s="227"/>
      <c r="W479" s="227"/>
      <c r="X479" s="227"/>
      <c r="Y479" s="227"/>
      <c r="Z479" s="227"/>
      <c r="AA479" s="227"/>
      <c r="AB479" s="227"/>
      <c r="AC479" s="227"/>
      <c r="AD479" s="227"/>
      <c r="AE479" s="227"/>
    </row>
    <row r="480" ht="15.75" customHeight="1">
      <c r="A480" s="227"/>
      <c r="B480" s="227"/>
      <c r="C480" s="227"/>
      <c r="D480" s="227"/>
      <c r="E480" s="227"/>
      <c r="F480" s="227"/>
      <c r="G480" s="227"/>
      <c r="H480" s="227"/>
      <c r="I480" s="227"/>
      <c r="J480" s="227"/>
      <c r="K480" s="227"/>
      <c r="L480" s="227"/>
      <c r="M480" s="227"/>
      <c r="N480" s="227"/>
      <c r="O480" s="227"/>
      <c r="P480" s="227"/>
      <c r="Q480" s="227"/>
      <c r="R480" s="227"/>
      <c r="S480" s="227"/>
      <c r="T480" s="227"/>
      <c r="U480" s="227"/>
      <c r="V480" s="227"/>
      <c r="W480" s="227"/>
      <c r="X480" s="227"/>
      <c r="Y480" s="227"/>
      <c r="Z480" s="227"/>
      <c r="AA480" s="227"/>
      <c r="AB480" s="227"/>
      <c r="AC480" s="227"/>
      <c r="AD480" s="227"/>
      <c r="AE480" s="227"/>
    </row>
    <row r="481" ht="15.75" customHeight="1">
      <c r="A481" s="227"/>
      <c r="B481" s="227"/>
      <c r="C481" s="227"/>
      <c r="D481" s="227"/>
      <c r="E481" s="227"/>
      <c r="F481" s="227"/>
      <c r="G481" s="227"/>
      <c r="H481" s="227"/>
      <c r="I481" s="227"/>
      <c r="J481" s="227"/>
      <c r="K481" s="227"/>
      <c r="L481" s="227"/>
      <c r="M481" s="227"/>
      <c r="N481" s="227"/>
      <c r="O481" s="227"/>
      <c r="P481" s="227"/>
      <c r="Q481" s="227"/>
      <c r="R481" s="227"/>
      <c r="S481" s="227"/>
      <c r="T481" s="227"/>
      <c r="U481" s="227"/>
      <c r="V481" s="227"/>
      <c r="W481" s="227"/>
      <c r="X481" s="227"/>
      <c r="Y481" s="227"/>
      <c r="Z481" s="227"/>
      <c r="AA481" s="227"/>
      <c r="AB481" s="227"/>
      <c r="AC481" s="227"/>
      <c r="AD481" s="227"/>
      <c r="AE481" s="227"/>
    </row>
    <row r="482" ht="15.75" customHeight="1">
      <c r="A482" s="227"/>
      <c r="B482" s="227"/>
      <c r="C482" s="227"/>
      <c r="D482" s="227"/>
      <c r="E482" s="227"/>
      <c r="F482" s="227"/>
      <c r="G482" s="227"/>
      <c r="H482" s="227"/>
      <c r="I482" s="227"/>
      <c r="J482" s="227"/>
      <c r="K482" s="227"/>
      <c r="L482" s="227"/>
      <c r="M482" s="227"/>
      <c r="N482" s="227"/>
      <c r="O482" s="227"/>
      <c r="P482" s="227"/>
      <c r="Q482" s="227"/>
      <c r="R482" s="227"/>
      <c r="S482" s="227"/>
      <c r="T482" s="227"/>
      <c r="U482" s="227"/>
      <c r="V482" s="227"/>
      <c r="W482" s="227"/>
      <c r="X482" s="227"/>
      <c r="Y482" s="227"/>
      <c r="Z482" s="227"/>
      <c r="AA482" s="227"/>
      <c r="AB482" s="227"/>
      <c r="AC482" s="227"/>
      <c r="AD482" s="227"/>
      <c r="AE482" s="227"/>
    </row>
    <row r="483" ht="15.75" customHeight="1">
      <c r="A483" s="227"/>
      <c r="B483" s="227"/>
      <c r="C483" s="227"/>
      <c r="D483" s="227"/>
      <c r="E483" s="227"/>
      <c r="F483" s="227"/>
      <c r="G483" s="227"/>
      <c r="H483" s="227"/>
      <c r="I483" s="227"/>
      <c r="J483" s="227"/>
      <c r="K483" s="227"/>
      <c r="L483" s="227"/>
      <c r="M483" s="227"/>
      <c r="N483" s="227"/>
      <c r="O483" s="227"/>
      <c r="P483" s="227"/>
      <c r="Q483" s="227"/>
      <c r="R483" s="227"/>
      <c r="S483" s="227"/>
      <c r="T483" s="227"/>
      <c r="U483" s="227"/>
      <c r="V483" s="227"/>
      <c r="W483" s="227"/>
      <c r="X483" s="227"/>
      <c r="Y483" s="227"/>
      <c r="Z483" s="227"/>
      <c r="AA483" s="227"/>
      <c r="AB483" s="227"/>
      <c r="AC483" s="227"/>
      <c r="AD483" s="227"/>
      <c r="AE483" s="227"/>
    </row>
    <row r="484" ht="15.75" customHeight="1">
      <c r="A484" s="227"/>
      <c r="B484" s="227"/>
      <c r="C484" s="227"/>
      <c r="D484" s="227"/>
      <c r="E484" s="227"/>
      <c r="F484" s="227"/>
      <c r="G484" s="227"/>
      <c r="H484" s="227"/>
      <c r="I484" s="227"/>
      <c r="J484" s="227"/>
      <c r="K484" s="227"/>
      <c r="L484" s="227"/>
      <c r="M484" s="227"/>
      <c r="N484" s="227"/>
      <c r="O484" s="227"/>
      <c r="P484" s="227"/>
      <c r="Q484" s="227"/>
      <c r="R484" s="227"/>
      <c r="S484" s="227"/>
      <c r="T484" s="227"/>
      <c r="U484" s="227"/>
      <c r="V484" s="227"/>
      <c r="W484" s="227"/>
      <c r="X484" s="227"/>
      <c r="Y484" s="227"/>
      <c r="Z484" s="227"/>
      <c r="AA484" s="227"/>
      <c r="AB484" s="227"/>
      <c r="AC484" s="227"/>
      <c r="AD484" s="227"/>
      <c r="AE484" s="227"/>
    </row>
    <row r="485" ht="15.75" customHeight="1">
      <c r="A485" s="227"/>
      <c r="B485" s="227"/>
      <c r="C485" s="227"/>
      <c r="D485" s="227"/>
      <c r="E485" s="227"/>
      <c r="F485" s="227"/>
      <c r="G485" s="227"/>
      <c r="H485" s="227"/>
      <c r="I485" s="227"/>
      <c r="J485" s="227"/>
      <c r="K485" s="227"/>
      <c r="L485" s="227"/>
      <c r="M485" s="227"/>
      <c r="N485" s="227"/>
      <c r="O485" s="227"/>
      <c r="P485" s="227"/>
      <c r="Q485" s="227"/>
      <c r="R485" s="227"/>
      <c r="S485" s="227"/>
      <c r="T485" s="227"/>
      <c r="U485" s="227"/>
      <c r="V485" s="227"/>
      <c r="W485" s="227"/>
      <c r="X485" s="227"/>
      <c r="Y485" s="227"/>
      <c r="Z485" s="227"/>
      <c r="AA485" s="227"/>
      <c r="AB485" s="227"/>
      <c r="AC485" s="227"/>
      <c r="AD485" s="227"/>
      <c r="AE485" s="227"/>
    </row>
    <row r="486" ht="15.75" customHeight="1">
      <c r="A486" s="227"/>
      <c r="B486" s="227"/>
      <c r="C486" s="227"/>
      <c r="D486" s="227"/>
      <c r="E486" s="227"/>
      <c r="F486" s="227"/>
      <c r="G486" s="227"/>
      <c r="H486" s="227"/>
      <c r="I486" s="227"/>
      <c r="J486" s="227"/>
      <c r="K486" s="227"/>
      <c r="L486" s="227"/>
      <c r="M486" s="227"/>
      <c r="N486" s="227"/>
      <c r="O486" s="227"/>
      <c r="P486" s="227"/>
      <c r="Q486" s="227"/>
      <c r="R486" s="227"/>
      <c r="S486" s="227"/>
      <c r="T486" s="227"/>
      <c r="U486" s="227"/>
      <c r="V486" s="227"/>
      <c r="W486" s="227"/>
      <c r="X486" s="227"/>
      <c r="Y486" s="227"/>
      <c r="Z486" s="227"/>
      <c r="AA486" s="227"/>
      <c r="AB486" s="227"/>
      <c r="AC486" s="227"/>
      <c r="AD486" s="227"/>
      <c r="AE486" s="227"/>
    </row>
    <row r="487" ht="15.75" customHeight="1">
      <c r="A487" s="227"/>
      <c r="B487" s="227"/>
      <c r="C487" s="227"/>
      <c r="D487" s="227"/>
      <c r="E487" s="227"/>
      <c r="F487" s="227"/>
      <c r="G487" s="227"/>
      <c r="H487" s="227"/>
      <c r="I487" s="227"/>
      <c r="J487" s="227"/>
      <c r="K487" s="227"/>
      <c r="L487" s="227"/>
      <c r="M487" s="227"/>
      <c r="N487" s="227"/>
      <c r="O487" s="227"/>
      <c r="P487" s="227"/>
      <c r="Q487" s="227"/>
      <c r="R487" s="227"/>
      <c r="S487" s="227"/>
      <c r="T487" s="227"/>
      <c r="U487" s="227"/>
      <c r="V487" s="227"/>
      <c r="W487" s="227"/>
      <c r="X487" s="227"/>
      <c r="Y487" s="227"/>
      <c r="Z487" s="227"/>
      <c r="AA487" s="227"/>
      <c r="AB487" s="227"/>
      <c r="AC487" s="227"/>
      <c r="AD487" s="227"/>
      <c r="AE487" s="227"/>
    </row>
    <row r="488" ht="15.75" customHeight="1">
      <c r="A488" s="227"/>
      <c r="B488" s="227"/>
      <c r="C488" s="227"/>
      <c r="D488" s="227"/>
      <c r="E488" s="227"/>
      <c r="F488" s="227"/>
      <c r="G488" s="227"/>
      <c r="H488" s="227"/>
      <c r="I488" s="227"/>
      <c r="J488" s="227"/>
      <c r="K488" s="227"/>
      <c r="L488" s="227"/>
      <c r="M488" s="227"/>
      <c r="N488" s="227"/>
      <c r="O488" s="227"/>
      <c r="P488" s="227"/>
      <c r="Q488" s="227"/>
      <c r="R488" s="227"/>
      <c r="S488" s="227"/>
      <c r="T488" s="227"/>
      <c r="U488" s="227"/>
      <c r="V488" s="227"/>
      <c r="W488" s="227"/>
      <c r="X488" s="227"/>
      <c r="Y488" s="227"/>
      <c r="Z488" s="227"/>
      <c r="AA488" s="227"/>
      <c r="AB488" s="227"/>
      <c r="AC488" s="227"/>
      <c r="AD488" s="227"/>
      <c r="AE488" s="227"/>
    </row>
    <row r="489" ht="15.75" customHeight="1">
      <c r="A489" s="227"/>
      <c r="B489" s="227"/>
      <c r="C489" s="227"/>
      <c r="D489" s="227"/>
      <c r="E489" s="227"/>
      <c r="F489" s="227"/>
      <c r="G489" s="227"/>
      <c r="H489" s="227"/>
      <c r="I489" s="227"/>
      <c r="J489" s="227"/>
      <c r="K489" s="227"/>
      <c r="L489" s="227"/>
      <c r="M489" s="227"/>
      <c r="N489" s="227"/>
      <c r="O489" s="227"/>
      <c r="P489" s="227"/>
      <c r="Q489" s="227"/>
      <c r="R489" s="227"/>
      <c r="S489" s="227"/>
      <c r="T489" s="227"/>
      <c r="U489" s="227"/>
      <c r="V489" s="227"/>
      <c r="W489" s="227"/>
      <c r="X489" s="227"/>
      <c r="Y489" s="227"/>
      <c r="Z489" s="227"/>
      <c r="AA489" s="227"/>
      <c r="AB489" s="227"/>
      <c r="AC489" s="227"/>
      <c r="AD489" s="227"/>
      <c r="AE489" s="227"/>
    </row>
    <row r="490" ht="15.75" customHeight="1">
      <c r="A490" s="227"/>
      <c r="B490" s="227"/>
      <c r="C490" s="227"/>
      <c r="D490" s="227"/>
      <c r="E490" s="227"/>
      <c r="F490" s="227"/>
      <c r="G490" s="227"/>
      <c r="H490" s="227"/>
      <c r="I490" s="227"/>
      <c r="J490" s="227"/>
      <c r="K490" s="227"/>
      <c r="L490" s="227"/>
      <c r="M490" s="227"/>
      <c r="N490" s="227"/>
      <c r="O490" s="227"/>
      <c r="P490" s="227"/>
      <c r="Q490" s="227"/>
      <c r="R490" s="227"/>
      <c r="S490" s="227"/>
      <c r="T490" s="227"/>
      <c r="U490" s="227"/>
      <c r="V490" s="227"/>
      <c r="W490" s="227"/>
      <c r="X490" s="227"/>
      <c r="Y490" s="227"/>
      <c r="Z490" s="227"/>
      <c r="AA490" s="227"/>
      <c r="AB490" s="227"/>
      <c r="AC490" s="227"/>
      <c r="AD490" s="227"/>
      <c r="AE490" s="227"/>
    </row>
    <row r="491" ht="15.75" customHeight="1">
      <c r="A491" s="227"/>
      <c r="B491" s="227"/>
      <c r="C491" s="227"/>
      <c r="D491" s="227"/>
      <c r="E491" s="227"/>
      <c r="F491" s="227"/>
      <c r="G491" s="227"/>
      <c r="H491" s="227"/>
      <c r="I491" s="227"/>
      <c r="J491" s="227"/>
      <c r="K491" s="227"/>
      <c r="L491" s="227"/>
      <c r="M491" s="227"/>
      <c r="N491" s="227"/>
      <c r="O491" s="227"/>
      <c r="P491" s="227"/>
      <c r="Q491" s="227"/>
      <c r="R491" s="227"/>
      <c r="S491" s="227"/>
      <c r="T491" s="227"/>
      <c r="U491" s="227"/>
      <c r="V491" s="227"/>
      <c r="W491" s="227"/>
      <c r="X491" s="227"/>
      <c r="Y491" s="227"/>
      <c r="Z491" s="227"/>
      <c r="AA491" s="227"/>
      <c r="AB491" s="227"/>
      <c r="AC491" s="227"/>
      <c r="AD491" s="227"/>
      <c r="AE491" s="227"/>
    </row>
    <row r="492" ht="15.75" customHeight="1">
      <c r="A492" s="227"/>
      <c r="B492" s="227"/>
      <c r="C492" s="227"/>
      <c r="D492" s="227"/>
      <c r="E492" s="227"/>
      <c r="F492" s="227"/>
      <c r="G492" s="227"/>
      <c r="H492" s="227"/>
      <c r="I492" s="227"/>
      <c r="J492" s="227"/>
      <c r="K492" s="227"/>
      <c r="L492" s="227"/>
      <c r="M492" s="227"/>
      <c r="N492" s="227"/>
      <c r="O492" s="227"/>
      <c r="P492" s="227"/>
      <c r="Q492" s="227"/>
      <c r="R492" s="227"/>
      <c r="S492" s="227"/>
      <c r="T492" s="227"/>
      <c r="U492" s="227"/>
      <c r="V492" s="227"/>
      <c r="W492" s="227"/>
      <c r="X492" s="227"/>
      <c r="Y492" s="227"/>
      <c r="Z492" s="227"/>
      <c r="AA492" s="227"/>
      <c r="AB492" s="227"/>
      <c r="AC492" s="227"/>
      <c r="AD492" s="227"/>
      <c r="AE492" s="227"/>
    </row>
    <row r="493" ht="15.75" customHeight="1">
      <c r="A493" s="227"/>
      <c r="B493" s="227"/>
      <c r="C493" s="227"/>
      <c r="D493" s="227"/>
      <c r="E493" s="227"/>
      <c r="F493" s="227"/>
      <c r="G493" s="227"/>
      <c r="H493" s="227"/>
      <c r="I493" s="227"/>
      <c r="J493" s="227"/>
      <c r="K493" s="227"/>
      <c r="L493" s="227"/>
      <c r="M493" s="227"/>
      <c r="N493" s="227"/>
      <c r="O493" s="227"/>
      <c r="P493" s="227"/>
      <c r="Q493" s="227"/>
      <c r="R493" s="227"/>
      <c r="S493" s="227"/>
      <c r="T493" s="227"/>
      <c r="U493" s="227"/>
      <c r="V493" s="227"/>
      <c r="W493" s="227"/>
      <c r="X493" s="227"/>
      <c r="Y493" s="227"/>
      <c r="Z493" s="227"/>
      <c r="AA493" s="227"/>
      <c r="AB493" s="227"/>
      <c r="AC493" s="227"/>
      <c r="AD493" s="227"/>
      <c r="AE493" s="227"/>
    </row>
    <row r="494" ht="15.75" customHeight="1">
      <c r="A494" s="227"/>
      <c r="B494" s="227"/>
      <c r="C494" s="227"/>
      <c r="D494" s="227"/>
      <c r="E494" s="227"/>
      <c r="F494" s="227"/>
      <c r="G494" s="227"/>
      <c r="H494" s="227"/>
      <c r="I494" s="227"/>
      <c r="J494" s="227"/>
      <c r="K494" s="227"/>
      <c r="L494" s="227"/>
      <c r="M494" s="227"/>
      <c r="N494" s="227"/>
      <c r="O494" s="227"/>
      <c r="P494" s="227"/>
      <c r="Q494" s="227"/>
      <c r="R494" s="227"/>
      <c r="S494" s="227"/>
      <c r="T494" s="227"/>
      <c r="U494" s="227"/>
      <c r="V494" s="227"/>
      <c r="W494" s="227"/>
      <c r="X494" s="227"/>
      <c r="Y494" s="227"/>
      <c r="Z494" s="227"/>
      <c r="AA494" s="227"/>
      <c r="AB494" s="227"/>
      <c r="AC494" s="227"/>
      <c r="AD494" s="227"/>
      <c r="AE494" s="227"/>
    </row>
    <row r="495" ht="15.75" customHeight="1">
      <c r="A495" s="227"/>
      <c r="B495" s="227"/>
      <c r="C495" s="227"/>
      <c r="D495" s="227"/>
      <c r="E495" s="227"/>
      <c r="F495" s="227"/>
      <c r="G495" s="227"/>
      <c r="H495" s="227"/>
      <c r="I495" s="227"/>
      <c r="J495" s="227"/>
      <c r="K495" s="227"/>
      <c r="L495" s="227"/>
      <c r="M495" s="227"/>
      <c r="N495" s="227"/>
      <c r="O495" s="227"/>
      <c r="P495" s="227"/>
      <c r="Q495" s="227"/>
      <c r="R495" s="227"/>
      <c r="S495" s="227"/>
      <c r="T495" s="227"/>
      <c r="U495" s="227"/>
      <c r="V495" s="227"/>
      <c r="W495" s="227"/>
      <c r="X495" s="227"/>
      <c r="Y495" s="227"/>
      <c r="Z495" s="227"/>
      <c r="AA495" s="227"/>
      <c r="AB495" s="227"/>
      <c r="AC495" s="227"/>
      <c r="AD495" s="227"/>
      <c r="AE495" s="227"/>
    </row>
    <row r="496" ht="15.75" customHeight="1">
      <c r="A496" s="227"/>
      <c r="B496" s="227"/>
      <c r="C496" s="227"/>
      <c r="D496" s="227"/>
      <c r="E496" s="227"/>
      <c r="F496" s="227"/>
      <c r="G496" s="227"/>
      <c r="H496" s="227"/>
      <c r="I496" s="227"/>
      <c r="J496" s="227"/>
      <c r="K496" s="227"/>
      <c r="L496" s="227"/>
      <c r="M496" s="227"/>
      <c r="N496" s="227"/>
      <c r="O496" s="227"/>
      <c r="P496" s="227"/>
      <c r="Q496" s="227"/>
      <c r="R496" s="227"/>
      <c r="S496" s="227"/>
      <c r="T496" s="227"/>
      <c r="U496" s="227"/>
      <c r="V496" s="227"/>
      <c r="W496" s="227"/>
      <c r="X496" s="227"/>
      <c r="Y496" s="227"/>
      <c r="Z496" s="227"/>
      <c r="AA496" s="227"/>
      <c r="AB496" s="227"/>
      <c r="AC496" s="227"/>
      <c r="AD496" s="227"/>
      <c r="AE496" s="227"/>
    </row>
    <row r="497" ht="15.75" customHeight="1">
      <c r="A497" s="227"/>
      <c r="B497" s="227"/>
      <c r="C497" s="227"/>
      <c r="D497" s="227"/>
      <c r="E497" s="227"/>
      <c r="F497" s="227"/>
      <c r="G497" s="227"/>
      <c r="H497" s="227"/>
      <c r="I497" s="227"/>
      <c r="J497" s="227"/>
      <c r="K497" s="227"/>
      <c r="L497" s="227"/>
      <c r="M497" s="227"/>
      <c r="N497" s="227"/>
      <c r="O497" s="227"/>
      <c r="P497" s="227"/>
      <c r="Q497" s="227"/>
      <c r="R497" s="227"/>
      <c r="S497" s="227"/>
      <c r="T497" s="227"/>
      <c r="U497" s="227"/>
      <c r="V497" s="227"/>
      <c r="W497" s="227"/>
      <c r="X497" s="227"/>
      <c r="Y497" s="227"/>
      <c r="Z497" s="227"/>
      <c r="AA497" s="227"/>
      <c r="AB497" s="227"/>
      <c r="AC497" s="227"/>
      <c r="AD497" s="227"/>
      <c r="AE497" s="227"/>
    </row>
    <row r="498" ht="15.75" customHeight="1">
      <c r="A498" s="227"/>
      <c r="B498" s="227"/>
      <c r="C498" s="227"/>
      <c r="D498" s="227"/>
      <c r="E498" s="227"/>
      <c r="F498" s="227"/>
      <c r="G498" s="227"/>
      <c r="H498" s="227"/>
      <c r="I498" s="227"/>
      <c r="J498" s="227"/>
      <c r="K498" s="227"/>
      <c r="L498" s="227"/>
      <c r="M498" s="227"/>
      <c r="N498" s="227"/>
      <c r="O498" s="227"/>
      <c r="P498" s="227"/>
      <c r="Q498" s="227"/>
      <c r="R498" s="227"/>
      <c r="S498" s="227"/>
      <c r="T498" s="227"/>
      <c r="U498" s="227"/>
      <c r="V498" s="227"/>
      <c r="W498" s="227"/>
      <c r="X498" s="227"/>
      <c r="Y498" s="227"/>
      <c r="Z498" s="227"/>
      <c r="AA498" s="227"/>
      <c r="AB498" s="227"/>
      <c r="AC498" s="227"/>
      <c r="AD498" s="227"/>
      <c r="AE498" s="227"/>
    </row>
    <row r="499" ht="15.75" customHeight="1">
      <c r="A499" s="227"/>
      <c r="B499" s="227"/>
      <c r="C499" s="227"/>
      <c r="D499" s="227"/>
      <c r="E499" s="227"/>
      <c r="F499" s="227"/>
      <c r="G499" s="227"/>
      <c r="H499" s="227"/>
      <c r="I499" s="227"/>
      <c r="J499" s="227"/>
      <c r="K499" s="227"/>
      <c r="L499" s="227"/>
      <c r="M499" s="227"/>
      <c r="N499" s="227"/>
      <c r="O499" s="227"/>
      <c r="P499" s="227"/>
      <c r="Q499" s="227"/>
      <c r="R499" s="227"/>
      <c r="S499" s="227"/>
      <c r="T499" s="227"/>
      <c r="U499" s="227"/>
      <c r="V499" s="227"/>
      <c r="W499" s="227"/>
      <c r="X499" s="227"/>
      <c r="Y499" s="227"/>
      <c r="Z499" s="227"/>
      <c r="AA499" s="227"/>
      <c r="AB499" s="227"/>
      <c r="AC499" s="227"/>
      <c r="AD499" s="227"/>
      <c r="AE499" s="227"/>
    </row>
    <row r="500" ht="15.75" customHeight="1">
      <c r="A500" s="227"/>
      <c r="B500" s="227"/>
      <c r="C500" s="227"/>
      <c r="D500" s="227"/>
      <c r="E500" s="227"/>
      <c r="F500" s="227"/>
      <c r="G500" s="227"/>
      <c r="H500" s="227"/>
      <c r="I500" s="227"/>
      <c r="J500" s="227"/>
      <c r="K500" s="227"/>
      <c r="L500" s="227"/>
      <c r="M500" s="227"/>
      <c r="N500" s="227"/>
      <c r="O500" s="227"/>
      <c r="P500" s="227"/>
      <c r="Q500" s="227"/>
      <c r="R500" s="227"/>
      <c r="S500" s="227"/>
      <c r="T500" s="227"/>
      <c r="U500" s="227"/>
      <c r="V500" s="227"/>
      <c r="W500" s="227"/>
      <c r="X500" s="227"/>
      <c r="Y500" s="227"/>
      <c r="Z500" s="227"/>
      <c r="AA500" s="227"/>
      <c r="AB500" s="227"/>
      <c r="AC500" s="227"/>
      <c r="AD500" s="227"/>
      <c r="AE500" s="227"/>
    </row>
    <row r="501" ht="15.75" customHeight="1">
      <c r="A501" s="227"/>
      <c r="B501" s="227"/>
      <c r="C501" s="227"/>
      <c r="D501" s="227"/>
      <c r="E501" s="227"/>
      <c r="F501" s="227"/>
      <c r="G501" s="227"/>
      <c r="H501" s="227"/>
      <c r="I501" s="227"/>
      <c r="J501" s="227"/>
      <c r="K501" s="227"/>
      <c r="L501" s="227"/>
      <c r="M501" s="227"/>
      <c r="N501" s="227"/>
      <c r="O501" s="227"/>
      <c r="P501" s="227"/>
      <c r="Q501" s="227"/>
      <c r="R501" s="227"/>
      <c r="S501" s="227"/>
      <c r="T501" s="227"/>
      <c r="U501" s="227"/>
      <c r="V501" s="227"/>
      <c r="W501" s="227"/>
      <c r="X501" s="227"/>
      <c r="Y501" s="227"/>
      <c r="Z501" s="227"/>
      <c r="AA501" s="227"/>
      <c r="AB501" s="227"/>
      <c r="AC501" s="227"/>
      <c r="AD501" s="227"/>
      <c r="AE501" s="227"/>
    </row>
    <row r="502" ht="15.75" customHeight="1">
      <c r="A502" s="227"/>
      <c r="B502" s="227"/>
      <c r="C502" s="227"/>
      <c r="D502" s="227"/>
      <c r="E502" s="227"/>
      <c r="F502" s="227"/>
      <c r="G502" s="227"/>
      <c r="H502" s="227"/>
      <c r="I502" s="227"/>
      <c r="J502" s="227"/>
      <c r="K502" s="227"/>
      <c r="L502" s="227"/>
      <c r="M502" s="227"/>
      <c r="N502" s="227"/>
      <c r="O502" s="227"/>
      <c r="P502" s="227"/>
      <c r="Q502" s="227"/>
      <c r="R502" s="227"/>
      <c r="S502" s="227"/>
      <c r="T502" s="227"/>
      <c r="U502" s="227"/>
      <c r="V502" s="227"/>
      <c r="W502" s="227"/>
      <c r="X502" s="227"/>
      <c r="Y502" s="227"/>
      <c r="Z502" s="227"/>
      <c r="AA502" s="227"/>
      <c r="AB502" s="227"/>
      <c r="AC502" s="227"/>
      <c r="AD502" s="227"/>
      <c r="AE502" s="227"/>
    </row>
    <row r="503" ht="15.75" customHeight="1">
      <c r="A503" s="227"/>
      <c r="B503" s="227"/>
      <c r="C503" s="227"/>
      <c r="D503" s="227"/>
      <c r="E503" s="227"/>
      <c r="F503" s="227"/>
      <c r="G503" s="227"/>
      <c r="H503" s="227"/>
      <c r="I503" s="227"/>
      <c r="J503" s="227"/>
      <c r="K503" s="227"/>
      <c r="L503" s="227"/>
      <c r="M503" s="227"/>
      <c r="N503" s="227"/>
      <c r="O503" s="227"/>
      <c r="P503" s="227"/>
      <c r="Q503" s="227"/>
      <c r="R503" s="227"/>
      <c r="S503" s="227"/>
      <c r="T503" s="227"/>
      <c r="U503" s="227"/>
      <c r="V503" s="227"/>
      <c r="W503" s="227"/>
      <c r="X503" s="227"/>
      <c r="Y503" s="227"/>
      <c r="Z503" s="227"/>
      <c r="AA503" s="227"/>
      <c r="AB503" s="227"/>
      <c r="AC503" s="227"/>
      <c r="AD503" s="227"/>
      <c r="AE503" s="227"/>
    </row>
    <row r="504" ht="15.75" customHeight="1">
      <c r="A504" s="227"/>
      <c r="B504" s="227"/>
      <c r="C504" s="227"/>
      <c r="D504" s="227"/>
      <c r="E504" s="227"/>
      <c r="F504" s="227"/>
      <c r="G504" s="227"/>
      <c r="H504" s="227"/>
      <c r="I504" s="227"/>
      <c r="J504" s="227"/>
      <c r="K504" s="227"/>
      <c r="L504" s="227"/>
      <c r="M504" s="227"/>
      <c r="N504" s="227"/>
      <c r="O504" s="227"/>
      <c r="P504" s="227"/>
      <c r="Q504" s="227"/>
      <c r="R504" s="227"/>
      <c r="S504" s="227"/>
      <c r="T504" s="227"/>
      <c r="U504" s="227"/>
      <c r="V504" s="227"/>
      <c r="W504" s="227"/>
      <c r="X504" s="227"/>
      <c r="Y504" s="227"/>
      <c r="Z504" s="227"/>
      <c r="AA504" s="227"/>
      <c r="AB504" s="227"/>
      <c r="AC504" s="227"/>
      <c r="AD504" s="227"/>
      <c r="AE504" s="227"/>
    </row>
    <row r="505" ht="15.75" customHeight="1">
      <c r="A505" s="227"/>
      <c r="B505" s="227"/>
      <c r="C505" s="227"/>
      <c r="D505" s="227"/>
      <c r="E505" s="227"/>
      <c r="F505" s="227"/>
      <c r="G505" s="227"/>
      <c r="H505" s="227"/>
      <c r="I505" s="227"/>
      <c r="J505" s="227"/>
      <c r="K505" s="227"/>
      <c r="L505" s="227"/>
      <c r="M505" s="227"/>
      <c r="N505" s="227"/>
      <c r="O505" s="227"/>
      <c r="P505" s="227"/>
      <c r="Q505" s="227"/>
      <c r="R505" s="227"/>
      <c r="S505" s="227"/>
      <c r="T505" s="227"/>
      <c r="U505" s="227"/>
      <c r="V505" s="227"/>
      <c r="W505" s="227"/>
      <c r="X505" s="227"/>
      <c r="Y505" s="227"/>
      <c r="Z505" s="227"/>
      <c r="AA505" s="227"/>
      <c r="AB505" s="227"/>
      <c r="AC505" s="227"/>
      <c r="AD505" s="227"/>
      <c r="AE505" s="227"/>
    </row>
    <row r="506" ht="15.75" customHeight="1">
      <c r="A506" s="227"/>
      <c r="B506" s="227"/>
      <c r="C506" s="227"/>
      <c r="D506" s="227"/>
      <c r="E506" s="227"/>
      <c r="F506" s="227"/>
      <c r="G506" s="227"/>
      <c r="H506" s="227"/>
      <c r="I506" s="227"/>
      <c r="J506" s="227"/>
      <c r="K506" s="227"/>
      <c r="L506" s="227"/>
      <c r="M506" s="227"/>
      <c r="N506" s="227"/>
      <c r="O506" s="227"/>
      <c r="P506" s="227"/>
      <c r="Q506" s="227"/>
      <c r="R506" s="227"/>
      <c r="S506" s="227"/>
      <c r="T506" s="227"/>
      <c r="U506" s="227"/>
      <c r="V506" s="227"/>
      <c r="W506" s="227"/>
      <c r="X506" s="227"/>
      <c r="Y506" s="227"/>
      <c r="Z506" s="227"/>
      <c r="AA506" s="227"/>
      <c r="AB506" s="227"/>
      <c r="AC506" s="227"/>
      <c r="AD506" s="227"/>
      <c r="AE506" s="227"/>
    </row>
    <row r="507" ht="15.75" customHeight="1">
      <c r="A507" s="227"/>
      <c r="B507" s="227"/>
      <c r="C507" s="227"/>
      <c r="D507" s="227"/>
      <c r="E507" s="227"/>
      <c r="F507" s="227"/>
      <c r="G507" s="227"/>
      <c r="H507" s="227"/>
      <c r="I507" s="227"/>
      <c r="J507" s="227"/>
      <c r="K507" s="227"/>
      <c r="L507" s="227"/>
      <c r="M507" s="227"/>
      <c r="N507" s="227"/>
      <c r="O507" s="227"/>
      <c r="P507" s="227"/>
      <c r="Q507" s="227"/>
      <c r="R507" s="227"/>
      <c r="S507" s="227"/>
      <c r="T507" s="227"/>
      <c r="U507" s="227"/>
      <c r="V507" s="227"/>
      <c r="W507" s="227"/>
      <c r="X507" s="227"/>
      <c r="Y507" s="227"/>
      <c r="Z507" s="227"/>
      <c r="AA507" s="227"/>
      <c r="AB507" s="227"/>
      <c r="AC507" s="227"/>
      <c r="AD507" s="227"/>
      <c r="AE507" s="227"/>
    </row>
    <row r="508" ht="15.75" customHeight="1">
      <c r="A508" s="227"/>
      <c r="B508" s="227"/>
      <c r="C508" s="227"/>
      <c r="D508" s="227"/>
      <c r="E508" s="227"/>
      <c r="F508" s="227"/>
      <c r="G508" s="227"/>
      <c r="H508" s="227"/>
      <c r="I508" s="227"/>
      <c r="J508" s="227"/>
      <c r="K508" s="227"/>
      <c r="L508" s="227"/>
      <c r="M508" s="227"/>
      <c r="N508" s="227"/>
      <c r="O508" s="227"/>
      <c r="P508" s="227"/>
      <c r="Q508" s="227"/>
      <c r="R508" s="227"/>
      <c r="S508" s="227"/>
      <c r="T508" s="227"/>
      <c r="U508" s="227"/>
      <c r="V508" s="227"/>
      <c r="W508" s="227"/>
      <c r="X508" s="227"/>
      <c r="Y508" s="227"/>
      <c r="Z508" s="227"/>
      <c r="AA508" s="227"/>
      <c r="AB508" s="227"/>
      <c r="AC508" s="227"/>
      <c r="AD508" s="227"/>
      <c r="AE508" s="227"/>
    </row>
    <row r="509" ht="15.75" customHeight="1">
      <c r="A509" s="227"/>
      <c r="B509" s="227"/>
      <c r="C509" s="227"/>
      <c r="D509" s="227"/>
      <c r="E509" s="227"/>
      <c r="F509" s="227"/>
      <c r="G509" s="227"/>
      <c r="H509" s="227"/>
      <c r="I509" s="227"/>
      <c r="J509" s="227"/>
      <c r="K509" s="227"/>
      <c r="L509" s="227"/>
      <c r="M509" s="227"/>
      <c r="N509" s="227"/>
      <c r="O509" s="227"/>
      <c r="P509" s="227"/>
      <c r="Q509" s="227"/>
      <c r="R509" s="227"/>
      <c r="S509" s="227"/>
      <c r="T509" s="227"/>
      <c r="U509" s="227"/>
      <c r="V509" s="227"/>
      <c r="W509" s="227"/>
      <c r="X509" s="227"/>
      <c r="Y509" s="227"/>
      <c r="Z509" s="227"/>
      <c r="AA509" s="227"/>
      <c r="AB509" s="227"/>
      <c r="AC509" s="227"/>
      <c r="AD509" s="227"/>
      <c r="AE509" s="227"/>
    </row>
    <row r="510" ht="15.75" customHeight="1">
      <c r="A510" s="227"/>
      <c r="B510" s="227"/>
      <c r="C510" s="227"/>
      <c r="D510" s="227"/>
      <c r="E510" s="227"/>
      <c r="F510" s="227"/>
      <c r="G510" s="227"/>
      <c r="H510" s="227"/>
      <c r="I510" s="227"/>
      <c r="J510" s="227"/>
      <c r="K510" s="227"/>
      <c r="L510" s="227"/>
      <c r="M510" s="227"/>
      <c r="N510" s="227"/>
      <c r="O510" s="227"/>
      <c r="P510" s="227"/>
      <c r="Q510" s="227"/>
      <c r="R510" s="227"/>
      <c r="S510" s="227"/>
      <c r="T510" s="227"/>
      <c r="U510" s="227"/>
      <c r="V510" s="227"/>
      <c r="W510" s="227"/>
      <c r="X510" s="227"/>
      <c r="Y510" s="227"/>
      <c r="Z510" s="227"/>
      <c r="AA510" s="227"/>
      <c r="AB510" s="227"/>
      <c r="AC510" s="227"/>
      <c r="AD510" s="227"/>
      <c r="AE510" s="227"/>
    </row>
    <row r="511" ht="15.75" customHeight="1">
      <c r="A511" s="227"/>
      <c r="B511" s="227"/>
      <c r="C511" s="227"/>
      <c r="D511" s="227"/>
      <c r="E511" s="227"/>
      <c r="F511" s="227"/>
      <c r="G511" s="227"/>
      <c r="H511" s="227"/>
      <c r="I511" s="227"/>
      <c r="J511" s="227"/>
      <c r="K511" s="227"/>
      <c r="L511" s="227"/>
      <c r="M511" s="227"/>
      <c r="N511" s="227"/>
      <c r="O511" s="227"/>
      <c r="P511" s="227"/>
      <c r="Q511" s="227"/>
      <c r="R511" s="227"/>
      <c r="S511" s="227"/>
      <c r="T511" s="227"/>
      <c r="U511" s="227"/>
      <c r="V511" s="227"/>
      <c r="W511" s="227"/>
      <c r="X511" s="227"/>
      <c r="Y511" s="227"/>
      <c r="Z511" s="227"/>
      <c r="AA511" s="227"/>
      <c r="AB511" s="227"/>
      <c r="AC511" s="227"/>
      <c r="AD511" s="227"/>
      <c r="AE511" s="227"/>
    </row>
    <row r="512" ht="15.75" customHeight="1">
      <c r="A512" s="227"/>
      <c r="B512" s="227"/>
      <c r="C512" s="227"/>
      <c r="D512" s="227"/>
      <c r="E512" s="227"/>
      <c r="F512" s="227"/>
      <c r="G512" s="227"/>
      <c r="H512" s="227"/>
      <c r="I512" s="227"/>
      <c r="J512" s="227"/>
      <c r="K512" s="227"/>
      <c r="L512" s="227"/>
      <c r="M512" s="227"/>
      <c r="N512" s="227"/>
      <c r="O512" s="227"/>
      <c r="P512" s="227"/>
      <c r="Q512" s="227"/>
      <c r="R512" s="227"/>
      <c r="S512" s="227"/>
      <c r="T512" s="227"/>
      <c r="U512" s="227"/>
      <c r="V512" s="227"/>
      <c r="W512" s="227"/>
      <c r="X512" s="227"/>
      <c r="Y512" s="227"/>
      <c r="Z512" s="227"/>
      <c r="AA512" s="227"/>
      <c r="AB512" s="227"/>
      <c r="AC512" s="227"/>
      <c r="AD512" s="227"/>
      <c r="AE512" s="227"/>
    </row>
    <row r="513" ht="15.75" customHeight="1">
      <c r="A513" s="227"/>
      <c r="B513" s="227"/>
      <c r="C513" s="227"/>
      <c r="D513" s="227"/>
      <c r="E513" s="227"/>
      <c r="F513" s="227"/>
      <c r="G513" s="227"/>
      <c r="H513" s="227"/>
      <c r="I513" s="227"/>
      <c r="J513" s="227"/>
      <c r="K513" s="227"/>
      <c r="L513" s="227"/>
      <c r="M513" s="227"/>
      <c r="N513" s="227"/>
      <c r="O513" s="227"/>
      <c r="P513" s="227"/>
      <c r="Q513" s="227"/>
      <c r="R513" s="227"/>
      <c r="S513" s="227"/>
      <c r="T513" s="227"/>
      <c r="U513" s="227"/>
      <c r="V513" s="227"/>
      <c r="W513" s="227"/>
      <c r="X513" s="227"/>
      <c r="Y513" s="227"/>
      <c r="Z513" s="227"/>
      <c r="AA513" s="227"/>
      <c r="AB513" s="227"/>
      <c r="AC513" s="227"/>
      <c r="AD513" s="227"/>
      <c r="AE513" s="227"/>
    </row>
    <row r="514" ht="15.75" customHeight="1">
      <c r="A514" s="227"/>
      <c r="B514" s="227"/>
      <c r="C514" s="227"/>
      <c r="D514" s="227"/>
      <c r="E514" s="227"/>
      <c r="F514" s="227"/>
      <c r="G514" s="227"/>
      <c r="H514" s="227"/>
      <c r="I514" s="227"/>
      <c r="J514" s="227"/>
      <c r="K514" s="227"/>
      <c r="L514" s="227"/>
      <c r="M514" s="227"/>
      <c r="N514" s="227"/>
      <c r="O514" s="227"/>
      <c r="P514" s="227"/>
      <c r="Q514" s="227"/>
      <c r="R514" s="227"/>
      <c r="S514" s="227"/>
      <c r="T514" s="227"/>
      <c r="U514" s="227"/>
      <c r="V514" s="227"/>
      <c r="W514" s="227"/>
      <c r="X514" s="227"/>
      <c r="Y514" s="227"/>
      <c r="Z514" s="227"/>
      <c r="AA514" s="227"/>
      <c r="AB514" s="227"/>
      <c r="AC514" s="227"/>
      <c r="AD514" s="227"/>
      <c r="AE514" s="227"/>
    </row>
    <row r="515" ht="15.75" customHeight="1">
      <c r="A515" s="227"/>
      <c r="B515" s="227"/>
      <c r="C515" s="227"/>
      <c r="D515" s="227"/>
      <c r="E515" s="227"/>
      <c r="F515" s="227"/>
      <c r="G515" s="227"/>
      <c r="H515" s="227"/>
      <c r="I515" s="227"/>
      <c r="J515" s="227"/>
      <c r="K515" s="227"/>
      <c r="L515" s="227"/>
      <c r="M515" s="227"/>
      <c r="N515" s="227"/>
      <c r="O515" s="227"/>
      <c r="P515" s="227"/>
      <c r="Q515" s="227"/>
      <c r="R515" s="227"/>
      <c r="S515" s="227"/>
      <c r="T515" s="227"/>
      <c r="U515" s="227"/>
      <c r="V515" s="227"/>
      <c r="W515" s="227"/>
      <c r="X515" s="227"/>
      <c r="Y515" s="227"/>
      <c r="Z515" s="227"/>
      <c r="AA515" s="227"/>
      <c r="AB515" s="227"/>
      <c r="AC515" s="227"/>
      <c r="AD515" s="227"/>
      <c r="AE515" s="227"/>
    </row>
    <row r="516" ht="15.75" customHeight="1">
      <c r="A516" s="227"/>
      <c r="B516" s="227"/>
      <c r="C516" s="227"/>
      <c r="D516" s="227"/>
      <c r="E516" s="227"/>
      <c r="F516" s="227"/>
      <c r="G516" s="227"/>
      <c r="H516" s="227"/>
      <c r="I516" s="227"/>
      <c r="J516" s="227"/>
      <c r="K516" s="227"/>
      <c r="L516" s="227"/>
      <c r="M516" s="227"/>
      <c r="N516" s="227"/>
      <c r="O516" s="227"/>
      <c r="P516" s="227"/>
      <c r="Q516" s="227"/>
      <c r="R516" s="227"/>
      <c r="S516" s="227"/>
      <c r="T516" s="227"/>
      <c r="U516" s="227"/>
      <c r="V516" s="227"/>
      <c r="W516" s="227"/>
      <c r="X516" s="227"/>
      <c r="Y516" s="227"/>
      <c r="Z516" s="227"/>
      <c r="AA516" s="227"/>
      <c r="AB516" s="227"/>
      <c r="AC516" s="227"/>
      <c r="AD516" s="227"/>
      <c r="AE516" s="227"/>
    </row>
    <row r="517" ht="15.75" customHeight="1">
      <c r="A517" s="227"/>
      <c r="B517" s="227"/>
      <c r="C517" s="227"/>
      <c r="D517" s="227"/>
      <c r="E517" s="227"/>
      <c r="F517" s="227"/>
      <c r="G517" s="227"/>
      <c r="H517" s="227"/>
      <c r="I517" s="227"/>
      <c r="J517" s="227"/>
      <c r="K517" s="227"/>
      <c r="L517" s="227"/>
      <c r="M517" s="227"/>
      <c r="N517" s="227"/>
      <c r="O517" s="227"/>
      <c r="P517" s="227"/>
      <c r="Q517" s="227"/>
      <c r="R517" s="227"/>
      <c r="S517" s="227"/>
      <c r="T517" s="227"/>
      <c r="U517" s="227"/>
      <c r="V517" s="227"/>
      <c r="W517" s="227"/>
      <c r="X517" s="227"/>
      <c r="Y517" s="227"/>
      <c r="Z517" s="227"/>
      <c r="AA517" s="227"/>
      <c r="AB517" s="227"/>
      <c r="AC517" s="227"/>
      <c r="AD517" s="227"/>
      <c r="AE517" s="227"/>
    </row>
    <row r="518" ht="15.75" customHeight="1">
      <c r="A518" s="227"/>
      <c r="B518" s="227"/>
      <c r="C518" s="227"/>
      <c r="D518" s="227"/>
      <c r="E518" s="227"/>
      <c r="F518" s="227"/>
      <c r="G518" s="227"/>
      <c r="H518" s="227"/>
      <c r="I518" s="227"/>
      <c r="J518" s="227"/>
      <c r="K518" s="227"/>
      <c r="L518" s="227"/>
      <c r="M518" s="227"/>
      <c r="N518" s="227"/>
      <c r="O518" s="227"/>
      <c r="P518" s="227"/>
      <c r="Q518" s="227"/>
      <c r="R518" s="227"/>
      <c r="S518" s="227"/>
      <c r="T518" s="227"/>
      <c r="U518" s="227"/>
      <c r="V518" s="227"/>
      <c r="W518" s="227"/>
      <c r="X518" s="227"/>
      <c r="Y518" s="227"/>
      <c r="Z518" s="227"/>
      <c r="AA518" s="227"/>
      <c r="AB518" s="227"/>
      <c r="AC518" s="227"/>
      <c r="AD518" s="227"/>
      <c r="AE518" s="227"/>
    </row>
    <row r="519" ht="15.75" customHeight="1">
      <c r="A519" s="227"/>
      <c r="B519" s="227"/>
      <c r="C519" s="227"/>
      <c r="D519" s="227"/>
      <c r="E519" s="227"/>
      <c r="F519" s="227"/>
      <c r="G519" s="227"/>
      <c r="H519" s="227"/>
      <c r="I519" s="227"/>
      <c r="J519" s="227"/>
      <c r="K519" s="227"/>
      <c r="L519" s="227"/>
      <c r="M519" s="227"/>
      <c r="N519" s="227"/>
      <c r="O519" s="227"/>
      <c r="P519" s="227"/>
      <c r="Q519" s="227"/>
      <c r="R519" s="227"/>
      <c r="S519" s="227"/>
      <c r="T519" s="227"/>
      <c r="U519" s="227"/>
      <c r="V519" s="227"/>
      <c r="W519" s="227"/>
      <c r="X519" s="227"/>
      <c r="Y519" s="227"/>
      <c r="Z519" s="227"/>
      <c r="AA519" s="227"/>
      <c r="AB519" s="227"/>
      <c r="AC519" s="227"/>
      <c r="AD519" s="227"/>
      <c r="AE519" s="227"/>
    </row>
    <row r="520" ht="15.75" customHeight="1">
      <c r="A520" s="227"/>
      <c r="B520" s="227"/>
      <c r="C520" s="227"/>
      <c r="D520" s="227"/>
      <c r="E520" s="227"/>
      <c r="F520" s="227"/>
      <c r="G520" s="227"/>
      <c r="H520" s="227"/>
      <c r="I520" s="227"/>
      <c r="J520" s="227"/>
      <c r="K520" s="227"/>
      <c r="L520" s="227"/>
      <c r="M520" s="227"/>
      <c r="N520" s="227"/>
      <c r="O520" s="227"/>
      <c r="P520" s="227"/>
      <c r="Q520" s="227"/>
      <c r="R520" s="227"/>
      <c r="S520" s="227"/>
      <c r="T520" s="227"/>
      <c r="U520" s="227"/>
      <c r="V520" s="227"/>
      <c r="W520" s="227"/>
      <c r="X520" s="227"/>
      <c r="Y520" s="227"/>
      <c r="Z520" s="227"/>
      <c r="AA520" s="227"/>
      <c r="AB520" s="227"/>
      <c r="AC520" s="227"/>
      <c r="AD520" s="227"/>
      <c r="AE520" s="227"/>
    </row>
    <row r="521" ht="15.75" customHeight="1">
      <c r="A521" s="227"/>
      <c r="B521" s="227"/>
      <c r="C521" s="227"/>
      <c r="D521" s="227"/>
      <c r="E521" s="227"/>
      <c r="F521" s="227"/>
      <c r="G521" s="227"/>
      <c r="H521" s="227"/>
      <c r="I521" s="227"/>
      <c r="J521" s="227"/>
      <c r="K521" s="227"/>
      <c r="L521" s="227"/>
      <c r="M521" s="227"/>
      <c r="N521" s="227"/>
      <c r="O521" s="227"/>
      <c r="P521" s="227"/>
      <c r="Q521" s="227"/>
      <c r="R521" s="227"/>
      <c r="S521" s="227"/>
      <c r="T521" s="227"/>
      <c r="U521" s="227"/>
      <c r="V521" s="227"/>
      <c r="W521" s="227"/>
      <c r="X521" s="227"/>
      <c r="Y521" s="227"/>
      <c r="Z521" s="227"/>
      <c r="AA521" s="227"/>
      <c r="AB521" s="227"/>
      <c r="AC521" s="227"/>
      <c r="AD521" s="227"/>
      <c r="AE521" s="227"/>
    </row>
    <row r="522" ht="15.75" customHeight="1">
      <c r="A522" s="227"/>
      <c r="B522" s="227"/>
      <c r="C522" s="227"/>
      <c r="D522" s="227"/>
      <c r="E522" s="227"/>
      <c r="F522" s="227"/>
      <c r="G522" s="227"/>
      <c r="H522" s="227"/>
      <c r="I522" s="227"/>
      <c r="J522" s="227"/>
      <c r="K522" s="227"/>
      <c r="L522" s="227"/>
      <c r="M522" s="227"/>
      <c r="N522" s="227"/>
      <c r="O522" s="227"/>
      <c r="P522" s="227"/>
      <c r="Q522" s="227"/>
      <c r="R522" s="227"/>
      <c r="S522" s="227"/>
      <c r="T522" s="227"/>
      <c r="U522" s="227"/>
      <c r="V522" s="227"/>
      <c r="W522" s="227"/>
      <c r="X522" s="227"/>
      <c r="Y522" s="227"/>
      <c r="Z522" s="227"/>
      <c r="AA522" s="227"/>
      <c r="AB522" s="227"/>
      <c r="AC522" s="227"/>
      <c r="AD522" s="227"/>
      <c r="AE522" s="227"/>
    </row>
    <row r="523" ht="15.75" customHeight="1">
      <c r="A523" s="227"/>
      <c r="B523" s="227"/>
      <c r="C523" s="227"/>
      <c r="D523" s="227"/>
      <c r="E523" s="227"/>
      <c r="F523" s="227"/>
      <c r="G523" s="227"/>
      <c r="H523" s="227"/>
      <c r="I523" s="227"/>
      <c r="J523" s="227"/>
      <c r="K523" s="227"/>
      <c r="L523" s="227"/>
      <c r="M523" s="227"/>
      <c r="N523" s="227"/>
      <c r="O523" s="227"/>
      <c r="P523" s="227"/>
      <c r="Q523" s="227"/>
      <c r="R523" s="227"/>
      <c r="S523" s="227"/>
      <c r="T523" s="227"/>
      <c r="U523" s="227"/>
      <c r="V523" s="227"/>
      <c r="W523" s="227"/>
      <c r="X523" s="227"/>
      <c r="Y523" s="227"/>
      <c r="Z523" s="227"/>
      <c r="AA523" s="227"/>
      <c r="AB523" s="227"/>
      <c r="AC523" s="227"/>
      <c r="AD523" s="227"/>
      <c r="AE523" s="227"/>
    </row>
    <row r="524" ht="15.75" customHeight="1">
      <c r="A524" s="227"/>
      <c r="B524" s="227"/>
      <c r="C524" s="227"/>
      <c r="D524" s="227"/>
      <c r="E524" s="227"/>
      <c r="F524" s="227"/>
      <c r="G524" s="227"/>
      <c r="H524" s="227"/>
      <c r="I524" s="227"/>
      <c r="J524" s="227"/>
      <c r="K524" s="227"/>
      <c r="L524" s="227"/>
      <c r="M524" s="227"/>
      <c r="N524" s="227"/>
      <c r="O524" s="227"/>
      <c r="P524" s="227"/>
      <c r="Q524" s="227"/>
      <c r="R524" s="227"/>
      <c r="S524" s="227"/>
      <c r="T524" s="227"/>
      <c r="U524" s="227"/>
      <c r="V524" s="227"/>
      <c r="W524" s="227"/>
      <c r="X524" s="227"/>
      <c r="Y524" s="227"/>
      <c r="Z524" s="227"/>
      <c r="AA524" s="227"/>
      <c r="AB524" s="227"/>
      <c r="AC524" s="227"/>
      <c r="AD524" s="227"/>
      <c r="AE524" s="227"/>
    </row>
    <row r="525" ht="15.75" customHeight="1">
      <c r="A525" s="227"/>
      <c r="B525" s="227"/>
      <c r="C525" s="227"/>
      <c r="D525" s="227"/>
      <c r="E525" s="227"/>
      <c r="F525" s="227"/>
      <c r="G525" s="227"/>
      <c r="H525" s="227"/>
      <c r="I525" s="227"/>
      <c r="J525" s="227"/>
      <c r="K525" s="227"/>
      <c r="L525" s="227"/>
      <c r="M525" s="227"/>
      <c r="N525" s="227"/>
      <c r="O525" s="227"/>
      <c r="P525" s="227"/>
      <c r="Q525" s="227"/>
      <c r="R525" s="227"/>
      <c r="S525" s="227"/>
      <c r="T525" s="227"/>
      <c r="U525" s="227"/>
      <c r="V525" s="227"/>
      <c r="W525" s="227"/>
      <c r="X525" s="227"/>
      <c r="Y525" s="227"/>
      <c r="Z525" s="227"/>
      <c r="AA525" s="227"/>
      <c r="AB525" s="227"/>
      <c r="AC525" s="227"/>
      <c r="AD525" s="227"/>
      <c r="AE525" s="227"/>
    </row>
    <row r="526" ht="15.75" customHeight="1">
      <c r="A526" s="227"/>
      <c r="B526" s="227"/>
      <c r="C526" s="227"/>
      <c r="D526" s="227"/>
      <c r="E526" s="227"/>
      <c r="F526" s="227"/>
      <c r="G526" s="227"/>
      <c r="H526" s="227"/>
      <c r="I526" s="227"/>
      <c r="J526" s="227"/>
      <c r="K526" s="227"/>
      <c r="L526" s="227"/>
      <c r="M526" s="227"/>
      <c r="N526" s="227"/>
      <c r="O526" s="227"/>
      <c r="P526" s="227"/>
      <c r="Q526" s="227"/>
      <c r="R526" s="227"/>
      <c r="S526" s="227"/>
      <c r="T526" s="227"/>
      <c r="U526" s="227"/>
      <c r="V526" s="227"/>
      <c r="W526" s="227"/>
      <c r="X526" s="227"/>
      <c r="Y526" s="227"/>
      <c r="Z526" s="227"/>
      <c r="AA526" s="227"/>
      <c r="AB526" s="227"/>
      <c r="AC526" s="227"/>
      <c r="AD526" s="227"/>
      <c r="AE526" s="227"/>
    </row>
    <row r="527" ht="15.75" customHeight="1">
      <c r="A527" s="227"/>
      <c r="B527" s="227"/>
      <c r="C527" s="227"/>
      <c r="D527" s="227"/>
      <c r="E527" s="227"/>
      <c r="F527" s="227"/>
      <c r="G527" s="227"/>
      <c r="H527" s="227"/>
      <c r="I527" s="227"/>
      <c r="J527" s="227"/>
      <c r="K527" s="227"/>
      <c r="L527" s="227"/>
      <c r="M527" s="227"/>
      <c r="N527" s="227"/>
      <c r="O527" s="227"/>
      <c r="P527" s="227"/>
      <c r="Q527" s="227"/>
      <c r="R527" s="227"/>
      <c r="S527" s="227"/>
      <c r="T527" s="227"/>
      <c r="U527" s="227"/>
      <c r="V527" s="227"/>
      <c r="W527" s="227"/>
      <c r="X527" s="227"/>
      <c r="Y527" s="227"/>
      <c r="Z527" s="227"/>
      <c r="AA527" s="227"/>
      <c r="AB527" s="227"/>
      <c r="AC527" s="227"/>
      <c r="AD527" s="227"/>
      <c r="AE527" s="227"/>
    </row>
    <row r="528" ht="15.75" customHeight="1">
      <c r="A528" s="227"/>
      <c r="B528" s="227"/>
      <c r="C528" s="227"/>
      <c r="D528" s="227"/>
      <c r="E528" s="227"/>
      <c r="F528" s="227"/>
      <c r="G528" s="227"/>
      <c r="H528" s="227"/>
      <c r="I528" s="227"/>
      <c r="J528" s="227"/>
      <c r="K528" s="227"/>
      <c r="L528" s="227"/>
      <c r="M528" s="227"/>
      <c r="N528" s="227"/>
      <c r="O528" s="227"/>
      <c r="P528" s="227"/>
      <c r="Q528" s="227"/>
      <c r="R528" s="227"/>
      <c r="S528" s="227"/>
      <c r="T528" s="227"/>
      <c r="U528" s="227"/>
      <c r="V528" s="227"/>
      <c r="W528" s="227"/>
      <c r="X528" s="227"/>
      <c r="Y528" s="227"/>
      <c r="Z528" s="227"/>
      <c r="AA528" s="227"/>
      <c r="AB528" s="227"/>
      <c r="AC528" s="227"/>
      <c r="AD528" s="227"/>
      <c r="AE528" s="227"/>
    </row>
    <row r="529" ht="15.75" customHeight="1">
      <c r="A529" s="227"/>
      <c r="B529" s="227"/>
      <c r="C529" s="227"/>
      <c r="D529" s="227"/>
      <c r="E529" s="227"/>
      <c r="F529" s="227"/>
      <c r="G529" s="227"/>
      <c r="H529" s="227"/>
      <c r="I529" s="227"/>
      <c r="J529" s="227"/>
      <c r="K529" s="227"/>
      <c r="L529" s="227"/>
      <c r="M529" s="227"/>
      <c r="N529" s="227"/>
      <c r="O529" s="227"/>
      <c r="P529" s="227"/>
      <c r="Q529" s="227"/>
      <c r="R529" s="227"/>
      <c r="S529" s="227"/>
      <c r="T529" s="227"/>
      <c r="U529" s="227"/>
      <c r="V529" s="227"/>
      <c r="W529" s="227"/>
      <c r="X529" s="227"/>
      <c r="Y529" s="227"/>
      <c r="Z529" s="227"/>
      <c r="AA529" s="227"/>
      <c r="AB529" s="227"/>
      <c r="AC529" s="227"/>
      <c r="AD529" s="227"/>
      <c r="AE529" s="227"/>
    </row>
    <row r="530" ht="15.75" customHeight="1">
      <c r="A530" s="227"/>
      <c r="B530" s="227"/>
      <c r="C530" s="227"/>
      <c r="D530" s="227"/>
      <c r="E530" s="227"/>
      <c r="F530" s="227"/>
      <c r="G530" s="227"/>
      <c r="H530" s="227"/>
      <c r="I530" s="227"/>
      <c r="J530" s="227"/>
      <c r="K530" s="227"/>
      <c r="L530" s="227"/>
      <c r="M530" s="227"/>
      <c r="N530" s="227"/>
      <c r="O530" s="227"/>
      <c r="P530" s="227"/>
      <c r="Q530" s="227"/>
      <c r="R530" s="227"/>
      <c r="S530" s="227"/>
      <c r="T530" s="227"/>
      <c r="U530" s="227"/>
      <c r="V530" s="227"/>
      <c r="W530" s="227"/>
      <c r="X530" s="227"/>
      <c r="Y530" s="227"/>
      <c r="Z530" s="227"/>
      <c r="AA530" s="227"/>
      <c r="AB530" s="227"/>
      <c r="AC530" s="227"/>
      <c r="AD530" s="227"/>
      <c r="AE530" s="227"/>
    </row>
    <row r="531" ht="15.75" customHeight="1">
      <c r="A531" s="227"/>
      <c r="B531" s="227"/>
      <c r="C531" s="227"/>
      <c r="D531" s="227"/>
      <c r="E531" s="227"/>
      <c r="F531" s="227"/>
      <c r="G531" s="227"/>
      <c r="H531" s="227"/>
      <c r="I531" s="227"/>
      <c r="J531" s="227"/>
      <c r="K531" s="227"/>
      <c r="L531" s="227"/>
      <c r="M531" s="227"/>
      <c r="N531" s="227"/>
      <c r="O531" s="227"/>
      <c r="P531" s="227"/>
      <c r="Q531" s="227"/>
      <c r="R531" s="227"/>
      <c r="S531" s="227"/>
      <c r="T531" s="227"/>
      <c r="U531" s="227"/>
      <c r="V531" s="227"/>
      <c r="W531" s="227"/>
      <c r="X531" s="227"/>
      <c r="Y531" s="227"/>
      <c r="Z531" s="227"/>
      <c r="AA531" s="227"/>
      <c r="AB531" s="227"/>
      <c r="AC531" s="227"/>
      <c r="AD531" s="227"/>
      <c r="AE531" s="227"/>
    </row>
    <row r="532" ht="15.75" customHeight="1">
      <c r="A532" s="227"/>
      <c r="B532" s="227"/>
      <c r="C532" s="227"/>
      <c r="D532" s="227"/>
      <c r="E532" s="227"/>
      <c r="F532" s="227"/>
      <c r="G532" s="227"/>
      <c r="H532" s="227"/>
      <c r="I532" s="227"/>
      <c r="J532" s="227"/>
      <c r="K532" s="227"/>
      <c r="L532" s="227"/>
      <c r="M532" s="227"/>
      <c r="N532" s="227"/>
      <c r="O532" s="227"/>
      <c r="P532" s="227"/>
      <c r="Q532" s="227"/>
      <c r="R532" s="227"/>
      <c r="S532" s="227"/>
      <c r="T532" s="227"/>
      <c r="U532" s="227"/>
      <c r="V532" s="227"/>
      <c r="W532" s="227"/>
      <c r="X532" s="227"/>
      <c r="Y532" s="227"/>
      <c r="Z532" s="227"/>
      <c r="AA532" s="227"/>
      <c r="AB532" s="227"/>
      <c r="AC532" s="227"/>
      <c r="AD532" s="227"/>
      <c r="AE532" s="227"/>
    </row>
    <row r="533" ht="15.75" customHeight="1">
      <c r="A533" s="227"/>
      <c r="B533" s="227"/>
      <c r="C533" s="227"/>
      <c r="D533" s="227"/>
      <c r="E533" s="227"/>
      <c r="F533" s="227"/>
      <c r="G533" s="227"/>
      <c r="H533" s="227"/>
      <c r="I533" s="227"/>
      <c r="J533" s="227"/>
      <c r="K533" s="227"/>
      <c r="L533" s="227"/>
      <c r="M533" s="227"/>
      <c r="N533" s="227"/>
      <c r="O533" s="227"/>
      <c r="P533" s="227"/>
      <c r="Q533" s="227"/>
      <c r="R533" s="227"/>
      <c r="S533" s="227"/>
      <c r="T533" s="227"/>
      <c r="U533" s="227"/>
      <c r="V533" s="227"/>
      <c r="W533" s="227"/>
      <c r="X533" s="227"/>
      <c r="Y533" s="227"/>
      <c r="Z533" s="227"/>
      <c r="AA533" s="227"/>
      <c r="AB533" s="227"/>
      <c r="AC533" s="227"/>
      <c r="AD533" s="227"/>
      <c r="AE533" s="227"/>
    </row>
    <row r="534" ht="15.75" customHeight="1">
      <c r="A534" s="227"/>
      <c r="B534" s="227"/>
      <c r="C534" s="227"/>
      <c r="D534" s="227"/>
      <c r="E534" s="227"/>
      <c r="F534" s="227"/>
      <c r="G534" s="227"/>
      <c r="H534" s="227"/>
      <c r="I534" s="227"/>
      <c r="J534" s="227"/>
      <c r="K534" s="227"/>
      <c r="L534" s="227"/>
      <c r="M534" s="227"/>
      <c r="N534" s="227"/>
      <c r="O534" s="227"/>
      <c r="P534" s="227"/>
      <c r="Q534" s="227"/>
      <c r="R534" s="227"/>
      <c r="S534" s="227"/>
      <c r="T534" s="227"/>
      <c r="U534" s="227"/>
      <c r="V534" s="227"/>
      <c r="W534" s="227"/>
      <c r="X534" s="227"/>
      <c r="Y534" s="227"/>
      <c r="Z534" s="227"/>
      <c r="AA534" s="227"/>
      <c r="AB534" s="227"/>
      <c r="AC534" s="227"/>
      <c r="AD534" s="227"/>
      <c r="AE534" s="227"/>
    </row>
    <row r="535" ht="15.75" customHeight="1">
      <c r="A535" s="227"/>
      <c r="B535" s="227"/>
      <c r="C535" s="227"/>
      <c r="D535" s="227"/>
      <c r="E535" s="227"/>
      <c r="F535" s="227"/>
      <c r="G535" s="227"/>
      <c r="H535" s="227"/>
      <c r="I535" s="227"/>
      <c r="J535" s="227"/>
      <c r="K535" s="227"/>
      <c r="L535" s="227"/>
      <c r="M535" s="227"/>
      <c r="N535" s="227"/>
      <c r="O535" s="227"/>
      <c r="P535" s="227"/>
      <c r="Q535" s="227"/>
      <c r="R535" s="227"/>
      <c r="S535" s="227"/>
      <c r="T535" s="227"/>
      <c r="U535" s="227"/>
      <c r="V535" s="227"/>
      <c r="W535" s="227"/>
      <c r="X535" s="227"/>
      <c r="Y535" s="227"/>
      <c r="Z535" s="227"/>
      <c r="AA535" s="227"/>
      <c r="AB535" s="227"/>
      <c r="AC535" s="227"/>
      <c r="AD535" s="227"/>
      <c r="AE535" s="227"/>
    </row>
    <row r="536" ht="15.75" customHeight="1">
      <c r="A536" s="227"/>
      <c r="B536" s="227"/>
      <c r="C536" s="227"/>
      <c r="D536" s="227"/>
      <c r="E536" s="227"/>
      <c r="F536" s="227"/>
      <c r="G536" s="227"/>
      <c r="H536" s="227"/>
      <c r="I536" s="227"/>
      <c r="J536" s="227"/>
      <c r="K536" s="227"/>
      <c r="L536" s="227"/>
      <c r="M536" s="227"/>
      <c r="N536" s="227"/>
      <c r="O536" s="227"/>
      <c r="P536" s="227"/>
      <c r="Q536" s="227"/>
      <c r="R536" s="227"/>
      <c r="S536" s="227"/>
      <c r="T536" s="227"/>
      <c r="U536" s="227"/>
      <c r="V536" s="227"/>
      <c r="W536" s="227"/>
      <c r="X536" s="227"/>
      <c r="Y536" s="227"/>
      <c r="Z536" s="227"/>
      <c r="AA536" s="227"/>
      <c r="AB536" s="227"/>
      <c r="AC536" s="227"/>
      <c r="AD536" s="227"/>
      <c r="AE536" s="227"/>
    </row>
    <row r="537" ht="15.75" customHeight="1">
      <c r="A537" s="227"/>
      <c r="B537" s="227"/>
      <c r="C537" s="227"/>
      <c r="D537" s="227"/>
      <c r="E537" s="227"/>
      <c r="F537" s="227"/>
      <c r="G537" s="227"/>
      <c r="H537" s="227"/>
      <c r="I537" s="227"/>
      <c r="J537" s="227"/>
      <c r="K537" s="227"/>
      <c r="L537" s="227"/>
      <c r="M537" s="227"/>
      <c r="N537" s="227"/>
      <c r="O537" s="227"/>
      <c r="P537" s="227"/>
      <c r="Q537" s="227"/>
      <c r="R537" s="227"/>
      <c r="S537" s="227"/>
      <c r="T537" s="227"/>
      <c r="U537" s="227"/>
      <c r="V537" s="227"/>
      <c r="W537" s="227"/>
      <c r="X537" s="227"/>
      <c r="Y537" s="227"/>
      <c r="Z537" s="227"/>
      <c r="AA537" s="227"/>
      <c r="AB537" s="227"/>
      <c r="AC537" s="227"/>
      <c r="AD537" s="227"/>
      <c r="AE537" s="227"/>
    </row>
    <row r="538" ht="15.75" customHeight="1">
      <c r="A538" s="227"/>
      <c r="B538" s="227"/>
      <c r="C538" s="227"/>
      <c r="D538" s="227"/>
      <c r="E538" s="227"/>
      <c r="F538" s="227"/>
      <c r="G538" s="227"/>
      <c r="H538" s="227"/>
      <c r="I538" s="227"/>
      <c r="J538" s="227"/>
      <c r="K538" s="227"/>
      <c r="L538" s="227"/>
      <c r="M538" s="227"/>
      <c r="N538" s="227"/>
      <c r="O538" s="227"/>
      <c r="P538" s="227"/>
      <c r="Q538" s="227"/>
      <c r="R538" s="227"/>
      <c r="S538" s="227"/>
      <c r="T538" s="227"/>
      <c r="U538" s="227"/>
      <c r="V538" s="227"/>
      <c r="W538" s="227"/>
      <c r="X538" s="227"/>
      <c r="Y538" s="227"/>
      <c r="Z538" s="227"/>
      <c r="AA538" s="227"/>
      <c r="AB538" s="227"/>
      <c r="AC538" s="227"/>
      <c r="AD538" s="227"/>
      <c r="AE538" s="227"/>
    </row>
    <row r="539" ht="15.75" customHeight="1">
      <c r="A539" s="227"/>
      <c r="B539" s="227"/>
      <c r="C539" s="227"/>
      <c r="D539" s="227"/>
      <c r="E539" s="227"/>
      <c r="F539" s="227"/>
      <c r="G539" s="227"/>
      <c r="H539" s="227"/>
      <c r="I539" s="227"/>
      <c r="J539" s="227"/>
      <c r="K539" s="227"/>
      <c r="L539" s="227"/>
      <c r="M539" s="227"/>
      <c r="N539" s="227"/>
      <c r="O539" s="227"/>
      <c r="P539" s="227"/>
      <c r="Q539" s="227"/>
      <c r="R539" s="227"/>
      <c r="S539" s="227"/>
      <c r="T539" s="227"/>
      <c r="U539" s="227"/>
      <c r="V539" s="227"/>
      <c r="W539" s="227"/>
      <c r="X539" s="227"/>
      <c r="Y539" s="227"/>
      <c r="Z539" s="227"/>
      <c r="AA539" s="227"/>
      <c r="AB539" s="227"/>
      <c r="AC539" s="227"/>
      <c r="AD539" s="227"/>
      <c r="AE539" s="227"/>
    </row>
    <row r="540" ht="15.75" customHeight="1">
      <c r="A540" s="227"/>
      <c r="B540" s="227"/>
      <c r="C540" s="227"/>
      <c r="D540" s="227"/>
      <c r="E540" s="227"/>
      <c r="F540" s="227"/>
      <c r="G540" s="227"/>
      <c r="H540" s="227"/>
      <c r="I540" s="227"/>
      <c r="J540" s="227"/>
      <c r="K540" s="227"/>
      <c r="L540" s="227"/>
      <c r="M540" s="227"/>
      <c r="N540" s="227"/>
      <c r="O540" s="227"/>
      <c r="P540" s="227"/>
      <c r="Q540" s="227"/>
      <c r="R540" s="227"/>
      <c r="S540" s="227"/>
      <c r="T540" s="227"/>
      <c r="U540" s="227"/>
      <c r="V540" s="227"/>
      <c r="W540" s="227"/>
      <c r="X540" s="227"/>
      <c r="Y540" s="227"/>
      <c r="Z540" s="227"/>
      <c r="AA540" s="227"/>
      <c r="AB540" s="227"/>
      <c r="AC540" s="227"/>
      <c r="AD540" s="227"/>
      <c r="AE540" s="227"/>
    </row>
    <row r="541" ht="15.75" customHeight="1">
      <c r="A541" s="227"/>
      <c r="B541" s="227"/>
      <c r="C541" s="227"/>
      <c r="D541" s="227"/>
      <c r="E541" s="227"/>
      <c r="F541" s="227"/>
      <c r="G541" s="227"/>
      <c r="H541" s="227"/>
      <c r="I541" s="227"/>
      <c r="J541" s="227"/>
      <c r="K541" s="227"/>
      <c r="L541" s="227"/>
      <c r="M541" s="227"/>
      <c r="N541" s="227"/>
      <c r="O541" s="227"/>
      <c r="P541" s="227"/>
      <c r="Q541" s="227"/>
      <c r="R541" s="227"/>
      <c r="S541" s="227"/>
      <c r="T541" s="227"/>
      <c r="U541" s="227"/>
      <c r="V541" s="227"/>
      <c r="W541" s="227"/>
      <c r="X541" s="227"/>
      <c r="Y541" s="227"/>
      <c r="Z541" s="227"/>
      <c r="AA541" s="227"/>
      <c r="AB541" s="227"/>
      <c r="AC541" s="227"/>
      <c r="AD541" s="227"/>
      <c r="AE541" s="227"/>
    </row>
    <row r="542" ht="15.75" customHeight="1">
      <c r="A542" s="227"/>
      <c r="B542" s="227"/>
      <c r="C542" s="227"/>
      <c r="D542" s="227"/>
      <c r="E542" s="227"/>
      <c r="F542" s="227"/>
      <c r="G542" s="227"/>
      <c r="H542" s="227"/>
      <c r="I542" s="227"/>
      <c r="J542" s="227"/>
      <c r="K542" s="227"/>
      <c r="L542" s="227"/>
      <c r="M542" s="227"/>
      <c r="N542" s="227"/>
      <c r="O542" s="227"/>
      <c r="P542" s="227"/>
      <c r="Q542" s="227"/>
      <c r="R542" s="227"/>
      <c r="S542" s="227"/>
      <c r="T542" s="227"/>
      <c r="U542" s="227"/>
      <c r="V542" s="227"/>
      <c r="W542" s="227"/>
      <c r="X542" s="227"/>
      <c r="Y542" s="227"/>
      <c r="Z542" s="227"/>
      <c r="AA542" s="227"/>
      <c r="AB542" s="227"/>
      <c r="AC542" s="227"/>
      <c r="AD542" s="227"/>
      <c r="AE542" s="227"/>
    </row>
    <row r="543" ht="15.75" customHeight="1">
      <c r="A543" s="227"/>
      <c r="B543" s="227"/>
      <c r="C543" s="227"/>
      <c r="D543" s="227"/>
      <c r="E543" s="227"/>
      <c r="F543" s="227"/>
      <c r="G543" s="227"/>
      <c r="H543" s="227"/>
      <c r="I543" s="227"/>
      <c r="J543" s="227"/>
      <c r="K543" s="227"/>
      <c r="L543" s="227"/>
      <c r="M543" s="227"/>
      <c r="N543" s="227"/>
      <c r="O543" s="227"/>
      <c r="P543" s="227"/>
      <c r="Q543" s="227"/>
      <c r="R543" s="227"/>
      <c r="S543" s="227"/>
      <c r="T543" s="227"/>
      <c r="U543" s="227"/>
      <c r="V543" s="227"/>
      <c r="W543" s="227"/>
      <c r="X543" s="227"/>
      <c r="Y543" s="227"/>
      <c r="Z543" s="227"/>
      <c r="AA543" s="227"/>
      <c r="AB543" s="227"/>
      <c r="AC543" s="227"/>
      <c r="AD543" s="227"/>
      <c r="AE543" s="227"/>
    </row>
    <row r="544" ht="15.75" customHeight="1">
      <c r="A544" s="227"/>
      <c r="B544" s="227"/>
      <c r="C544" s="227"/>
      <c r="D544" s="227"/>
      <c r="E544" s="227"/>
      <c r="F544" s="227"/>
      <c r="G544" s="227"/>
      <c r="H544" s="227"/>
      <c r="I544" s="227"/>
      <c r="J544" s="227"/>
      <c r="K544" s="227"/>
      <c r="L544" s="227"/>
      <c r="M544" s="227"/>
      <c r="N544" s="227"/>
      <c r="O544" s="227"/>
      <c r="P544" s="227"/>
      <c r="Q544" s="227"/>
      <c r="R544" s="227"/>
      <c r="S544" s="227"/>
      <c r="T544" s="227"/>
      <c r="U544" s="227"/>
      <c r="V544" s="227"/>
      <c r="W544" s="227"/>
      <c r="X544" s="227"/>
      <c r="Y544" s="227"/>
      <c r="Z544" s="227"/>
      <c r="AA544" s="227"/>
      <c r="AB544" s="227"/>
      <c r="AC544" s="227"/>
      <c r="AD544" s="227"/>
      <c r="AE544" s="227"/>
    </row>
    <row r="545" ht="15.75" customHeight="1">
      <c r="A545" s="227"/>
      <c r="B545" s="227"/>
      <c r="C545" s="227"/>
      <c r="D545" s="227"/>
      <c r="E545" s="227"/>
      <c r="F545" s="227"/>
      <c r="G545" s="227"/>
      <c r="H545" s="227"/>
      <c r="I545" s="227"/>
      <c r="J545" s="227"/>
      <c r="K545" s="227"/>
      <c r="L545" s="227"/>
      <c r="M545" s="227"/>
      <c r="N545" s="227"/>
      <c r="O545" s="227"/>
      <c r="P545" s="227"/>
      <c r="Q545" s="227"/>
      <c r="R545" s="227"/>
      <c r="S545" s="227"/>
      <c r="T545" s="227"/>
      <c r="U545" s="227"/>
      <c r="V545" s="227"/>
      <c r="W545" s="227"/>
      <c r="X545" s="227"/>
      <c r="Y545" s="227"/>
      <c r="Z545" s="227"/>
      <c r="AA545" s="227"/>
      <c r="AB545" s="227"/>
      <c r="AC545" s="227"/>
      <c r="AD545" s="227"/>
      <c r="AE545" s="227"/>
    </row>
    <row r="546" ht="15.75" customHeight="1">
      <c r="A546" s="227"/>
      <c r="B546" s="227"/>
      <c r="C546" s="227"/>
      <c r="D546" s="227"/>
      <c r="E546" s="227"/>
      <c r="F546" s="227"/>
      <c r="G546" s="227"/>
      <c r="H546" s="227"/>
      <c r="I546" s="227"/>
      <c r="J546" s="227"/>
      <c r="K546" s="227"/>
      <c r="L546" s="227"/>
      <c r="M546" s="227"/>
      <c r="N546" s="227"/>
      <c r="O546" s="227"/>
      <c r="P546" s="227"/>
      <c r="Q546" s="227"/>
      <c r="R546" s="227"/>
      <c r="S546" s="227"/>
      <c r="T546" s="227"/>
      <c r="U546" s="227"/>
      <c r="V546" s="227"/>
      <c r="W546" s="227"/>
      <c r="X546" s="227"/>
      <c r="Y546" s="227"/>
      <c r="Z546" s="227"/>
      <c r="AA546" s="227"/>
      <c r="AB546" s="227"/>
      <c r="AC546" s="227"/>
      <c r="AD546" s="227"/>
      <c r="AE546" s="227"/>
    </row>
    <row r="547" ht="15.75" customHeight="1">
      <c r="A547" s="227"/>
      <c r="B547" s="227"/>
      <c r="C547" s="227"/>
      <c r="D547" s="227"/>
      <c r="E547" s="227"/>
      <c r="F547" s="227"/>
      <c r="G547" s="227"/>
      <c r="H547" s="227"/>
      <c r="I547" s="227"/>
      <c r="J547" s="227"/>
      <c r="K547" s="227"/>
      <c r="L547" s="227"/>
      <c r="M547" s="227"/>
      <c r="N547" s="227"/>
      <c r="O547" s="227"/>
      <c r="P547" s="227"/>
      <c r="Q547" s="227"/>
      <c r="R547" s="227"/>
      <c r="S547" s="227"/>
      <c r="T547" s="227"/>
      <c r="U547" s="227"/>
      <c r="V547" s="227"/>
      <c r="W547" s="227"/>
      <c r="X547" s="227"/>
      <c r="Y547" s="227"/>
      <c r="Z547" s="227"/>
      <c r="AA547" s="227"/>
      <c r="AB547" s="227"/>
      <c r="AC547" s="227"/>
      <c r="AD547" s="227"/>
      <c r="AE547" s="227"/>
    </row>
    <row r="548" ht="15.75" customHeight="1">
      <c r="A548" s="227"/>
      <c r="B548" s="227"/>
      <c r="C548" s="227"/>
      <c r="D548" s="227"/>
      <c r="E548" s="227"/>
      <c r="F548" s="227"/>
      <c r="G548" s="227"/>
      <c r="H548" s="227"/>
      <c r="I548" s="227"/>
      <c r="J548" s="227"/>
      <c r="K548" s="227"/>
      <c r="L548" s="227"/>
      <c r="M548" s="227"/>
      <c r="N548" s="227"/>
      <c r="O548" s="227"/>
      <c r="P548" s="227"/>
      <c r="Q548" s="227"/>
      <c r="R548" s="227"/>
      <c r="S548" s="227"/>
      <c r="T548" s="227"/>
      <c r="U548" s="227"/>
      <c r="V548" s="227"/>
      <c r="W548" s="227"/>
      <c r="X548" s="227"/>
      <c r="Y548" s="227"/>
      <c r="Z548" s="227"/>
      <c r="AA548" s="227"/>
      <c r="AB548" s="227"/>
      <c r="AC548" s="227"/>
      <c r="AD548" s="227"/>
      <c r="AE548" s="227"/>
    </row>
    <row r="549" ht="15.75" customHeight="1">
      <c r="A549" s="227"/>
      <c r="B549" s="227"/>
      <c r="C549" s="227"/>
      <c r="D549" s="227"/>
      <c r="E549" s="227"/>
      <c r="F549" s="227"/>
      <c r="G549" s="227"/>
      <c r="H549" s="227"/>
      <c r="I549" s="227"/>
      <c r="J549" s="227"/>
      <c r="K549" s="227"/>
      <c r="L549" s="227"/>
      <c r="M549" s="227"/>
      <c r="N549" s="227"/>
      <c r="O549" s="227"/>
      <c r="P549" s="227"/>
      <c r="Q549" s="227"/>
      <c r="R549" s="227"/>
      <c r="S549" s="227"/>
      <c r="T549" s="227"/>
      <c r="U549" s="227"/>
      <c r="V549" s="227"/>
      <c r="W549" s="227"/>
      <c r="X549" s="227"/>
      <c r="Y549" s="227"/>
      <c r="Z549" s="227"/>
      <c r="AA549" s="227"/>
      <c r="AB549" s="227"/>
      <c r="AC549" s="227"/>
      <c r="AD549" s="227"/>
      <c r="AE549" s="227"/>
    </row>
    <row r="550" ht="15.75" customHeight="1">
      <c r="A550" s="227"/>
      <c r="B550" s="227"/>
      <c r="C550" s="227"/>
      <c r="D550" s="227"/>
      <c r="E550" s="227"/>
      <c r="F550" s="227"/>
      <c r="G550" s="227"/>
      <c r="H550" s="227"/>
      <c r="I550" s="227"/>
      <c r="J550" s="227"/>
      <c r="K550" s="227"/>
      <c r="L550" s="227"/>
      <c r="M550" s="227"/>
      <c r="N550" s="227"/>
      <c r="O550" s="227"/>
      <c r="P550" s="227"/>
      <c r="Q550" s="227"/>
      <c r="R550" s="227"/>
      <c r="S550" s="227"/>
      <c r="T550" s="227"/>
      <c r="U550" s="227"/>
      <c r="V550" s="227"/>
      <c r="W550" s="227"/>
      <c r="X550" s="227"/>
      <c r="Y550" s="227"/>
      <c r="Z550" s="227"/>
      <c r="AA550" s="227"/>
      <c r="AB550" s="227"/>
      <c r="AC550" s="227"/>
      <c r="AD550" s="227"/>
      <c r="AE550" s="227"/>
    </row>
    <row r="551" ht="15.75" customHeight="1">
      <c r="A551" s="227"/>
      <c r="B551" s="227"/>
      <c r="C551" s="227"/>
      <c r="D551" s="227"/>
      <c r="E551" s="227"/>
      <c r="F551" s="227"/>
      <c r="G551" s="227"/>
      <c r="H551" s="227"/>
      <c r="I551" s="227"/>
      <c r="J551" s="227"/>
      <c r="K551" s="227"/>
      <c r="L551" s="227"/>
      <c r="M551" s="227"/>
      <c r="N551" s="227"/>
      <c r="O551" s="227"/>
      <c r="P551" s="227"/>
      <c r="Q551" s="227"/>
      <c r="R551" s="227"/>
      <c r="S551" s="227"/>
      <c r="T551" s="227"/>
      <c r="U551" s="227"/>
      <c r="V551" s="227"/>
      <c r="W551" s="227"/>
      <c r="X551" s="227"/>
      <c r="Y551" s="227"/>
      <c r="Z551" s="227"/>
      <c r="AA551" s="227"/>
      <c r="AB551" s="227"/>
      <c r="AC551" s="227"/>
      <c r="AD551" s="227"/>
      <c r="AE551" s="227"/>
    </row>
    <row r="552" ht="15.75" customHeight="1">
      <c r="A552" s="227"/>
      <c r="B552" s="227"/>
      <c r="C552" s="227"/>
      <c r="D552" s="227"/>
      <c r="E552" s="227"/>
      <c r="F552" s="227"/>
      <c r="G552" s="227"/>
      <c r="H552" s="227"/>
      <c r="I552" s="227"/>
      <c r="J552" s="227"/>
      <c r="K552" s="227"/>
      <c r="L552" s="227"/>
      <c r="M552" s="227"/>
      <c r="N552" s="227"/>
      <c r="O552" s="227"/>
      <c r="P552" s="227"/>
      <c r="Q552" s="227"/>
      <c r="R552" s="227"/>
      <c r="S552" s="227"/>
      <c r="T552" s="227"/>
      <c r="U552" s="227"/>
      <c r="V552" s="227"/>
      <c r="W552" s="227"/>
      <c r="X552" s="227"/>
      <c r="Y552" s="227"/>
      <c r="Z552" s="227"/>
      <c r="AA552" s="227"/>
      <c r="AB552" s="227"/>
      <c r="AC552" s="227"/>
      <c r="AD552" s="227"/>
      <c r="AE552" s="227"/>
    </row>
    <row r="553" ht="15.75" customHeight="1">
      <c r="A553" s="227"/>
      <c r="B553" s="227"/>
      <c r="C553" s="227"/>
      <c r="D553" s="227"/>
      <c r="E553" s="227"/>
      <c r="F553" s="227"/>
      <c r="G553" s="227"/>
      <c r="H553" s="227"/>
      <c r="I553" s="227"/>
      <c r="J553" s="227"/>
      <c r="K553" s="227"/>
      <c r="L553" s="227"/>
      <c r="M553" s="227"/>
      <c r="N553" s="227"/>
      <c r="O553" s="227"/>
      <c r="P553" s="227"/>
      <c r="Q553" s="227"/>
      <c r="R553" s="227"/>
      <c r="S553" s="227"/>
      <c r="T553" s="227"/>
      <c r="U553" s="227"/>
      <c r="V553" s="227"/>
      <c r="W553" s="227"/>
      <c r="X553" s="227"/>
      <c r="Y553" s="227"/>
      <c r="Z553" s="227"/>
      <c r="AA553" s="227"/>
      <c r="AB553" s="227"/>
      <c r="AC553" s="227"/>
      <c r="AD553" s="227"/>
      <c r="AE553" s="227"/>
    </row>
    <row r="554" ht="15.75" customHeight="1">
      <c r="A554" s="227"/>
      <c r="B554" s="227"/>
      <c r="C554" s="227"/>
      <c r="D554" s="227"/>
      <c r="E554" s="227"/>
      <c r="F554" s="227"/>
      <c r="G554" s="227"/>
      <c r="H554" s="227"/>
      <c r="I554" s="227"/>
      <c r="J554" s="227"/>
      <c r="K554" s="227"/>
      <c r="L554" s="227"/>
      <c r="M554" s="227"/>
      <c r="N554" s="227"/>
      <c r="O554" s="227"/>
      <c r="P554" s="227"/>
      <c r="Q554" s="227"/>
      <c r="R554" s="227"/>
      <c r="S554" s="227"/>
      <c r="T554" s="227"/>
      <c r="U554" s="227"/>
      <c r="V554" s="227"/>
      <c r="W554" s="227"/>
      <c r="X554" s="227"/>
      <c r="Y554" s="227"/>
      <c r="Z554" s="227"/>
      <c r="AA554" s="227"/>
      <c r="AB554" s="227"/>
      <c r="AC554" s="227"/>
      <c r="AD554" s="227"/>
      <c r="AE554" s="227"/>
    </row>
    <row r="555" ht="15.75" customHeight="1">
      <c r="A555" s="227"/>
      <c r="B555" s="227"/>
      <c r="C555" s="227"/>
      <c r="D555" s="227"/>
      <c r="E555" s="227"/>
      <c r="F555" s="227"/>
      <c r="G555" s="227"/>
      <c r="H555" s="227"/>
      <c r="I555" s="227"/>
      <c r="J555" s="227"/>
      <c r="K555" s="227"/>
      <c r="L555" s="227"/>
      <c r="M555" s="227"/>
      <c r="N555" s="227"/>
      <c r="O555" s="227"/>
      <c r="P555" s="227"/>
      <c r="Q555" s="227"/>
      <c r="R555" s="227"/>
      <c r="S555" s="227"/>
      <c r="T555" s="227"/>
      <c r="U555" s="227"/>
      <c r="V555" s="227"/>
      <c r="W555" s="227"/>
      <c r="X555" s="227"/>
      <c r="Y555" s="227"/>
      <c r="Z555" s="227"/>
      <c r="AA555" s="227"/>
      <c r="AB555" s="227"/>
      <c r="AC555" s="227"/>
      <c r="AD555" s="227"/>
      <c r="AE555" s="227"/>
    </row>
    <row r="556" ht="15.75" customHeight="1">
      <c r="A556" s="227"/>
      <c r="B556" s="227"/>
      <c r="C556" s="227"/>
      <c r="D556" s="227"/>
      <c r="E556" s="227"/>
      <c r="F556" s="227"/>
      <c r="G556" s="227"/>
      <c r="H556" s="227"/>
      <c r="I556" s="227"/>
      <c r="J556" s="227"/>
      <c r="K556" s="227"/>
      <c r="L556" s="227"/>
      <c r="M556" s="227"/>
      <c r="N556" s="227"/>
      <c r="O556" s="227"/>
      <c r="P556" s="227"/>
      <c r="Q556" s="227"/>
      <c r="R556" s="227"/>
      <c r="S556" s="227"/>
      <c r="T556" s="227"/>
      <c r="U556" s="227"/>
      <c r="V556" s="227"/>
      <c r="W556" s="227"/>
      <c r="X556" s="227"/>
      <c r="Y556" s="227"/>
      <c r="Z556" s="227"/>
      <c r="AA556" s="227"/>
      <c r="AB556" s="227"/>
      <c r="AC556" s="227"/>
      <c r="AD556" s="227"/>
      <c r="AE556" s="227"/>
    </row>
    <row r="557" ht="15.75" customHeight="1">
      <c r="A557" s="227"/>
      <c r="B557" s="227"/>
      <c r="C557" s="227"/>
      <c r="D557" s="227"/>
      <c r="E557" s="227"/>
      <c r="F557" s="227"/>
      <c r="G557" s="227"/>
      <c r="H557" s="227"/>
      <c r="I557" s="227"/>
      <c r="J557" s="227"/>
      <c r="K557" s="227"/>
      <c r="L557" s="227"/>
      <c r="M557" s="227"/>
      <c r="N557" s="227"/>
      <c r="O557" s="227"/>
      <c r="P557" s="227"/>
      <c r="Q557" s="227"/>
      <c r="R557" s="227"/>
      <c r="S557" s="227"/>
      <c r="T557" s="227"/>
      <c r="U557" s="227"/>
      <c r="V557" s="227"/>
      <c r="W557" s="227"/>
      <c r="X557" s="227"/>
      <c r="Y557" s="227"/>
      <c r="Z557" s="227"/>
      <c r="AA557" s="227"/>
      <c r="AB557" s="227"/>
      <c r="AC557" s="227"/>
      <c r="AD557" s="227"/>
      <c r="AE557" s="227"/>
    </row>
    <row r="558" ht="15.75" customHeight="1">
      <c r="A558" s="227"/>
      <c r="B558" s="227"/>
      <c r="C558" s="227"/>
      <c r="D558" s="227"/>
      <c r="E558" s="227"/>
      <c r="F558" s="227"/>
      <c r="G558" s="227"/>
      <c r="H558" s="227"/>
      <c r="I558" s="227"/>
      <c r="J558" s="227"/>
      <c r="K558" s="227"/>
      <c r="L558" s="227"/>
      <c r="M558" s="227"/>
      <c r="N558" s="227"/>
      <c r="O558" s="227"/>
      <c r="P558" s="227"/>
      <c r="Q558" s="227"/>
      <c r="R558" s="227"/>
      <c r="S558" s="227"/>
      <c r="T558" s="227"/>
      <c r="U558" s="227"/>
      <c r="V558" s="227"/>
      <c r="W558" s="227"/>
      <c r="X558" s="227"/>
      <c r="Y558" s="227"/>
      <c r="Z558" s="227"/>
      <c r="AA558" s="227"/>
      <c r="AB558" s="227"/>
      <c r="AC558" s="227"/>
      <c r="AD558" s="227"/>
      <c r="AE558" s="227"/>
    </row>
    <row r="559" ht="15.75" customHeight="1">
      <c r="A559" s="227"/>
      <c r="B559" s="227"/>
      <c r="C559" s="227"/>
      <c r="D559" s="227"/>
      <c r="E559" s="227"/>
      <c r="F559" s="227"/>
      <c r="G559" s="227"/>
      <c r="H559" s="227"/>
      <c r="I559" s="227"/>
      <c r="J559" s="227"/>
      <c r="K559" s="227"/>
      <c r="L559" s="227"/>
      <c r="M559" s="227"/>
      <c r="N559" s="227"/>
      <c r="O559" s="227"/>
      <c r="P559" s="227"/>
      <c r="Q559" s="227"/>
      <c r="R559" s="227"/>
      <c r="S559" s="227"/>
      <c r="T559" s="227"/>
      <c r="U559" s="227"/>
      <c r="V559" s="227"/>
      <c r="W559" s="227"/>
      <c r="X559" s="227"/>
      <c r="Y559" s="227"/>
      <c r="Z559" s="227"/>
      <c r="AA559" s="227"/>
      <c r="AB559" s="227"/>
      <c r="AC559" s="227"/>
      <c r="AD559" s="227"/>
      <c r="AE559" s="227"/>
    </row>
    <row r="560" ht="15.75" customHeight="1">
      <c r="A560" s="227"/>
      <c r="B560" s="227"/>
      <c r="C560" s="227"/>
      <c r="D560" s="227"/>
      <c r="E560" s="227"/>
      <c r="F560" s="227"/>
      <c r="G560" s="227"/>
      <c r="H560" s="227"/>
      <c r="I560" s="227"/>
      <c r="J560" s="227"/>
      <c r="K560" s="227"/>
      <c r="L560" s="227"/>
      <c r="M560" s="227"/>
      <c r="N560" s="227"/>
      <c r="O560" s="227"/>
      <c r="P560" s="227"/>
      <c r="Q560" s="227"/>
      <c r="R560" s="227"/>
      <c r="S560" s="227"/>
      <c r="T560" s="227"/>
      <c r="U560" s="227"/>
      <c r="V560" s="227"/>
      <c r="W560" s="227"/>
      <c r="X560" s="227"/>
      <c r="Y560" s="227"/>
      <c r="Z560" s="227"/>
      <c r="AA560" s="227"/>
      <c r="AB560" s="227"/>
      <c r="AC560" s="227"/>
      <c r="AD560" s="227"/>
      <c r="AE560" s="227"/>
    </row>
    <row r="561" ht="15.75" customHeight="1">
      <c r="A561" s="227"/>
      <c r="B561" s="227"/>
      <c r="C561" s="227"/>
      <c r="D561" s="227"/>
      <c r="E561" s="227"/>
      <c r="F561" s="227"/>
      <c r="G561" s="227"/>
      <c r="H561" s="227"/>
      <c r="I561" s="227"/>
      <c r="J561" s="227"/>
      <c r="K561" s="227"/>
      <c r="L561" s="227"/>
      <c r="M561" s="227"/>
      <c r="N561" s="227"/>
      <c r="O561" s="227"/>
      <c r="P561" s="227"/>
      <c r="Q561" s="227"/>
      <c r="R561" s="227"/>
      <c r="S561" s="227"/>
      <c r="T561" s="227"/>
      <c r="U561" s="227"/>
      <c r="V561" s="227"/>
      <c r="W561" s="227"/>
      <c r="X561" s="227"/>
      <c r="Y561" s="227"/>
      <c r="Z561" s="227"/>
      <c r="AA561" s="227"/>
      <c r="AB561" s="227"/>
      <c r="AC561" s="227"/>
      <c r="AD561" s="227"/>
      <c r="AE561" s="227"/>
    </row>
    <row r="562" ht="15.75" customHeight="1">
      <c r="A562" s="227"/>
      <c r="B562" s="227"/>
      <c r="C562" s="227"/>
      <c r="D562" s="227"/>
      <c r="E562" s="227"/>
      <c r="F562" s="227"/>
      <c r="G562" s="227"/>
      <c r="H562" s="227"/>
      <c r="I562" s="227"/>
      <c r="J562" s="227"/>
      <c r="K562" s="227"/>
      <c r="L562" s="227"/>
      <c r="M562" s="227"/>
      <c r="N562" s="227"/>
      <c r="O562" s="227"/>
      <c r="P562" s="227"/>
      <c r="Q562" s="227"/>
      <c r="R562" s="227"/>
      <c r="S562" s="227"/>
      <c r="T562" s="227"/>
      <c r="U562" s="227"/>
      <c r="V562" s="227"/>
      <c r="W562" s="227"/>
      <c r="X562" s="227"/>
      <c r="Y562" s="227"/>
      <c r="Z562" s="227"/>
      <c r="AA562" s="227"/>
      <c r="AB562" s="227"/>
      <c r="AC562" s="227"/>
      <c r="AD562" s="227"/>
      <c r="AE562" s="227"/>
    </row>
    <row r="563" ht="15.75" customHeight="1">
      <c r="A563" s="227"/>
      <c r="B563" s="227"/>
      <c r="C563" s="227"/>
      <c r="D563" s="227"/>
      <c r="E563" s="227"/>
      <c r="F563" s="227"/>
      <c r="G563" s="227"/>
      <c r="H563" s="227"/>
      <c r="I563" s="227"/>
      <c r="J563" s="227"/>
      <c r="K563" s="227"/>
      <c r="L563" s="227"/>
      <c r="M563" s="227"/>
      <c r="N563" s="227"/>
      <c r="O563" s="227"/>
      <c r="P563" s="227"/>
      <c r="Q563" s="227"/>
      <c r="R563" s="227"/>
      <c r="S563" s="227"/>
      <c r="T563" s="227"/>
      <c r="U563" s="227"/>
      <c r="V563" s="227"/>
      <c r="W563" s="227"/>
      <c r="X563" s="227"/>
      <c r="Y563" s="227"/>
      <c r="Z563" s="227"/>
      <c r="AA563" s="227"/>
      <c r="AB563" s="227"/>
      <c r="AC563" s="227"/>
      <c r="AD563" s="227"/>
      <c r="AE563" s="227"/>
    </row>
    <row r="564" ht="15.75" customHeight="1">
      <c r="A564" s="227"/>
      <c r="B564" s="227"/>
      <c r="C564" s="227"/>
      <c r="D564" s="227"/>
      <c r="E564" s="227"/>
      <c r="F564" s="227"/>
      <c r="G564" s="227"/>
      <c r="H564" s="227"/>
      <c r="I564" s="227"/>
      <c r="J564" s="227"/>
      <c r="K564" s="227"/>
      <c r="L564" s="227"/>
      <c r="M564" s="227"/>
      <c r="N564" s="227"/>
      <c r="O564" s="227"/>
      <c r="P564" s="227"/>
      <c r="Q564" s="227"/>
      <c r="R564" s="227"/>
      <c r="S564" s="227"/>
      <c r="T564" s="227"/>
      <c r="U564" s="227"/>
      <c r="V564" s="227"/>
      <c r="W564" s="227"/>
      <c r="X564" s="227"/>
      <c r="Y564" s="227"/>
      <c r="Z564" s="227"/>
      <c r="AA564" s="227"/>
      <c r="AB564" s="227"/>
      <c r="AC564" s="227"/>
      <c r="AD564" s="227"/>
      <c r="AE564" s="227"/>
    </row>
    <row r="565" ht="15.75" customHeight="1">
      <c r="A565" s="227"/>
      <c r="B565" s="227"/>
      <c r="C565" s="227"/>
      <c r="D565" s="227"/>
      <c r="E565" s="227"/>
      <c r="F565" s="227"/>
      <c r="G565" s="227"/>
      <c r="H565" s="227"/>
      <c r="I565" s="227"/>
      <c r="J565" s="227"/>
      <c r="K565" s="227"/>
      <c r="L565" s="227"/>
      <c r="M565" s="227"/>
      <c r="N565" s="227"/>
      <c r="O565" s="227"/>
      <c r="P565" s="227"/>
      <c r="Q565" s="227"/>
      <c r="R565" s="227"/>
      <c r="S565" s="227"/>
      <c r="T565" s="227"/>
      <c r="U565" s="227"/>
      <c r="V565" s="227"/>
      <c r="W565" s="227"/>
      <c r="X565" s="227"/>
      <c r="Y565" s="227"/>
      <c r="Z565" s="227"/>
      <c r="AA565" s="227"/>
      <c r="AB565" s="227"/>
      <c r="AC565" s="227"/>
      <c r="AD565" s="227"/>
      <c r="AE565" s="227"/>
    </row>
    <row r="566" ht="15.75" customHeight="1">
      <c r="A566" s="227"/>
      <c r="B566" s="227"/>
      <c r="C566" s="227"/>
      <c r="D566" s="227"/>
      <c r="E566" s="227"/>
      <c r="F566" s="227"/>
      <c r="G566" s="227"/>
      <c r="H566" s="227"/>
      <c r="I566" s="227"/>
      <c r="J566" s="227"/>
      <c r="K566" s="227"/>
      <c r="L566" s="227"/>
      <c r="M566" s="227"/>
      <c r="N566" s="227"/>
      <c r="O566" s="227"/>
      <c r="P566" s="227"/>
      <c r="Q566" s="227"/>
      <c r="R566" s="227"/>
      <c r="S566" s="227"/>
      <c r="T566" s="227"/>
      <c r="U566" s="227"/>
      <c r="V566" s="227"/>
      <c r="W566" s="227"/>
      <c r="X566" s="227"/>
      <c r="Y566" s="227"/>
      <c r="Z566" s="227"/>
      <c r="AA566" s="227"/>
      <c r="AB566" s="227"/>
      <c r="AC566" s="227"/>
      <c r="AD566" s="227"/>
      <c r="AE566" s="227"/>
    </row>
    <row r="567" ht="15.75" customHeight="1">
      <c r="A567" s="227"/>
      <c r="B567" s="227"/>
      <c r="C567" s="227"/>
      <c r="D567" s="227"/>
      <c r="E567" s="227"/>
      <c r="F567" s="227"/>
      <c r="G567" s="227"/>
      <c r="H567" s="227"/>
      <c r="I567" s="227"/>
      <c r="J567" s="227"/>
      <c r="K567" s="227"/>
      <c r="L567" s="227"/>
      <c r="M567" s="227"/>
      <c r="N567" s="227"/>
      <c r="O567" s="227"/>
      <c r="P567" s="227"/>
      <c r="Q567" s="227"/>
      <c r="R567" s="227"/>
      <c r="S567" s="227"/>
      <c r="T567" s="227"/>
      <c r="U567" s="227"/>
      <c r="V567" s="227"/>
      <c r="W567" s="227"/>
      <c r="X567" s="227"/>
      <c r="Y567" s="227"/>
      <c r="Z567" s="227"/>
      <c r="AA567" s="227"/>
      <c r="AB567" s="227"/>
      <c r="AC567" s="227"/>
      <c r="AD567" s="227"/>
      <c r="AE567" s="227"/>
    </row>
    <row r="568" ht="15.75" customHeight="1">
      <c r="A568" s="227"/>
      <c r="B568" s="227"/>
      <c r="C568" s="227"/>
      <c r="D568" s="227"/>
      <c r="E568" s="227"/>
      <c r="F568" s="227"/>
      <c r="G568" s="227"/>
      <c r="H568" s="227"/>
      <c r="I568" s="227"/>
      <c r="J568" s="227"/>
      <c r="K568" s="227"/>
      <c r="L568" s="227"/>
      <c r="M568" s="227"/>
      <c r="N568" s="227"/>
      <c r="O568" s="227"/>
      <c r="P568" s="227"/>
      <c r="Q568" s="227"/>
      <c r="R568" s="227"/>
      <c r="S568" s="227"/>
      <c r="T568" s="227"/>
      <c r="U568" s="227"/>
      <c r="V568" s="227"/>
      <c r="W568" s="227"/>
      <c r="X568" s="227"/>
      <c r="Y568" s="227"/>
      <c r="Z568" s="227"/>
      <c r="AA568" s="227"/>
      <c r="AB568" s="227"/>
      <c r="AC568" s="227"/>
      <c r="AD568" s="227"/>
      <c r="AE568" s="227"/>
    </row>
    <row r="569" ht="15.75" customHeight="1">
      <c r="A569" s="227"/>
      <c r="B569" s="227"/>
      <c r="C569" s="227"/>
      <c r="D569" s="227"/>
      <c r="E569" s="227"/>
      <c r="F569" s="227"/>
      <c r="G569" s="227"/>
      <c r="H569" s="227"/>
      <c r="I569" s="227"/>
      <c r="J569" s="227"/>
      <c r="K569" s="227"/>
      <c r="L569" s="227"/>
      <c r="M569" s="227"/>
      <c r="N569" s="227"/>
      <c r="O569" s="227"/>
      <c r="P569" s="227"/>
      <c r="Q569" s="227"/>
      <c r="R569" s="227"/>
      <c r="S569" s="227"/>
      <c r="T569" s="227"/>
      <c r="U569" s="227"/>
      <c r="V569" s="227"/>
      <c r="W569" s="227"/>
      <c r="X569" s="227"/>
      <c r="Y569" s="227"/>
      <c r="Z569" s="227"/>
      <c r="AA569" s="227"/>
      <c r="AB569" s="227"/>
      <c r="AC569" s="227"/>
      <c r="AD569" s="227"/>
      <c r="AE569" s="227"/>
    </row>
    <row r="570" ht="15.75" customHeight="1">
      <c r="A570" s="227"/>
      <c r="B570" s="227"/>
      <c r="C570" s="227"/>
      <c r="D570" s="227"/>
      <c r="E570" s="227"/>
      <c r="F570" s="227"/>
      <c r="G570" s="227"/>
      <c r="H570" s="227"/>
      <c r="I570" s="227"/>
      <c r="J570" s="227"/>
      <c r="K570" s="227"/>
      <c r="L570" s="227"/>
      <c r="M570" s="227"/>
      <c r="N570" s="227"/>
      <c r="O570" s="227"/>
      <c r="P570" s="227"/>
      <c r="Q570" s="227"/>
      <c r="R570" s="227"/>
      <c r="S570" s="227"/>
      <c r="T570" s="227"/>
      <c r="U570" s="227"/>
      <c r="V570" s="227"/>
      <c r="W570" s="227"/>
      <c r="X570" s="227"/>
      <c r="Y570" s="227"/>
      <c r="Z570" s="227"/>
      <c r="AA570" s="227"/>
      <c r="AB570" s="227"/>
      <c r="AC570" s="227"/>
      <c r="AD570" s="227"/>
      <c r="AE570" s="227"/>
    </row>
    <row r="571" ht="15.75" customHeight="1">
      <c r="A571" s="227"/>
      <c r="B571" s="227"/>
      <c r="C571" s="227"/>
      <c r="D571" s="227"/>
      <c r="E571" s="227"/>
      <c r="F571" s="227"/>
      <c r="G571" s="227"/>
      <c r="H571" s="227"/>
      <c r="I571" s="227"/>
      <c r="J571" s="227"/>
      <c r="K571" s="227"/>
      <c r="L571" s="227"/>
      <c r="M571" s="227"/>
      <c r="N571" s="227"/>
      <c r="O571" s="227"/>
      <c r="P571" s="227"/>
      <c r="Q571" s="227"/>
      <c r="R571" s="227"/>
      <c r="S571" s="227"/>
      <c r="T571" s="227"/>
      <c r="U571" s="227"/>
      <c r="V571" s="227"/>
      <c r="W571" s="227"/>
      <c r="X571" s="227"/>
      <c r="Y571" s="227"/>
      <c r="Z571" s="227"/>
      <c r="AA571" s="227"/>
      <c r="AB571" s="227"/>
      <c r="AC571" s="227"/>
      <c r="AD571" s="227"/>
      <c r="AE571" s="227"/>
    </row>
    <row r="572" ht="15.75" customHeight="1">
      <c r="A572" s="227"/>
      <c r="B572" s="227"/>
      <c r="C572" s="227"/>
      <c r="D572" s="227"/>
      <c r="E572" s="227"/>
      <c r="F572" s="227"/>
      <c r="G572" s="227"/>
      <c r="H572" s="227"/>
      <c r="I572" s="227"/>
      <c r="J572" s="227"/>
      <c r="K572" s="227"/>
      <c r="L572" s="227"/>
      <c r="M572" s="227"/>
      <c r="N572" s="227"/>
      <c r="O572" s="227"/>
      <c r="P572" s="227"/>
      <c r="Q572" s="227"/>
      <c r="R572" s="227"/>
      <c r="S572" s="227"/>
      <c r="T572" s="227"/>
      <c r="U572" s="227"/>
      <c r="V572" s="227"/>
      <c r="W572" s="227"/>
      <c r="X572" s="227"/>
      <c r="Y572" s="227"/>
      <c r="Z572" s="227"/>
      <c r="AA572" s="227"/>
      <c r="AB572" s="227"/>
      <c r="AC572" s="227"/>
      <c r="AD572" s="227"/>
      <c r="AE572" s="227"/>
    </row>
    <row r="573" ht="15.75" customHeight="1">
      <c r="A573" s="227"/>
      <c r="B573" s="227"/>
      <c r="C573" s="227"/>
      <c r="D573" s="227"/>
      <c r="E573" s="227"/>
      <c r="F573" s="227"/>
      <c r="G573" s="227"/>
      <c r="H573" s="227"/>
      <c r="I573" s="227"/>
      <c r="J573" s="227"/>
      <c r="K573" s="227"/>
      <c r="L573" s="227"/>
      <c r="M573" s="227"/>
      <c r="N573" s="227"/>
      <c r="O573" s="227"/>
      <c r="P573" s="227"/>
      <c r="Q573" s="227"/>
      <c r="R573" s="227"/>
      <c r="S573" s="227"/>
      <c r="T573" s="227"/>
      <c r="U573" s="227"/>
      <c r="V573" s="227"/>
      <c r="W573" s="227"/>
      <c r="X573" s="227"/>
      <c r="Y573" s="227"/>
      <c r="Z573" s="227"/>
      <c r="AA573" s="227"/>
      <c r="AB573" s="227"/>
      <c r="AC573" s="227"/>
      <c r="AD573" s="227"/>
      <c r="AE573" s="227"/>
    </row>
    <row r="574" ht="15.75" customHeight="1">
      <c r="A574" s="227"/>
      <c r="B574" s="227"/>
      <c r="C574" s="227"/>
      <c r="D574" s="227"/>
      <c r="E574" s="227"/>
      <c r="F574" s="227"/>
      <c r="G574" s="227"/>
      <c r="H574" s="227"/>
      <c r="I574" s="227"/>
      <c r="J574" s="227"/>
      <c r="K574" s="227"/>
      <c r="L574" s="227"/>
      <c r="M574" s="227"/>
      <c r="N574" s="227"/>
      <c r="O574" s="227"/>
      <c r="P574" s="227"/>
      <c r="Q574" s="227"/>
      <c r="R574" s="227"/>
      <c r="S574" s="227"/>
      <c r="T574" s="227"/>
      <c r="U574" s="227"/>
      <c r="V574" s="227"/>
      <c r="W574" s="227"/>
      <c r="X574" s="227"/>
      <c r="Y574" s="227"/>
      <c r="Z574" s="227"/>
      <c r="AA574" s="227"/>
      <c r="AB574" s="227"/>
      <c r="AC574" s="227"/>
      <c r="AD574" s="227"/>
      <c r="AE574" s="227"/>
    </row>
    <row r="575" ht="15.75" customHeight="1">
      <c r="A575" s="227"/>
      <c r="B575" s="227"/>
      <c r="C575" s="227"/>
      <c r="D575" s="227"/>
      <c r="E575" s="227"/>
      <c r="F575" s="227"/>
      <c r="G575" s="227"/>
      <c r="H575" s="227"/>
      <c r="I575" s="227"/>
      <c r="J575" s="227"/>
      <c r="K575" s="227"/>
      <c r="L575" s="227"/>
      <c r="M575" s="227"/>
      <c r="N575" s="227"/>
      <c r="O575" s="227"/>
      <c r="P575" s="227"/>
      <c r="Q575" s="227"/>
      <c r="R575" s="227"/>
      <c r="S575" s="227"/>
      <c r="T575" s="227"/>
      <c r="U575" s="227"/>
      <c r="V575" s="227"/>
      <c r="W575" s="227"/>
      <c r="X575" s="227"/>
      <c r="Y575" s="227"/>
      <c r="Z575" s="227"/>
      <c r="AA575" s="227"/>
      <c r="AB575" s="227"/>
      <c r="AC575" s="227"/>
      <c r="AD575" s="227"/>
      <c r="AE575" s="227"/>
    </row>
    <row r="576" ht="15.75" customHeight="1">
      <c r="A576" s="227"/>
      <c r="B576" s="227"/>
      <c r="C576" s="227"/>
      <c r="D576" s="227"/>
      <c r="E576" s="227"/>
      <c r="F576" s="227"/>
      <c r="G576" s="227"/>
      <c r="H576" s="227"/>
      <c r="I576" s="227"/>
      <c r="J576" s="227"/>
      <c r="K576" s="227"/>
      <c r="L576" s="227"/>
      <c r="M576" s="227"/>
      <c r="N576" s="227"/>
      <c r="O576" s="227"/>
      <c r="P576" s="227"/>
      <c r="Q576" s="227"/>
      <c r="R576" s="227"/>
      <c r="S576" s="227"/>
      <c r="T576" s="227"/>
      <c r="U576" s="227"/>
      <c r="V576" s="227"/>
      <c r="W576" s="227"/>
      <c r="X576" s="227"/>
      <c r="Y576" s="227"/>
      <c r="Z576" s="227"/>
      <c r="AA576" s="227"/>
      <c r="AB576" s="227"/>
      <c r="AC576" s="227"/>
      <c r="AD576" s="227"/>
      <c r="AE576" s="227"/>
    </row>
    <row r="577" ht="15.75" customHeight="1">
      <c r="A577" s="227"/>
      <c r="B577" s="227"/>
      <c r="C577" s="227"/>
      <c r="D577" s="227"/>
      <c r="E577" s="227"/>
      <c r="F577" s="227"/>
      <c r="G577" s="227"/>
      <c r="H577" s="227"/>
      <c r="I577" s="227"/>
      <c r="J577" s="227"/>
      <c r="K577" s="227"/>
      <c r="L577" s="227"/>
      <c r="M577" s="227"/>
      <c r="N577" s="227"/>
      <c r="O577" s="227"/>
      <c r="P577" s="227"/>
      <c r="Q577" s="227"/>
      <c r="R577" s="227"/>
      <c r="S577" s="227"/>
      <c r="T577" s="227"/>
      <c r="U577" s="227"/>
      <c r="V577" s="227"/>
      <c r="W577" s="227"/>
      <c r="X577" s="227"/>
      <c r="Y577" s="227"/>
      <c r="Z577" s="227"/>
      <c r="AA577" s="227"/>
      <c r="AB577" s="227"/>
      <c r="AC577" s="227"/>
      <c r="AD577" s="227"/>
      <c r="AE577" s="227"/>
    </row>
    <row r="578" ht="15.75" customHeight="1">
      <c r="A578" s="227"/>
      <c r="B578" s="227"/>
      <c r="C578" s="227"/>
      <c r="D578" s="227"/>
      <c r="E578" s="227"/>
      <c r="F578" s="227"/>
      <c r="G578" s="227"/>
      <c r="H578" s="227"/>
      <c r="I578" s="227"/>
      <c r="J578" s="227"/>
      <c r="K578" s="227"/>
      <c r="L578" s="227"/>
      <c r="M578" s="227"/>
      <c r="N578" s="227"/>
      <c r="O578" s="227"/>
      <c r="P578" s="227"/>
      <c r="Q578" s="227"/>
      <c r="R578" s="227"/>
      <c r="S578" s="227"/>
      <c r="T578" s="227"/>
      <c r="U578" s="227"/>
      <c r="V578" s="227"/>
      <c r="W578" s="227"/>
      <c r="X578" s="227"/>
      <c r="Y578" s="227"/>
      <c r="Z578" s="227"/>
      <c r="AA578" s="227"/>
      <c r="AB578" s="227"/>
      <c r="AC578" s="227"/>
      <c r="AD578" s="227"/>
      <c r="AE578" s="227"/>
    </row>
    <row r="579" ht="15.75" customHeight="1">
      <c r="A579" s="227"/>
      <c r="B579" s="227"/>
      <c r="C579" s="227"/>
      <c r="D579" s="227"/>
      <c r="E579" s="227"/>
      <c r="F579" s="227"/>
      <c r="G579" s="227"/>
      <c r="H579" s="227"/>
      <c r="I579" s="227"/>
      <c r="J579" s="227"/>
      <c r="K579" s="227"/>
      <c r="L579" s="227"/>
      <c r="M579" s="227"/>
      <c r="N579" s="227"/>
      <c r="O579" s="227"/>
      <c r="P579" s="227"/>
      <c r="Q579" s="227"/>
      <c r="R579" s="227"/>
      <c r="S579" s="227"/>
      <c r="T579" s="227"/>
      <c r="U579" s="227"/>
      <c r="V579" s="227"/>
      <c r="W579" s="227"/>
      <c r="X579" s="227"/>
      <c r="Y579" s="227"/>
      <c r="Z579" s="227"/>
      <c r="AA579" s="227"/>
      <c r="AB579" s="227"/>
      <c r="AC579" s="227"/>
      <c r="AD579" s="227"/>
      <c r="AE579" s="227"/>
    </row>
    <row r="580" ht="15.75" customHeight="1">
      <c r="A580" s="227"/>
      <c r="B580" s="227"/>
      <c r="C580" s="227"/>
      <c r="D580" s="227"/>
      <c r="E580" s="227"/>
      <c r="F580" s="227"/>
      <c r="G580" s="227"/>
      <c r="H580" s="227"/>
      <c r="I580" s="227"/>
      <c r="J580" s="227"/>
      <c r="K580" s="227"/>
      <c r="L580" s="227"/>
      <c r="M580" s="227"/>
      <c r="N580" s="227"/>
      <c r="O580" s="227"/>
      <c r="P580" s="227"/>
      <c r="Q580" s="227"/>
      <c r="R580" s="227"/>
      <c r="S580" s="227"/>
      <c r="T580" s="227"/>
      <c r="U580" s="227"/>
      <c r="V580" s="227"/>
      <c r="W580" s="227"/>
      <c r="X580" s="227"/>
      <c r="Y580" s="227"/>
      <c r="Z580" s="227"/>
      <c r="AA580" s="227"/>
      <c r="AB580" s="227"/>
      <c r="AC580" s="227"/>
      <c r="AD580" s="227"/>
      <c r="AE580" s="227"/>
    </row>
    <row r="581" ht="15.75" customHeight="1">
      <c r="A581" s="227"/>
      <c r="B581" s="227"/>
      <c r="C581" s="227"/>
      <c r="D581" s="227"/>
      <c r="E581" s="227"/>
      <c r="F581" s="227"/>
      <c r="G581" s="227"/>
      <c r="H581" s="227"/>
      <c r="I581" s="227"/>
      <c r="J581" s="227"/>
      <c r="K581" s="227"/>
      <c r="L581" s="227"/>
      <c r="M581" s="227"/>
      <c r="N581" s="227"/>
      <c r="O581" s="227"/>
      <c r="P581" s="227"/>
      <c r="Q581" s="227"/>
      <c r="R581" s="227"/>
      <c r="S581" s="227"/>
      <c r="T581" s="227"/>
      <c r="U581" s="227"/>
      <c r="V581" s="227"/>
      <c r="W581" s="227"/>
      <c r="X581" s="227"/>
      <c r="Y581" s="227"/>
      <c r="Z581" s="227"/>
      <c r="AA581" s="227"/>
      <c r="AB581" s="227"/>
      <c r="AC581" s="227"/>
      <c r="AD581" s="227"/>
      <c r="AE581" s="227"/>
    </row>
    <row r="582" ht="15.75" customHeight="1">
      <c r="A582" s="227"/>
      <c r="B582" s="227"/>
      <c r="C582" s="227"/>
      <c r="D582" s="227"/>
      <c r="E582" s="227"/>
      <c r="F582" s="227"/>
      <c r="G582" s="227"/>
      <c r="H582" s="227"/>
      <c r="I582" s="227"/>
      <c r="J582" s="227"/>
      <c r="K582" s="227"/>
      <c r="L582" s="227"/>
      <c r="M582" s="227"/>
      <c r="N582" s="227"/>
      <c r="O582" s="227"/>
      <c r="P582" s="227"/>
      <c r="Q582" s="227"/>
      <c r="R582" s="227"/>
      <c r="S582" s="227"/>
      <c r="T582" s="227"/>
      <c r="U582" s="227"/>
      <c r="V582" s="227"/>
      <c r="W582" s="227"/>
      <c r="X582" s="227"/>
      <c r="Y582" s="227"/>
      <c r="Z582" s="227"/>
      <c r="AA582" s="227"/>
      <c r="AB582" s="227"/>
      <c r="AC582" s="227"/>
      <c r="AD582" s="227"/>
      <c r="AE582" s="227"/>
    </row>
    <row r="583" ht="15.75" customHeight="1">
      <c r="A583" s="227"/>
      <c r="B583" s="227"/>
      <c r="C583" s="227"/>
      <c r="D583" s="227"/>
      <c r="E583" s="227"/>
      <c r="F583" s="227"/>
      <c r="G583" s="227"/>
      <c r="H583" s="227"/>
      <c r="I583" s="227"/>
      <c r="J583" s="227"/>
      <c r="K583" s="227"/>
      <c r="L583" s="227"/>
      <c r="M583" s="227"/>
      <c r="N583" s="227"/>
      <c r="O583" s="227"/>
      <c r="P583" s="227"/>
      <c r="Q583" s="227"/>
      <c r="R583" s="227"/>
      <c r="S583" s="227"/>
      <c r="T583" s="227"/>
      <c r="U583" s="227"/>
      <c r="V583" s="227"/>
      <c r="W583" s="227"/>
      <c r="X583" s="227"/>
      <c r="Y583" s="227"/>
      <c r="Z583" s="227"/>
      <c r="AA583" s="227"/>
      <c r="AB583" s="227"/>
      <c r="AC583" s="227"/>
      <c r="AD583" s="227"/>
      <c r="AE583" s="227"/>
    </row>
    <row r="584" ht="15.75" customHeight="1">
      <c r="A584" s="227"/>
      <c r="B584" s="227"/>
      <c r="C584" s="227"/>
      <c r="D584" s="227"/>
      <c r="E584" s="227"/>
      <c r="F584" s="227"/>
      <c r="G584" s="227"/>
      <c r="H584" s="227"/>
      <c r="I584" s="227"/>
      <c r="J584" s="227"/>
      <c r="K584" s="227"/>
      <c r="L584" s="227"/>
      <c r="M584" s="227"/>
      <c r="N584" s="227"/>
      <c r="O584" s="227"/>
      <c r="P584" s="227"/>
      <c r="Q584" s="227"/>
      <c r="R584" s="227"/>
      <c r="S584" s="227"/>
      <c r="T584" s="227"/>
      <c r="U584" s="227"/>
      <c r="V584" s="227"/>
      <c r="W584" s="227"/>
      <c r="X584" s="227"/>
      <c r="Y584" s="227"/>
      <c r="Z584" s="227"/>
      <c r="AA584" s="227"/>
      <c r="AB584" s="227"/>
      <c r="AC584" s="227"/>
      <c r="AD584" s="227"/>
      <c r="AE584" s="227"/>
    </row>
    <row r="585" ht="15.75" customHeight="1">
      <c r="A585" s="227"/>
      <c r="B585" s="227"/>
      <c r="C585" s="227"/>
      <c r="D585" s="227"/>
      <c r="E585" s="227"/>
      <c r="F585" s="227"/>
      <c r="G585" s="227"/>
      <c r="H585" s="227"/>
      <c r="I585" s="227"/>
      <c r="J585" s="227"/>
      <c r="K585" s="227"/>
      <c r="L585" s="227"/>
      <c r="M585" s="227"/>
      <c r="N585" s="227"/>
      <c r="O585" s="227"/>
      <c r="P585" s="227"/>
      <c r="Q585" s="227"/>
      <c r="R585" s="227"/>
      <c r="S585" s="227"/>
      <c r="T585" s="227"/>
      <c r="U585" s="227"/>
      <c r="V585" s="227"/>
      <c r="W585" s="227"/>
      <c r="X585" s="227"/>
      <c r="Y585" s="227"/>
      <c r="Z585" s="227"/>
      <c r="AA585" s="227"/>
      <c r="AB585" s="227"/>
      <c r="AC585" s="227"/>
      <c r="AD585" s="227"/>
      <c r="AE585" s="227"/>
    </row>
    <row r="586" ht="15.75" customHeight="1">
      <c r="A586" s="227"/>
      <c r="B586" s="227"/>
      <c r="C586" s="227"/>
      <c r="D586" s="227"/>
      <c r="E586" s="227"/>
      <c r="F586" s="227"/>
      <c r="G586" s="227"/>
      <c r="H586" s="227"/>
      <c r="I586" s="227"/>
      <c r="J586" s="227"/>
      <c r="K586" s="227"/>
      <c r="L586" s="227"/>
      <c r="M586" s="227"/>
      <c r="N586" s="227"/>
      <c r="O586" s="227"/>
      <c r="P586" s="227"/>
      <c r="Q586" s="227"/>
      <c r="R586" s="227"/>
      <c r="S586" s="227"/>
      <c r="T586" s="227"/>
      <c r="U586" s="227"/>
      <c r="V586" s="227"/>
      <c r="W586" s="227"/>
      <c r="X586" s="227"/>
      <c r="Y586" s="227"/>
      <c r="Z586" s="227"/>
      <c r="AA586" s="227"/>
      <c r="AB586" s="227"/>
      <c r="AC586" s="227"/>
      <c r="AD586" s="227"/>
      <c r="AE586" s="227"/>
    </row>
    <row r="587" ht="15.75" customHeight="1">
      <c r="A587" s="227"/>
      <c r="B587" s="227"/>
      <c r="C587" s="227"/>
      <c r="D587" s="227"/>
      <c r="E587" s="227"/>
      <c r="F587" s="227"/>
      <c r="G587" s="227"/>
      <c r="H587" s="227"/>
      <c r="I587" s="227"/>
      <c r="J587" s="227"/>
      <c r="K587" s="227"/>
      <c r="L587" s="227"/>
      <c r="M587" s="227"/>
      <c r="N587" s="227"/>
      <c r="O587" s="227"/>
      <c r="P587" s="227"/>
      <c r="Q587" s="227"/>
      <c r="R587" s="227"/>
      <c r="S587" s="227"/>
      <c r="T587" s="227"/>
      <c r="U587" s="227"/>
      <c r="V587" s="227"/>
      <c r="W587" s="227"/>
      <c r="X587" s="227"/>
      <c r="Y587" s="227"/>
      <c r="Z587" s="227"/>
      <c r="AA587" s="227"/>
      <c r="AB587" s="227"/>
      <c r="AC587" s="227"/>
      <c r="AD587" s="227"/>
      <c r="AE587" s="227"/>
    </row>
    <row r="588" ht="15.75" customHeight="1">
      <c r="A588" s="227"/>
      <c r="B588" s="227"/>
      <c r="C588" s="227"/>
      <c r="D588" s="227"/>
      <c r="E588" s="227"/>
      <c r="F588" s="227"/>
      <c r="G588" s="227"/>
      <c r="H588" s="227"/>
      <c r="I588" s="227"/>
      <c r="J588" s="227"/>
      <c r="K588" s="227"/>
      <c r="L588" s="227"/>
      <c r="M588" s="227"/>
      <c r="N588" s="227"/>
      <c r="O588" s="227"/>
      <c r="P588" s="227"/>
      <c r="Q588" s="227"/>
      <c r="R588" s="227"/>
      <c r="S588" s="227"/>
      <c r="T588" s="227"/>
      <c r="U588" s="227"/>
      <c r="V588" s="227"/>
      <c r="W588" s="227"/>
      <c r="X588" s="227"/>
      <c r="Y588" s="227"/>
      <c r="Z588" s="227"/>
      <c r="AA588" s="227"/>
      <c r="AB588" s="227"/>
      <c r="AC588" s="227"/>
      <c r="AD588" s="227"/>
      <c r="AE588" s="227"/>
    </row>
    <row r="589" ht="15.75" customHeight="1">
      <c r="A589" s="227"/>
      <c r="B589" s="227"/>
      <c r="C589" s="227"/>
      <c r="D589" s="227"/>
      <c r="E589" s="227"/>
      <c r="F589" s="227"/>
      <c r="G589" s="227"/>
      <c r="H589" s="227"/>
      <c r="I589" s="227"/>
      <c r="J589" s="227"/>
      <c r="K589" s="227"/>
      <c r="L589" s="227"/>
      <c r="M589" s="227"/>
      <c r="N589" s="227"/>
      <c r="O589" s="227"/>
      <c r="P589" s="227"/>
      <c r="Q589" s="227"/>
      <c r="R589" s="227"/>
      <c r="S589" s="227"/>
      <c r="T589" s="227"/>
      <c r="U589" s="227"/>
      <c r="V589" s="227"/>
      <c r="W589" s="227"/>
      <c r="X589" s="227"/>
      <c r="Y589" s="227"/>
      <c r="Z589" s="227"/>
      <c r="AA589" s="227"/>
      <c r="AB589" s="227"/>
      <c r="AC589" s="227"/>
      <c r="AD589" s="227"/>
      <c r="AE589" s="227"/>
    </row>
    <row r="590" ht="15.75" customHeight="1">
      <c r="A590" s="227"/>
      <c r="B590" s="227"/>
      <c r="C590" s="227"/>
      <c r="D590" s="227"/>
      <c r="E590" s="227"/>
      <c r="F590" s="227"/>
      <c r="G590" s="227"/>
      <c r="H590" s="227"/>
      <c r="I590" s="227"/>
      <c r="J590" s="227"/>
      <c r="K590" s="227"/>
      <c r="L590" s="227"/>
      <c r="M590" s="227"/>
      <c r="N590" s="227"/>
      <c r="O590" s="227"/>
      <c r="P590" s="227"/>
      <c r="Q590" s="227"/>
      <c r="R590" s="227"/>
      <c r="S590" s="227"/>
      <c r="T590" s="227"/>
      <c r="U590" s="227"/>
      <c r="V590" s="227"/>
      <c r="W590" s="227"/>
      <c r="X590" s="227"/>
      <c r="Y590" s="227"/>
      <c r="Z590" s="227"/>
      <c r="AA590" s="227"/>
      <c r="AB590" s="227"/>
      <c r="AC590" s="227"/>
      <c r="AD590" s="227"/>
      <c r="AE590" s="227"/>
    </row>
    <row r="591" ht="15.75" customHeight="1">
      <c r="A591" s="227"/>
      <c r="B591" s="227"/>
      <c r="C591" s="227"/>
      <c r="D591" s="227"/>
      <c r="E591" s="227"/>
      <c r="F591" s="227"/>
      <c r="G591" s="227"/>
      <c r="H591" s="227"/>
      <c r="I591" s="227"/>
      <c r="J591" s="227"/>
      <c r="K591" s="227"/>
      <c r="L591" s="227"/>
      <c r="M591" s="227"/>
      <c r="N591" s="227"/>
      <c r="O591" s="227"/>
      <c r="P591" s="227"/>
      <c r="Q591" s="227"/>
      <c r="R591" s="227"/>
      <c r="S591" s="227"/>
      <c r="T591" s="227"/>
      <c r="U591" s="227"/>
      <c r="V591" s="227"/>
      <c r="W591" s="227"/>
      <c r="X591" s="227"/>
      <c r="Y591" s="227"/>
      <c r="Z591" s="227"/>
      <c r="AA591" s="227"/>
      <c r="AB591" s="227"/>
      <c r="AC591" s="227"/>
      <c r="AD591" s="227"/>
      <c r="AE591" s="227"/>
    </row>
    <row r="592" ht="15.75" customHeight="1">
      <c r="A592" s="227"/>
      <c r="B592" s="227"/>
      <c r="C592" s="227"/>
      <c r="D592" s="227"/>
      <c r="E592" s="227"/>
      <c r="F592" s="227"/>
      <c r="G592" s="227"/>
      <c r="H592" s="227"/>
      <c r="I592" s="227"/>
      <c r="J592" s="227"/>
      <c r="K592" s="227"/>
      <c r="L592" s="227"/>
      <c r="M592" s="227"/>
      <c r="N592" s="227"/>
      <c r="O592" s="227"/>
      <c r="P592" s="227"/>
      <c r="Q592" s="227"/>
      <c r="R592" s="227"/>
      <c r="S592" s="227"/>
      <c r="T592" s="227"/>
      <c r="U592" s="227"/>
      <c r="V592" s="227"/>
      <c r="W592" s="227"/>
      <c r="X592" s="227"/>
      <c r="Y592" s="227"/>
      <c r="Z592" s="227"/>
      <c r="AA592" s="227"/>
      <c r="AB592" s="227"/>
      <c r="AC592" s="227"/>
      <c r="AD592" s="227"/>
      <c r="AE592" s="227"/>
    </row>
    <row r="593" ht="15.75" customHeight="1">
      <c r="A593" s="227"/>
      <c r="B593" s="227"/>
      <c r="C593" s="227"/>
      <c r="D593" s="227"/>
      <c r="E593" s="227"/>
      <c r="F593" s="227"/>
      <c r="G593" s="227"/>
      <c r="H593" s="227"/>
      <c r="I593" s="227"/>
      <c r="J593" s="227"/>
      <c r="K593" s="227"/>
      <c r="L593" s="227"/>
      <c r="M593" s="227"/>
      <c r="N593" s="227"/>
      <c r="O593" s="227"/>
      <c r="P593" s="227"/>
      <c r="Q593" s="227"/>
      <c r="R593" s="227"/>
      <c r="S593" s="227"/>
      <c r="T593" s="227"/>
      <c r="U593" s="227"/>
      <c r="V593" s="227"/>
      <c r="W593" s="227"/>
      <c r="X593" s="227"/>
      <c r="Y593" s="227"/>
      <c r="Z593" s="227"/>
      <c r="AA593" s="227"/>
      <c r="AB593" s="227"/>
      <c r="AC593" s="227"/>
      <c r="AD593" s="227"/>
      <c r="AE593" s="227"/>
    </row>
    <row r="594" ht="15.75" customHeight="1">
      <c r="A594" s="227"/>
      <c r="B594" s="227"/>
      <c r="C594" s="227"/>
      <c r="D594" s="227"/>
      <c r="E594" s="227"/>
      <c r="F594" s="227"/>
      <c r="G594" s="227"/>
      <c r="H594" s="227"/>
      <c r="I594" s="227"/>
      <c r="J594" s="227"/>
      <c r="K594" s="227"/>
      <c r="L594" s="227"/>
      <c r="M594" s="227"/>
      <c r="N594" s="227"/>
      <c r="O594" s="227"/>
      <c r="P594" s="227"/>
      <c r="Q594" s="227"/>
      <c r="R594" s="227"/>
      <c r="S594" s="227"/>
      <c r="T594" s="227"/>
      <c r="U594" s="227"/>
      <c r="V594" s="227"/>
      <c r="W594" s="227"/>
      <c r="X594" s="227"/>
      <c r="Y594" s="227"/>
      <c r="Z594" s="227"/>
      <c r="AA594" s="227"/>
      <c r="AB594" s="227"/>
      <c r="AC594" s="227"/>
      <c r="AD594" s="227"/>
      <c r="AE594" s="227"/>
    </row>
    <row r="595" ht="15.75" customHeight="1">
      <c r="A595" s="227"/>
      <c r="B595" s="227"/>
      <c r="C595" s="227"/>
      <c r="D595" s="227"/>
      <c r="E595" s="227"/>
      <c r="F595" s="227"/>
      <c r="G595" s="227"/>
      <c r="H595" s="227"/>
      <c r="I595" s="227"/>
      <c r="J595" s="227"/>
      <c r="K595" s="227"/>
      <c r="L595" s="227"/>
      <c r="M595" s="227"/>
      <c r="N595" s="227"/>
      <c r="O595" s="227"/>
      <c r="P595" s="227"/>
      <c r="Q595" s="227"/>
      <c r="R595" s="227"/>
      <c r="S595" s="227"/>
      <c r="T595" s="227"/>
      <c r="U595" s="227"/>
      <c r="V595" s="227"/>
      <c r="W595" s="227"/>
      <c r="X595" s="227"/>
      <c r="Y595" s="227"/>
      <c r="Z595" s="227"/>
      <c r="AA595" s="227"/>
      <c r="AB595" s="227"/>
      <c r="AC595" s="227"/>
      <c r="AD595" s="227"/>
      <c r="AE595" s="227"/>
    </row>
    <row r="596" ht="15.75" customHeight="1">
      <c r="A596" s="227"/>
      <c r="B596" s="227"/>
      <c r="C596" s="227"/>
      <c r="D596" s="227"/>
      <c r="E596" s="227"/>
      <c r="F596" s="227"/>
      <c r="G596" s="227"/>
      <c r="H596" s="227"/>
      <c r="I596" s="227"/>
      <c r="J596" s="227"/>
      <c r="K596" s="227"/>
      <c r="L596" s="227"/>
      <c r="M596" s="227"/>
      <c r="N596" s="227"/>
      <c r="O596" s="227"/>
      <c r="P596" s="227"/>
      <c r="Q596" s="227"/>
      <c r="R596" s="227"/>
      <c r="S596" s="227"/>
      <c r="T596" s="227"/>
      <c r="U596" s="227"/>
      <c r="V596" s="227"/>
      <c r="W596" s="227"/>
      <c r="X596" s="227"/>
      <c r="Y596" s="227"/>
      <c r="Z596" s="227"/>
      <c r="AA596" s="227"/>
      <c r="AB596" s="227"/>
      <c r="AC596" s="227"/>
      <c r="AD596" s="227"/>
      <c r="AE596" s="227"/>
    </row>
    <row r="597" ht="15.75" customHeight="1">
      <c r="A597" s="227"/>
      <c r="B597" s="227"/>
      <c r="C597" s="227"/>
      <c r="D597" s="227"/>
      <c r="E597" s="227"/>
      <c r="F597" s="227"/>
      <c r="G597" s="227"/>
      <c r="H597" s="227"/>
      <c r="I597" s="227"/>
      <c r="J597" s="227"/>
      <c r="K597" s="227"/>
      <c r="L597" s="227"/>
      <c r="M597" s="227"/>
      <c r="N597" s="227"/>
      <c r="O597" s="227"/>
      <c r="P597" s="227"/>
      <c r="Q597" s="227"/>
      <c r="R597" s="227"/>
      <c r="S597" s="227"/>
      <c r="T597" s="227"/>
      <c r="U597" s="227"/>
      <c r="V597" s="227"/>
      <c r="W597" s="227"/>
      <c r="X597" s="227"/>
      <c r="Y597" s="227"/>
      <c r="Z597" s="227"/>
      <c r="AA597" s="227"/>
      <c r="AB597" s="227"/>
      <c r="AC597" s="227"/>
      <c r="AD597" s="227"/>
      <c r="AE597" s="227"/>
    </row>
    <row r="598" ht="15.75" customHeight="1">
      <c r="A598" s="227"/>
      <c r="B598" s="227"/>
      <c r="C598" s="227"/>
      <c r="D598" s="227"/>
      <c r="E598" s="227"/>
      <c r="F598" s="227"/>
      <c r="G598" s="227"/>
      <c r="H598" s="227"/>
      <c r="I598" s="227"/>
      <c r="J598" s="227"/>
      <c r="K598" s="227"/>
      <c r="L598" s="227"/>
      <c r="M598" s="227"/>
      <c r="N598" s="227"/>
      <c r="O598" s="227"/>
      <c r="P598" s="227"/>
      <c r="Q598" s="227"/>
      <c r="R598" s="227"/>
      <c r="S598" s="227"/>
      <c r="T598" s="227"/>
      <c r="U598" s="227"/>
      <c r="V598" s="227"/>
      <c r="W598" s="227"/>
      <c r="X598" s="227"/>
      <c r="Y598" s="227"/>
      <c r="Z598" s="227"/>
      <c r="AA598" s="227"/>
      <c r="AB598" s="227"/>
      <c r="AC598" s="227"/>
      <c r="AD598" s="227"/>
      <c r="AE598" s="227"/>
    </row>
    <row r="599" ht="15.75" customHeight="1">
      <c r="A599" s="227"/>
      <c r="B599" s="227"/>
      <c r="C599" s="227"/>
      <c r="D599" s="227"/>
      <c r="E599" s="227"/>
      <c r="F599" s="227"/>
      <c r="G599" s="227"/>
      <c r="H599" s="227"/>
      <c r="I599" s="227"/>
      <c r="J599" s="227"/>
      <c r="K599" s="227"/>
      <c r="L599" s="227"/>
      <c r="M599" s="227"/>
      <c r="N599" s="227"/>
      <c r="O599" s="227"/>
      <c r="P599" s="227"/>
      <c r="Q599" s="227"/>
      <c r="R599" s="227"/>
      <c r="S599" s="227"/>
      <c r="T599" s="227"/>
      <c r="U599" s="227"/>
      <c r="V599" s="227"/>
      <c r="W599" s="227"/>
      <c r="X599" s="227"/>
      <c r="Y599" s="227"/>
      <c r="Z599" s="227"/>
      <c r="AA599" s="227"/>
      <c r="AB599" s="227"/>
      <c r="AC599" s="227"/>
      <c r="AD599" s="227"/>
      <c r="AE599" s="227"/>
    </row>
    <row r="600" ht="15.75" customHeight="1">
      <c r="A600" s="227"/>
      <c r="B600" s="227"/>
      <c r="C600" s="227"/>
      <c r="D600" s="227"/>
      <c r="E600" s="227"/>
      <c r="F600" s="227"/>
      <c r="G600" s="227"/>
      <c r="H600" s="227"/>
      <c r="I600" s="227"/>
      <c r="J600" s="227"/>
      <c r="K600" s="227"/>
      <c r="L600" s="227"/>
      <c r="M600" s="227"/>
      <c r="N600" s="227"/>
      <c r="O600" s="227"/>
      <c r="P600" s="227"/>
      <c r="Q600" s="227"/>
      <c r="R600" s="227"/>
      <c r="S600" s="227"/>
      <c r="T600" s="227"/>
      <c r="U600" s="227"/>
      <c r="V600" s="227"/>
      <c r="W600" s="227"/>
      <c r="X600" s="227"/>
      <c r="Y600" s="227"/>
      <c r="Z600" s="227"/>
      <c r="AA600" s="227"/>
      <c r="AB600" s="227"/>
      <c r="AC600" s="227"/>
      <c r="AD600" s="227"/>
      <c r="AE600" s="227"/>
    </row>
    <row r="601" ht="15.75" customHeight="1">
      <c r="A601" s="227"/>
      <c r="B601" s="227"/>
      <c r="C601" s="227"/>
      <c r="D601" s="227"/>
      <c r="E601" s="227"/>
      <c r="F601" s="227"/>
      <c r="G601" s="227"/>
      <c r="H601" s="227"/>
      <c r="I601" s="227"/>
      <c r="J601" s="227"/>
      <c r="K601" s="227"/>
      <c r="L601" s="227"/>
      <c r="M601" s="227"/>
      <c r="N601" s="227"/>
      <c r="O601" s="227"/>
      <c r="P601" s="227"/>
      <c r="Q601" s="227"/>
      <c r="R601" s="227"/>
      <c r="S601" s="227"/>
      <c r="T601" s="227"/>
      <c r="U601" s="227"/>
      <c r="V601" s="227"/>
      <c r="W601" s="227"/>
      <c r="X601" s="227"/>
      <c r="Y601" s="227"/>
      <c r="Z601" s="227"/>
      <c r="AA601" s="227"/>
      <c r="AB601" s="227"/>
      <c r="AC601" s="227"/>
      <c r="AD601" s="227"/>
      <c r="AE601" s="227"/>
    </row>
    <row r="602" ht="15.75" customHeight="1">
      <c r="A602" s="227"/>
      <c r="B602" s="227"/>
      <c r="C602" s="227"/>
      <c r="D602" s="227"/>
      <c r="E602" s="227"/>
      <c r="F602" s="227"/>
      <c r="G602" s="227"/>
      <c r="H602" s="227"/>
      <c r="I602" s="227"/>
      <c r="J602" s="227"/>
      <c r="K602" s="227"/>
      <c r="L602" s="227"/>
      <c r="M602" s="227"/>
      <c r="N602" s="227"/>
      <c r="O602" s="227"/>
      <c r="P602" s="227"/>
      <c r="Q602" s="227"/>
      <c r="R602" s="227"/>
      <c r="S602" s="227"/>
      <c r="T602" s="227"/>
      <c r="U602" s="227"/>
      <c r="V602" s="227"/>
      <c r="W602" s="227"/>
      <c r="X602" s="227"/>
      <c r="Y602" s="227"/>
      <c r="Z602" s="227"/>
      <c r="AA602" s="227"/>
      <c r="AB602" s="227"/>
      <c r="AC602" s="227"/>
      <c r="AD602" s="227"/>
      <c r="AE602" s="227"/>
    </row>
    <row r="603" ht="15.75" customHeight="1">
      <c r="A603" s="227"/>
      <c r="B603" s="227"/>
      <c r="C603" s="227"/>
      <c r="D603" s="227"/>
      <c r="E603" s="227"/>
      <c r="F603" s="227"/>
      <c r="G603" s="227"/>
      <c r="H603" s="227"/>
      <c r="I603" s="227"/>
      <c r="J603" s="227"/>
      <c r="K603" s="227"/>
      <c r="L603" s="227"/>
      <c r="M603" s="227"/>
      <c r="N603" s="227"/>
      <c r="O603" s="227"/>
      <c r="P603" s="227"/>
      <c r="Q603" s="227"/>
      <c r="R603" s="227"/>
      <c r="S603" s="227"/>
      <c r="T603" s="227"/>
      <c r="U603" s="227"/>
      <c r="V603" s="227"/>
      <c r="W603" s="227"/>
      <c r="X603" s="227"/>
      <c r="Y603" s="227"/>
      <c r="Z603" s="227"/>
      <c r="AA603" s="227"/>
      <c r="AB603" s="227"/>
      <c r="AC603" s="227"/>
      <c r="AD603" s="227"/>
      <c r="AE603" s="227"/>
    </row>
    <row r="604" ht="15.75" customHeight="1">
      <c r="A604" s="227"/>
      <c r="B604" s="227"/>
      <c r="C604" s="227"/>
      <c r="D604" s="227"/>
      <c r="E604" s="227"/>
      <c r="F604" s="227"/>
      <c r="G604" s="227"/>
      <c r="H604" s="227"/>
      <c r="I604" s="227"/>
      <c r="J604" s="227"/>
      <c r="K604" s="227"/>
      <c r="L604" s="227"/>
      <c r="M604" s="227"/>
      <c r="N604" s="227"/>
      <c r="O604" s="227"/>
      <c r="P604" s="227"/>
      <c r="Q604" s="227"/>
      <c r="R604" s="227"/>
      <c r="S604" s="227"/>
      <c r="T604" s="227"/>
      <c r="U604" s="227"/>
      <c r="V604" s="227"/>
      <c r="W604" s="227"/>
      <c r="X604" s="227"/>
      <c r="Y604" s="227"/>
      <c r="Z604" s="227"/>
      <c r="AA604" s="227"/>
      <c r="AB604" s="227"/>
      <c r="AC604" s="227"/>
      <c r="AD604" s="227"/>
      <c r="AE604" s="227"/>
    </row>
    <row r="605" ht="15.75" customHeight="1">
      <c r="A605" s="227"/>
      <c r="B605" s="227"/>
      <c r="C605" s="227"/>
      <c r="D605" s="227"/>
      <c r="E605" s="227"/>
      <c r="F605" s="227"/>
      <c r="G605" s="227"/>
      <c r="H605" s="227"/>
      <c r="I605" s="227"/>
      <c r="J605" s="227"/>
      <c r="K605" s="227"/>
      <c r="L605" s="227"/>
      <c r="M605" s="227"/>
      <c r="N605" s="227"/>
      <c r="O605" s="227"/>
      <c r="P605" s="227"/>
      <c r="Q605" s="227"/>
      <c r="R605" s="227"/>
      <c r="S605" s="227"/>
      <c r="T605" s="227"/>
      <c r="U605" s="227"/>
      <c r="V605" s="227"/>
      <c r="W605" s="227"/>
      <c r="X605" s="227"/>
      <c r="Y605" s="227"/>
      <c r="Z605" s="227"/>
      <c r="AA605" s="227"/>
      <c r="AB605" s="227"/>
      <c r="AC605" s="227"/>
      <c r="AD605" s="227"/>
      <c r="AE605" s="227"/>
    </row>
    <row r="606" ht="15.75" customHeight="1">
      <c r="A606" s="227"/>
      <c r="B606" s="227"/>
      <c r="C606" s="227"/>
      <c r="D606" s="227"/>
      <c r="E606" s="227"/>
      <c r="F606" s="227"/>
      <c r="G606" s="227"/>
      <c r="H606" s="227"/>
      <c r="I606" s="227"/>
      <c r="J606" s="227"/>
      <c r="K606" s="227"/>
      <c r="L606" s="227"/>
      <c r="M606" s="227"/>
      <c r="N606" s="227"/>
      <c r="O606" s="227"/>
      <c r="P606" s="227"/>
      <c r="Q606" s="227"/>
      <c r="R606" s="227"/>
      <c r="S606" s="227"/>
      <c r="T606" s="227"/>
      <c r="U606" s="227"/>
      <c r="V606" s="227"/>
      <c r="W606" s="227"/>
      <c r="X606" s="227"/>
      <c r="Y606" s="227"/>
      <c r="Z606" s="227"/>
      <c r="AA606" s="227"/>
      <c r="AB606" s="227"/>
      <c r="AC606" s="227"/>
      <c r="AD606" s="227"/>
      <c r="AE606" s="227"/>
    </row>
    <row r="607" ht="15.75" customHeight="1">
      <c r="A607" s="227"/>
      <c r="B607" s="227"/>
      <c r="C607" s="227"/>
      <c r="D607" s="227"/>
      <c r="E607" s="227"/>
      <c r="F607" s="227"/>
      <c r="G607" s="227"/>
      <c r="H607" s="227"/>
      <c r="I607" s="227"/>
      <c r="J607" s="227"/>
      <c r="K607" s="227"/>
      <c r="L607" s="227"/>
      <c r="M607" s="227"/>
      <c r="N607" s="227"/>
      <c r="O607" s="227"/>
      <c r="P607" s="227"/>
      <c r="Q607" s="227"/>
      <c r="R607" s="227"/>
      <c r="S607" s="227"/>
      <c r="T607" s="227"/>
      <c r="U607" s="227"/>
      <c r="V607" s="227"/>
      <c r="W607" s="227"/>
      <c r="X607" s="227"/>
      <c r="Y607" s="227"/>
      <c r="Z607" s="227"/>
      <c r="AA607" s="227"/>
      <c r="AB607" s="227"/>
      <c r="AC607" s="227"/>
      <c r="AD607" s="227"/>
      <c r="AE607" s="227"/>
    </row>
    <row r="608" ht="15.75" customHeight="1">
      <c r="A608" s="227"/>
      <c r="B608" s="227"/>
      <c r="C608" s="227"/>
      <c r="D608" s="227"/>
      <c r="E608" s="227"/>
      <c r="F608" s="227"/>
      <c r="G608" s="227"/>
      <c r="H608" s="227"/>
      <c r="I608" s="227"/>
      <c r="J608" s="227"/>
      <c r="K608" s="227"/>
      <c r="L608" s="227"/>
      <c r="M608" s="227"/>
      <c r="N608" s="227"/>
      <c r="O608" s="227"/>
      <c r="P608" s="227"/>
      <c r="Q608" s="227"/>
      <c r="R608" s="227"/>
      <c r="S608" s="227"/>
      <c r="T608" s="227"/>
      <c r="U608" s="227"/>
      <c r="V608" s="227"/>
      <c r="W608" s="227"/>
      <c r="X608" s="227"/>
      <c r="Y608" s="227"/>
      <c r="Z608" s="227"/>
      <c r="AA608" s="227"/>
      <c r="AB608" s="227"/>
      <c r="AC608" s="227"/>
      <c r="AD608" s="227"/>
      <c r="AE608" s="227"/>
    </row>
    <row r="609" ht="15.75" customHeight="1">
      <c r="A609" s="227"/>
      <c r="B609" s="227"/>
      <c r="C609" s="227"/>
      <c r="D609" s="227"/>
      <c r="E609" s="227"/>
      <c r="F609" s="227"/>
      <c r="G609" s="227"/>
      <c r="H609" s="227"/>
      <c r="I609" s="227"/>
      <c r="J609" s="227"/>
      <c r="K609" s="227"/>
      <c r="L609" s="227"/>
      <c r="M609" s="227"/>
      <c r="N609" s="227"/>
      <c r="O609" s="227"/>
      <c r="P609" s="227"/>
      <c r="Q609" s="227"/>
      <c r="R609" s="227"/>
      <c r="S609" s="227"/>
      <c r="T609" s="227"/>
      <c r="U609" s="227"/>
      <c r="V609" s="227"/>
      <c r="W609" s="227"/>
      <c r="X609" s="227"/>
      <c r="Y609" s="227"/>
      <c r="Z609" s="227"/>
      <c r="AA609" s="227"/>
      <c r="AB609" s="227"/>
      <c r="AC609" s="227"/>
      <c r="AD609" s="227"/>
      <c r="AE609" s="227"/>
    </row>
    <row r="610" ht="15.75" customHeight="1">
      <c r="A610" s="227"/>
      <c r="B610" s="227"/>
      <c r="C610" s="227"/>
      <c r="D610" s="227"/>
      <c r="E610" s="227"/>
      <c r="F610" s="227"/>
      <c r="G610" s="227"/>
      <c r="H610" s="227"/>
      <c r="I610" s="227"/>
      <c r="J610" s="227"/>
      <c r="K610" s="227"/>
      <c r="L610" s="227"/>
      <c r="M610" s="227"/>
      <c r="N610" s="227"/>
      <c r="O610" s="227"/>
      <c r="P610" s="227"/>
      <c r="Q610" s="227"/>
      <c r="R610" s="227"/>
      <c r="S610" s="227"/>
      <c r="T610" s="227"/>
      <c r="U610" s="227"/>
      <c r="V610" s="227"/>
      <c r="W610" s="227"/>
      <c r="X610" s="227"/>
      <c r="Y610" s="227"/>
      <c r="Z610" s="227"/>
      <c r="AA610" s="227"/>
      <c r="AB610" s="227"/>
      <c r="AC610" s="227"/>
      <c r="AD610" s="227"/>
      <c r="AE610" s="227"/>
    </row>
    <row r="611" ht="15.75" customHeight="1">
      <c r="A611" s="227"/>
      <c r="B611" s="227"/>
      <c r="C611" s="227"/>
      <c r="D611" s="227"/>
      <c r="E611" s="227"/>
      <c r="F611" s="227"/>
      <c r="G611" s="227"/>
      <c r="H611" s="227"/>
      <c r="I611" s="227"/>
      <c r="J611" s="227"/>
      <c r="K611" s="227"/>
      <c r="L611" s="227"/>
      <c r="M611" s="227"/>
      <c r="N611" s="227"/>
      <c r="O611" s="227"/>
      <c r="P611" s="227"/>
      <c r="Q611" s="227"/>
      <c r="R611" s="227"/>
      <c r="S611" s="227"/>
      <c r="T611" s="227"/>
      <c r="U611" s="227"/>
      <c r="V611" s="227"/>
      <c r="W611" s="227"/>
      <c r="X611" s="227"/>
      <c r="Y611" s="227"/>
      <c r="Z611" s="227"/>
      <c r="AA611" s="227"/>
      <c r="AB611" s="227"/>
      <c r="AC611" s="227"/>
      <c r="AD611" s="227"/>
      <c r="AE611" s="227"/>
    </row>
    <row r="612" ht="15.75" customHeight="1">
      <c r="A612" s="227"/>
      <c r="B612" s="227"/>
      <c r="C612" s="227"/>
      <c r="D612" s="227"/>
      <c r="E612" s="227"/>
      <c r="F612" s="227"/>
      <c r="G612" s="227"/>
      <c r="H612" s="227"/>
      <c r="I612" s="227"/>
      <c r="J612" s="227"/>
      <c r="K612" s="227"/>
      <c r="L612" s="227"/>
      <c r="M612" s="227"/>
      <c r="N612" s="227"/>
      <c r="O612" s="227"/>
      <c r="P612" s="227"/>
      <c r="Q612" s="227"/>
      <c r="R612" s="227"/>
      <c r="S612" s="227"/>
      <c r="T612" s="227"/>
      <c r="U612" s="227"/>
      <c r="V612" s="227"/>
      <c r="W612" s="227"/>
      <c r="X612" s="227"/>
      <c r="Y612" s="227"/>
      <c r="Z612" s="227"/>
      <c r="AA612" s="227"/>
      <c r="AB612" s="227"/>
      <c r="AC612" s="227"/>
      <c r="AD612" s="227"/>
      <c r="AE612" s="227"/>
    </row>
    <row r="613" ht="15.75" customHeight="1">
      <c r="A613" s="227"/>
      <c r="B613" s="227"/>
      <c r="C613" s="227"/>
      <c r="D613" s="227"/>
      <c r="E613" s="227"/>
      <c r="F613" s="227"/>
      <c r="G613" s="227"/>
      <c r="H613" s="227"/>
      <c r="I613" s="227"/>
      <c r="J613" s="227"/>
      <c r="K613" s="227"/>
      <c r="L613" s="227"/>
      <c r="M613" s="227"/>
      <c r="N613" s="227"/>
      <c r="O613" s="227"/>
      <c r="P613" s="227"/>
      <c r="Q613" s="227"/>
      <c r="R613" s="227"/>
      <c r="S613" s="227"/>
      <c r="T613" s="227"/>
      <c r="U613" s="227"/>
      <c r="V613" s="227"/>
      <c r="W613" s="227"/>
      <c r="X613" s="227"/>
      <c r="Y613" s="227"/>
      <c r="Z613" s="227"/>
      <c r="AA613" s="227"/>
      <c r="AB613" s="227"/>
      <c r="AC613" s="227"/>
      <c r="AD613" s="227"/>
      <c r="AE613" s="227"/>
    </row>
    <row r="614" ht="15.75" customHeight="1">
      <c r="A614" s="227"/>
      <c r="B614" s="227"/>
      <c r="C614" s="227"/>
      <c r="D614" s="227"/>
      <c r="E614" s="227"/>
      <c r="F614" s="227"/>
      <c r="G614" s="227"/>
      <c r="H614" s="227"/>
      <c r="I614" s="227"/>
      <c r="J614" s="227"/>
      <c r="K614" s="227"/>
      <c r="L614" s="227"/>
      <c r="M614" s="227"/>
      <c r="N614" s="227"/>
      <c r="O614" s="227"/>
      <c r="P614" s="227"/>
      <c r="Q614" s="227"/>
      <c r="R614" s="227"/>
      <c r="S614" s="227"/>
      <c r="T614" s="227"/>
      <c r="U614" s="227"/>
      <c r="V614" s="227"/>
      <c r="W614" s="227"/>
      <c r="X614" s="227"/>
      <c r="Y614" s="227"/>
      <c r="Z614" s="227"/>
      <c r="AA614" s="227"/>
      <c r="AB614" s="227"/>
      <c r="AC614" s="227"/>
      <c r="AD614" s="227"/>
      <c r="AE614" s="227"/>
    </row>
    <row r="615" ht="15.75" customHeight="1">
      <c r="A615" s="227"/>
      <c r="B615" s="227"/>
      <c r="C615" s="227"/>
      <c r="D615" s="227"/>
      <c r="E615" s="227"/>
      <c r="F615" s="227"/>
      <c r="G615" s="227"/>
      <c r="H615" s="227"/>
      <c r="I615" s="227"/>
      <c r="J615" s="227"/>
      <c r="K615" s="227"/>
      <c r="L615" s="227"/>
      <c r="M615" s="227"/>
      <c r="N615" s="227"/>
      <c r="O615" s="227"/>
      <c r="P615" s="227"/>
      <c r="Q615" s="227"/>
      <c r="R615" s="227"/>
      <c r="S615" s="227"/>
      <c r="T615" s="227"/>
      <c r="U615" s="227"/>
      <c r="V615" s="227"/>
      <c r="W615" s="227"/>
      <c r="X615" s="227"/>
      <c r="Y615" s="227"/>
      <c r="Z615" s="227"/>
      <c r="AA615" s="227"/>
      <c r="AB615" s="227"/>
      <c r="AC615" s="227"/>
      <c r="AD615" s="227"/>
      <c r="AE615" s="227"/>
    </row>
    <row r="616" ht="15.75" customHeight="1">
      <c r="A616" s="227"/>
      <c r="B616" s="227"/>
      <c r="C616" s="227"/>
      <c r="D616" s="227"/>
      <c r="E616" s="227"/>
      <c r="F616" s="227"/>
      <c r="G616" s="227"/>
      <c r="H616" s="227"/>
      <c r="I616" s="227"/>
      <c r="J616" s="227"/>
      <c r="K616" s="227"/>
      <c r="L616" s="227"/>
      <c r="M616" s="227"/>
      <c r="N616" s="227"/>
      <c r="O616" s="227"/>
      <c r="P616" s="227"/>
      <c r="Q616" s="227"/>
      <c r="R616" s="227"/>
      <c r="S616" s="227"/>
      <c r="T616" s="227"/>
      <c r="U616" s="227"/>
      <c r="V616" s="227"/>
      <c r="W616" s="227"/>
      <c r="X616" s="227"/>
      <c r="Y616" s="227"/>
      <c r="Z616" s="227"/>
      <c r="AA616" s="227"/>
      <c r="AB616" s="227"/>
      <c r="AC616" s="227"/>
      <c r="AD616" s="227"/>
      <c r="AE616" s="227"/>
    </row>
    <row r="617" ht="15.75" customHeight="1">
      <c r="A617" s="227"/>
      <c r="B617" s="227"/>
      <c r="C617" s="227"/>
      <c r="D617" s="227"/>
      <c r="E617" s="227"/>
      <c r="F617" s="227"/>
      <c r="G617" s="227"/>
      <c r="H617" s="227"/>
      <c r="I617" s="227"/>
      <c r="J617" s="227"/>
      <c r="K617" s="227"/>
      <c r="L617" s="227"/>
      <c r="M617" s="227"/>
      <c r="N617" s="227"/>
      <c r="O617" s="227"/>
      <c r="P617" s="227"/>
      <c r="Q617" s="227"/>
      <c r="R617" s="227"/>
      <c r="S617" s="227"/>
      <c r="T617" s="227"/>
      <c r="U617" s="227"/>
      <c r="V617" s="227"/>
      <c r="W617" s="227"/>
      <c r="X617" s="227"/>
      <c r="Y617" s="227"/>
      <c r="Z617" s="227"/>
      <c r="AA617" s="227"/>
      <c r="AB617" s="227"/>
      <c r="AC617" s="227"/>
      <c r="AD617" s="227"/>
      <c r="AE617" s="227"/>
    </row>
    <row r="618" ht="15.75" customHeight="1">
      <c r="A618" s="227"/>
      <c r="B618" s="227"/>
      <c r="C618" s="227"/>
      <c r="D618" s="227"/>
      <c r="E618" s="227"/>
      <c r="F618" s="227"/>
      <c r="G618" s="227"/>
      <c r="H618" s="227"/>
      <c r="I618" s="227"/>
      <c r="J618" s="227"/>
      <c r="K618" s="227"/>
      <c r="L618" s="227"/>
      <c r="M618" s="227"/>
      <c r="N618" s="227"/>
      <c r="O618" s="227"/>
      <c r="P618" s="227"/>
      <c r="Q618" s="227"/>
      <c r="R618" s="227"/>
      <c r="S618" s="227"/>
      <c r="T618" s="227"/>
      <c r="U618" s="227"/>
      <c r="V618" s="227"/>
      <c r="W618" s="227"/>
      <c r="X618" s="227"/>
      <c r="Y618" s="227"/>
      <c r="Z618" s="227"/>
      <c r="AA618" s="227"/>
      <c r="AB618" s="227"/>
      <c r="AC618" s="227"/>
      <c r="AD618" s="227"/>
      <c r="AE618" s="227"/>
    </row>
    <row r="619" ht="15.75" customHeight="1">
      <c r="A619" s="227"/>
      <c r="B619" s="227"/>
      <c r="C619" s="227"/>
      <c r="D619" s="227"/>
      <c r="E619" s="227"/>
      <c r="F619" s="227"/>
      <c r="G619" s="227"/>
      <c r="H619" s="227"/>
      <c r="I619" s="227"/>
      <c r="J619" s="227"/>
      <c r="K619" s="227"/>
      <c r="L619" s="227"/>
      <c r="M619" s="227"/>
      <c r="N619" s="227"/>
      <c r="O619" s="227"/>
      <c r="P619" s="227"/>
      <c r="Q619" s="227"/>
      <c r="R619" s="227"/>
      <c r="S619" s="227"/>
      <c r="T619" s="227"/>
      <c r="U619" s="227"/>
      <c r="V619" s="227"/>
      <c r="W619" s="227"/>
      <c r="X619" s="227"/>
      <c r="Y619" s="227"/>
      <c r="Z619" s="227"/>
      <c r="AA619" s="227"/>
      <c r="AB619" s="227"/>
      <c r="AC619" s="227"/>
      <c r="AD619" s="227"/>
      <c r="AE619" s="227"/>
    </row>
    <row r="620" ht="15.75" customHeight="1">
      <c r="A620" s="227"/>
      <c r="B620" s="227"/>
      <c r="C620" s="227"/>
      <c r="D620" s="227"/>
      <c r="E620" s="227"/>
      <c r="F620" s="227"/>
      <c r="G620" s="227"/>
      <c r="H620" s="227"/>
      <c r="I620" s="227"/>
      <c r="J620" s="227"/>
      <c r="K620" s="227"/>
      <c r="L620" s="227"/>
      <c r="M620" s="227"/>
      <c r="N620" s="227"/>
      <c r="O620" s="227"/>
      <c r="P620" s="227"/>
      <c r="Q620" s="227"/>
      <c r="R620" s="227"/>
      <c r="S620" s="227"/>
      <c r="T620" s="227"/>
      <c r="U620" s="227"/>
      <c r="V620" s="227"/>
      <c r="W620" s="227"/>
      <c r="X620" s="227"/>
      <c r="Y620" s="227"/>
      <c r="Z620" s="227"/>
      <c r="AA620" s="227"/>
      <c r="AB620" s="227"/>
      <c r="AC620" s="227"/>
      <c r="AD620" s="227"/>
      <c r="AE620" s="227"/>
    </row>
    <row r="621" ht="15.75" customHeight="1">
      <c r="A621" s="227"/>
      <c r="B621" s="227"/>
      <c r="C621" s="227"/>
      <c r="D621" s="227"/>
      <c r="E621" s="227"/>
      <c r="F621" s="227"/>
      <c r="G621" s="227"/>
      <c r="H621" s="227"/>
      <c r="I621" s="227"/>
      <c r="J621" s="227"/>
      <c r="K621" s="227"/>
      <c r="L621" s="227"/>
      <c r="M621" s="227"/>
      <c r="N621" s="227"/>
      <c r="O621" s="227"/>
      <c r="P621" s="227"/>
      <c r="Q621" s="227"/>
      <c r="R621" s="227"/>
      <c r="S621" s="227"/>
      <c r="T621" s="227"/>
      <c r="U621" s="227"/>
      <c r="V621" s="227"/>
      <c r="W621" s="227"/>
      <c r="X621" s="227"/>
      <c r="Y621" s="227"/>
      <c r="Z621" s="227"/>
      <c r="AA621" s="227"/>
      <c r="AB621" s="227"/>
      <c r="AC621" s="227"/>
      <c r="AD621" s="227"/>
      <c r="AE621" s="227"/>
    </row>
    <row r="622" ht="15.75" customHeight="1">
      <c r="A622" s="227"/>
      <c r="B622" s="227"/>
      <c r="C622" s="227"/>
      <c r="D622" s="227"/>
      <c r="E622" s="227"/>
      <c r="F622" s="227"/>
      <c r="G622" s="227"/>
      <c r="H622" s="227"/>
      <c r="I622" s="227"/>
      <c r="J622" s="227"/>
      <c r="K622" s="227"/>
      <c r="L622" s="227"/>
      <c r="M622" s="227"/>
      <c r="N622" s="227"/>
      <c r="O622" s="227"/>
      <c r="P622" s="227"/>
      <c r="Q622" s="227"/>
      <c r="R622" s="227"/>
      <c r="S622" s="227"/>
      <c r="T622" s="227"/>
      <c r="U622" s="227"/>
      <c r="V622" s="227"/>
      <c r="W622" s="227"/>
      <c r="X622" s="227"/>
      <c r="Y622" s="227"/>
      <c r="Z622" s="227"/>
      <c r="AA622" s="227"/>
      <c r="AB622" s="227"/>
      <c r="AC622" s="227"/>
      <c r="AD622" s="227"/>
      <c r="AE622" s="227"/>
    </row>
    <row r="623" ht="15.75" customHeight="1">
      <c r="A623" s="227"/>
      <c r="B623" s="227"/>
      <c r="C623" s="227"/>
      <c r="D623" s="227"/>
      <c r="E623" s="227"/>
      <c r="F623" s="227"/>
      <c r="G623" s="227"/>
      <c r="H623" s="227"/>
      <c r="I623" s="227"/>
      <c r="J623" s="227"/>
      <c r="K623" s="227"/>
      <c r="L623" s="227"/>
      <c r="M623" s="227"/>
      <c r="N623" s="227"/>
      <c r="O623" s="227"/>
      <c r="P623" s="227"/>
      <c r="Q623" s="227"/>
      <c r="R623" s="227"/>
      <c r="S623" s="227"/>
      <c r="T623" s="227"/>
      <c r="U623" s="227"/>
      <c r="V623" s="227"/>
      <c r="W623" s="227"/>
      <c r="X623" s="227"/>
      <c r="Y623" s="227"/>
      <c r="Z623" s="227"/>
      <c r="AA623" s="227"/>
      <c r="AB623" s="227"/>
      <c r="AC623" s="227"/>
      <c r="AD623" s="227"/>
      <c r="AE623" s="227"/>
    </row>
    <row r="624" ht="15.75" customHeight="1">
      <c r="A624" s="227"/>
      <c r="B624" s="227"/>
      <c r="C624" s="227"/>
      <c r="D624" s="227"/>
      <c r="E624" s="227"/>
      <c r="F624" s="227"/>
      <c r="G624" s="227"/>
      <c r="H624" s="227"/>
      <c r="I624" s="227"/>
      <c r="J624" s="227"/>
      <c r="K624" s="227"/>
      <c r="L624" s="227"/>
      <c r="M624" s="227"/>
      <c r="N624" s="227"/>
      <c r="O624" s="227"/>
      <c r="P624" s="227"/>
      <c r="Q624" s="227"/>
      <c r="R624" s="227"/>
      <c r="S624" s="227"/>
      <c r="T624" s="227"/>
      <c r="U624" s="227"/>
      <c r="V624" s="227"/>
      <c r="W624" s="227"/>
      <c r="X624" s="227"/>
      <c r="Y624" s="227"/>
      <c r="Z624" s="227"/>
      <c r="AA624" s="227"/>
      <c r="AB624" s="227"/>
      <c r="AC624" s="227"/>
      <c r="AD624" s="227"/>
      <c r="AE624" s="227"/>
    </row>
    <row r="625" ht="15.75" customHeight="1">
      <c r="A625" s="227"/>
      <c r="B625" s="227"/>
      <c r="C625" s="227"/>
      <c r="D625" s="227"/>
      <c r="E625" s="227"/>
      <c r="F625" s="227"/>
      <c r="G625" s="227"/>
      <c r="H625" s="227"/>
      <c r="I625" s="227"/>
      <c r="J625" s="227"/>
      <c r="K625" s="227"/>
      <c r="L625" s="227"/>
      <c r="M625" s="227"/>
      <c r="N625" s="227"/>
      <c r="O625" s="227"/>
      <c r="P625" s="227"/>
      <c r="Q625" s="227"/>
      <c r="R625" s="227"/>
      <c r="S625" s="227"/>
      <c r="T625" s="227"/>
      <c r="U625" s="227"/>
      <c r="V625" s="227"/>
      <c r="W625" s="227"/>
      <c r="X625" s="227"/>
      <c r="Y625" s="227"/>
      <c r="Z625" s="227"/>
      <c r="AA625" s="227"/>
      <c r="AB625" s="227"/>
      <c r="AC625" s="227"/>
      <c r="AD625" s="227"/>
      <c r="AE625" s="227"/>
    </row>
    <row r="626" ht="15.75" customHeight="1">
      <c r="A626" s="227"/>
      <c r="B626" s="227"/>
      <c r="C626" s="227"/>
      <c r="D626" s="227"/>
      <c r="E626" s="227"/>
      <c r="F626" s="227"/>
      <c r="G626" s="227"/>
      <c r="H626" s="227"/>
      <c r="I626" s="227"/>
      <c r="J626" s="227"/>
      <c r="K626" s="227"/>
      <c r="L626" s="227"/>
      <c r="M626" s="227"/>
      <c r="N626" s="227"/>
      <c r="O626" s="227"/>
      <c r="P626" s="227"/>
      <c r="Q626" s="227"/>
      <c r="R626" s="227"/>
      <c r="S626" s="227"/>
      <c r="T626" s="227"/>
      <c r="U626" s="227"/>
      <c r="V626" s="227"/>
      <c r="W626" s="227"/>
      <c r="X626" s="227"/>
      <c r="Y626" s="227"/>
      <c r="Z626" s="227"/>
      <c r="AA626" s="227"/>
      <c r="AB626" s="227"/>
      <c r="AC626" s="227"/>
      <c r="AD626" s="227"/>
      <c r="AE626" s="227"/>
    </row>
    <row r="627" ht="15.75" customHeight="1">
      <c r="A627" s="227"/>
      <c r="B627" s="227"/>
      <c r="C627" s="227"/>
      <c r="D627" s="227"/>
      <c r="E627" s="227"/>
      <c r="F627" s="227"/>
      <c r="G627" s="227"/>
      <c r="H627" s="227"/>
      <c r="I627" s="227"/>
      <c r="J627" s="227"/>
      <c r="K627" s="227"/>
      <c r="L627" s="227"/>
      <c r="M627" s="227"/>
      <c r="N627" s="227"/>
      <c r="O627" s="227"/>
      <c r="P627" s="227"/>
      <c r="Q627" s="227"/>
      <c r="R627" s="227"/>
      <c r="S627" s="227"/>
      <c r="T627" s="227"/>
      <c r="U627" s="227"/>
      <c r="V627" s="227"/>
      <c r="W627" s="227"/>
      <c r="X627" s="227"/>
      <c r="Y627" s="227"/>
      <c r="Z627" s="227"/>
      <c r="AA627" s="227"/>
      <c r="AB627" s="227"/>
      <c r="AC627" s="227"/>
      <c r="AD627" s="227"/>
      <c r="AE627" s="227"/>
    </row>
    <row r="628" ht="15.75" customHeight="1">
      <c r="A628" s="227"/>
      <c r="B628" s="227"/>
      <c r="C628" s="227"/>
      <c r="D628" s="227"/>
      <c r="E628" s="227"/>
      <c r="F628" s="227"/>
      <c r="G628" s="227"/>
      <c r="H628" s="227"/>
      <c r="I628" s="227"/>
      <c r="J628" s="227"/>
      <c r="K628" s="227"/>
      <c r="L628" s="227"/>
      <c r="M628" s="227"/>
      <c r="N628" s="227"/>
      <c r="O628" s="227"/>
      <c r="P628" s="227"/>
      <c r="Q628" s="227"/>
      <c r="R628" s="227"/>
      <c r="S628" s="227"/>
      <c r="T628" s="227"/>
      <c r="U628" s="227"/>
      <c r="V628" s="227"/>
      <c r="W628" s="227"/>
      <c r="X628" s="227"/>
      <c r="Y628" s="227"/>
      <c r="Z628" s="227"/>
      <c r="AA628" s="227"/>
      <c r="AB628" s="227"/>
      <c r="AC628" s="227"/>
      <c r="AD628" s="227"/>
      <c r="AE628" s="227"/>
    </row>
    <row r="629" ht="15.75" customHeight="1">
      <c r="A629" s="227"/>
      <c r="B629" s="227"/>
      <c r="C629" s="227"/>
      <c r="D629" s="227"/>
      <c r="E629" s="227"/>
      <c r="F629" s="227"/>
      <c r="G629" s="227"/>
      <c r="H629" s="227"/>
      <c r="I629" s="227"/>
      <c r="J629" s="227"/>
      <c r="K629" s="227"/>
      <c r="L629" s="227"/>
      <c r="M629" s="227"/>
      <c r="N629" s="227"/>
      <c r="O629" s="227"/>
      <c r="P629" s="227"/>
      <c r="Q629" s="227"/>
      <c r="R629" s="227"/>
      <c r="S629" s="227"/>
      <c r="T629" s="227"/>
      <c r="U629" s="227"/>
      <c r="V629" s="227"/>
      <c r="W629" s="227"/>
      <c r="X629" s="227"/>
      <c r="Y629" s="227"/>
      <c r="Z629" s="227"/>
      <c r="AA629" s="227"/>
      <c r="AB629" s="227"/>
      <c r="AC629" s="227"/>
      <c r="AD629" s="227"/>
      <c r="AE629" s="227"/>
    </row>
    <row r="630" ht="15.75" customHeight="1">
      <c r="A630" s="227"/>
      <c r="B630" s="227"/>
      <c r="C630" s="227"/>
      <c r="D630" s="227"/>
      <c r="E630" s="227"/>
      <c r="F630" s="227"/>
      <c r="G630" s="227"/>
      <c r="H630" s="227"/>
      <c r="I630" s="227"/>
      <c r="J630" s="227"/>
      <c r="K630" s="227"/>
      <c r="L630" s="227"/>
      <c r="M630" s="227"/>
      <c r="N630" s="227"/>
      <c r="O630" s="227"/>
      <c r="P630" s="227"/>
      <c r="Q630" s="227"/>
      <c r="R630" s="227"/>
      <c r="S630" s="227"/>
      <c r="T630" s="227"/>
      <c r="U630" s="227"/>
      <c r="V630" s="227"/>
      <c r="W630" s="227"/>
      <c r="X630" s="227"/>
      <c r="Y630" s="227"/>
      <c r="Z630" s="227"/>
      <c r="AA630" s="227"/>
      <c r="AB630" s="227"/>
      <c r="AC630" s="227"/>
      <c r="AD630" s="227"/>
      <c r="AE630" s="227"/>
    </row>
    <row r="631" ht="15.75" customHeight="1">
      <c r="A631" s="227"/>
      <c r="B631" s="227"/>
      <c r="C631" s="227"/>
      <c r="D631" s="227"/>
      <c r="E631" s="227"/>
      <c r="F631" s="227"/>
      <c r="G631" s="227"/>
      <c r="H631" s="227"/>
      <c r="I631" s="227"/>
      <c r="J631" s="227"/>
      <c r="K631" s="227"/>
      <c r="L631" s="227"/>
      <c r="M631" s="227"/>
      <c r="N631" s="227"/>
      <c r="O631" s="227"/>
      <c r="P631" s="227"/>
      <c r="Q631" s="227"/>
      <c r="R631" s="227"/>
      <c r="S631" s="227"/>
      <c r="T631" s="227"/>
      <c r="U631" s="227"/>
      <c r="V631" s="227"/>
      <c r="W631" s="227"/>
      <c r="X631" s="227"/>
      <c r="Y631" s="227"/>
      <c r="Z631" s="227"/>
      <c r="AA631" s="227"/>
      <c r="AB631" s="227"/>
      <c r="AC631" s="227"/>
      <c r="AD631" s="227"/>
      <c r="AE631" s="227"/>
    </row>
    <row r="632" ht="15.75" customHeight="1">
      <c r="A632" s="227"/>
      <c r="B632" s="227"/>
      <c r="C632" s="227"/>
      <c r="D632" s="227"/>
      <c r="E632" s="227"/>
      <c r="F632" s="227"/>
      <c r="G632" s="227"/>
      <c r="H632" s="227"/>
      <c r="I632" s="227"/>
      <c r="J632" s="227"/>
      <c r="K632" s="227"/>
      <c r="L632" s="227"/>
      <c r="M632" s="227"/>
      <c r="N632" s="227"/>
      <c r="O632" s="227"/>
      <c r="P632" s="227"/>
      <c r="Q632" s="227"/>
      <c r="R632" s="227"/>
      <c r="S632" s="227"/>
      <c r="T632" s="227"/>
      <c r="U632" s="227"/>
      <c r="V632" s="227"/>
      <c r="W632" s="227"/>
      <c r="X632" s="227"/>
      <c r="Y632" s="227"/>
      <c r="Z632" s="227"/>
      <c r="AA632" s="227"/>
      <c r="AB632" s="227"/>
      <c r="AC632" s="227"/>
      <c r="AD632" s="227"/>
      <c r="AE632" s="227"/>
    </row>
    <row r="633" ht="15.75" customHeight="1">
      <c r="A633" s="227"/>
      <c r="B633" s="227"/>
      <c r="C633" s="227"/>
      <c r="D633" s="227"/>
      <c r="E633" s="227"/>
      <c r="F633" s="227"/>
      <c r="G633" s="227"/>
      <c r="H633" s="227"/>
      <c r="I633" s="227"/>
      <c r="J633" s="227"/>
      <c r="K633" s="227"/>
      <c r="L633" s="227"/>
      <c r="M633" s="227"/>
      <c r="N633" s="227"/>
      <c r="O633" s="227"/>
      <c r="P633" s="227"/>
      <c r="Q633" s="227"/>
      <c r="R633" s="227"/>
      <c r="S633" s="227"/>
      <c r="T633" s="227"/>
      <c r="U633" s="227"/>
      <c r="V633" s="227"/>
      <c r="W633" s="227"/>
      <c r="X633" s="227"/>
      <c r="Y633" s="227"/>
      <c r="Z633" s="227"/>
      <c r="AA633" s="227"/>
      <c r="AB633" s="227"/>
      <c r="AC633" s="227"/>
      <c r="AD633" s="227"/>
      <c r="AE633" s="227"/>
    </row>
    <row r="634" ht="15.75" customHeight="1">
      <c r="A634" s="227"/>
      <c r="B634" s="227"/>
      <c r="C634" s="227"/>
      <c r="D634" s="227"/>
      <c r="E634" s="227"/>
      <c r="F634" s="227"/>
      <c r="G634" s="227"/>
      <c r="H634" s="227"/>
      <c r="I634" s="227"/>
      <c r="J634" s="227"/>
      <c r="K634" s="227"/>
      <c r="L634" s="227"/>
      <c r="M634" s="227"/>
      <c r="N634" s="227"/>
      <c r="O634" s="227"/>
      <c r="P634" s="227"/>
      <c r="Q634" s="227"/>
      <c r="R634" s="227"/>
      <c r="S634" s="227"/>
      <c r="T634" s="227"/>
      <c r="U634" s="227"/>
      <c r="V634" s="227"/>
      <c r="W634" s="227"/>
      <c r="X634" s="227"/>
      <c r="Y634" s="227"/>
      <c r="Z634" s="227"/>
      <c r="AA634" s="227"/>
      <c r="AB634" s="227"/>
      <c r="AC634" s="227"/>
      <c r="AD634" s="227"/>
      <c r="AE634" s="227"/>
    </row>
    <row r="635" ht="15.75" customHeight="1">
      <c r="A635" s="227"/>
      <c r="B635" s="227"/>
      <c r="C635" s="227"/>
      <c r="D635" s="227"/>
      <c r="E635" s="227"/>
      <c r="F635" s="227"/>
      <c r="G635" s="227"/>
      <c r="H635" s="227"/>
      <c r="I635" s="227"/>
      <c r="J635" s="227"/>
      <c r="K635" s="227"/>
      <c r="L635" s="227"/>
      <c r="M635" s="227"/>
      <c r="N635" s="227"/>
      <c r="O635" s="227"/>
      <c r="P635" s="227"/>
      <c r="Q635" s="227"/>
      <c r="R635" s="227"/>
      <c r="S635" s="227"/>
      <c r="T635" s="227"/>
      <c r="U635" s="227"/>
      <c r="V635" s="227"/>
      <c r="W635" s="227"/>
      <c r="X635" s="227"/>
      <c r="Y635" s="227"/>
      <c r="Z635" s="227"/>
      <c r="AA635" s="227"/>
      <c r="AB635" s="227"/>
      <c r="AC635" s="227"/>
      <c r="AD635" s="227"/>
      <c r="AE635" s="227"/>
    </row>
    <row r="636" ht="15.75" customHeight="1">
      <c r="A636" s="227"/>
      <c r="B636" s="227"/>
      <c r="C636" s="227"/>
      <c r="D636" s="227"/>
      <c r="E636" s="227"/>
      <c r="F636" s="227"/>
      <c r="G636" s="227"/>
      <c r="H636" s="227"/>
      <c r="I636" s="227"/>
      <c r="J636" s="227"/>
      <c r="K636" s="227"/>
      <c r="L636" s="227"/>
      <c r="M636" s="227"/>
      <c r="N636" s="227"/>
      <c r="O636" s="227"/>
      <c r="P636" s="227"/>
      <c r="Q636" s="227"/>
      <c r="R636" s="227"/>
      <c r="S636" s="227"/>
      <c r="T636" s="227"/>
      <c r="U636" s="227"/>
      <c r="V636" s="227"/>
      <c r="W636" s="227"/>
      <c r="X636" s="227"/>
      <c r="Y636" s="227"/>
      <c r="Z636" s="227"/>
      <c r="AA636" s="227"/>
      <c r="AB636" s="227"/>
      <c r="AC636" s="227"/>
      <c r="AD636" s="227"/>
      <c r="AE636" s="227"/>
    </row>
    <row r="637" ht="15.75" customHeight="1">
      <c r="A637" s="227"/>
      <c r="B637" s="227"/>
      <c r="C637" s="227"/>
      <c r="D637" s="227"/>
      <c r="E637" s="227"/>
      <c r="F637" s="227"/>
      <c r="G637" s="227"/>
      <c r="H637" s="227"/>
      <c r="I637" s="227"/>
      <c r="J637" s="227"/>
      <c r="K637" s="227"/>
      <c r="L637" s="227"/>
      <c r="M637" s="227"/>
      <c r="N637" s="227"/>
      <c r="O637" s="227"/>
      <c r="P637" s="227"/>
      <c r="Q637" s="227"/>
      <c r="R637" s="227"/>
      <c r="S637" s="227"/>
      <c r="T637" s="227"/>
      <c r="U637" s="227"/>
      <c r="V637" s="227"/>
      <c r="W637" s="227"/>
      <c r="X637" s="227"/>
      <c r="Y637" s="227"/>
      <c r="Z637" s="227"/>
      <c r="AA637" s="227"/>
      <c r="AB637" s="227"/>
      <c r="AC637" s="227"/>
      <c r="AD637" s="227"/>
      <c r="AE637" s="227"/>
    </row>
    <row r="638" ht="15.75" customHeight="1">
      <c r="A638" s="227"/>
      <c r="B638" s="227"/>
      <c r="C638" s="227"/>
      <c r="D638" s="227"/>
      <c r="E638" s="227"/>
      <c r="F638" s="227"/>
      <c r="G638" s="227"/>
      <c r="H638" s="227"/>
      <c r="I638" s="227"/>
      <c r="J638" s="227"/>
      <c r="K638" s="227"/>
      <c r="L638" s="227"/>
      <c r="M638" s="227"/>
      <c r="N638" s="227"/>
      <c r="O638" s="227"/>
      <c r="P638" s="227"/>
      <c r="Q638" s="227"/>
      <c r="R638" s="227"/>
      <c r="S638" s="227"/>
      <c r="T638" s="227"/>
      <c r="U638" s="227"/>
      <c r="V638" s="227"/>
      <c r="W638" s="227"/>
      <c r="X638" s="227"/>
      <c r="Y638" s="227"/>
      <c r="Z638" s="227"/>
      <c r="AA638" s="227"/>
      <c r="AB638" s="227"/>
      <c r="AC638" s="227"/>
      <c r="AD638" s="227"/>
      <c r="AE638" s="227"/>
    </row>
    <row r="639" ht="15.75" customHeight="1">
      <c r="A639" s="227"/>
      <c r="B639" s="227"/>
      <c r="C639" s="227"/>
      <c r="D639" s="227"/>
      <c r="E639" s="227"/>
      <c r="F639" s="227"/>
      <c r="G639" s="227"/>
      <c r="H639" s="227"/>
      <c r="I639" s="227"/>
      <c r="J639" s="227"/>
      <c r="K639" s="227"/>
      <c r="L639" s="227"/>
      <c r="M639" s="227"/>
      <c r="N639" s="227"/>
      <c r="O639" s="227"/>
      <c r="P639" s="227"/>
      <c r="Q639" s="227"/>
      <c r="R639" s="227"/>
      <c r="S639" s="227"/>
      <c r="T639" s="227"/>
      <c r="U639" s="227"/>
      <c r="V639" s="227"/>
      <c r="W639" s="227"/>
      <c r="X639" s="227"/>
      <c r="Y639" s="227"/>
      <c r="Z639" s="227"/>
      <c r="AA639" s="227"/>
      <c r="AB639" s="227"/>
      <c r="AC639" s="227"/>
      <c r="AD639" s="227"/>
      <c r="AE639" s="227"/>
    </row>
    <row r="640" ht="15.75" customHeight="1">
      <c r="A640" s="227"/>
      <c r="B640" s="227"/>
      <c r="C640" s="227"/>
      <c r="D640" s="227"/>
      <c r="E640" s="227"/>
      <c r="F640" s="227"/>
      <c r="G640" s="227"/>
      <c r="H640" s="227"/>
      <c r="I640" s="227"/>
      <c r="J640" s="227"/>
      <c r="K640" s="227"/>
      <c r="L640" s="227"/>
      <c r="M640" s="227"/>
      <c r="N640" s="227"/>
      <c r="O640" s="227"/>
      <c r="P640" s="227"/>
      <c r="Q640" s="227"/>
      <c r="R640" s="227"/>
      <c r="S640" s="227"/>
      <c r="T640" s="227"/>
      <c r="U640" s="227"/>
      <c r="V640" s="227"/>
      <c r="W640" s="227"/>
      <c r="X640" s="227"/>
      <c r="Y640" s="227"/>
      <c r="Z640" s="227"/>
      <c r="AA640" s="227"/>
      <c r="AB640" s="227"/>
      <c r="AC640" s="227"/>
      <c r="AD640" s="227"/>
      <c r="AE640" s="227"/>
    </row>
    <row r="641" ht="15.75" customHeight="1">
      <c r="A641" s="227"/>
      <c r="B641" s="227"/>
      <c r="C641" s="227"/>
      <c r="D641" s="227"/>
      <c r="E641" s="227"/>
      <c r="F641" s="227"/>
      <c r="G641" s="227"/>
      <c r="H641" s="227"/>
      <c r="I641" s="227"/>
      <c r="J641" s="227"/>
      <c r="K641" s="227"/>
      <c r="L641" s="227"/>
      <c r="M641" s="227"/>
      <c r="N641" s="227"/>
      <c r="O641" s="227"/>
      <c r="P641" s="227"/>
      <c r="Q641" s="227"/>
      <c r="R641" s="227"/>
      <c r="S641" s="227"/>
      <c r="T641" s="227"/>
      <c r="U641" s="227"/>
      <c r="V641" s="227"/>
      <c r="W641" s="227"/>
      <c r="X641" s="227"/>
      <c r="Y641" s="227"/>
      <c r="Z641" s="227"/>
      <c r="AA641" s="227"/>
      <c r="AB641" s="227"/>
      <c r="AC641" s="227"/>
      <c r="AD641" s="227"/>
      <c r="AE641" s="227"/>
    </row>
    <row r="642" ht="15.75" customHeight="1">
      <c r="A642" s="227"/>
      <c r="B642" s="227"/>
      <c r="C642" s="227"/>
      <c r="D642" s="227"/>
      <c r="E642" s="227"/>
      <c r="F642" s="227"/>
      <c r="G642" s="227"/>
      <c r="H642" s="227"/>
      <c r="I642" s="227"/>
      <c r="J642" s="227"/>
      <c r="K642" s="227"/>
      <c r="L642" s="227"/>
      <c r="M642" s="227"/>
      <c r="N642" s="227"/>
      <c r="O642" s="227"/>
      <c r="P642" s="227"/>
      <c r="Q642" s="227"/>
      <c r="R642" s="227"/>
      <c r="S642" s="227"/>
      <c r="T642" s="227"/>
      <c r="U642" s="227"/>
      <c r="V642" s="227"/>
      <c r="W642" s="227"/>
      <c r="X642" s="227"/>
      <c r="Y642" s="227"/>
      <c r="Z642" s="227"/>
      <c r="AA642" s="227"/>
      <c r="AB642" s="227"/>
      <c r="AC642" s="227"/>
      <c r="AD642" s="227"/>
      <c r="AE642" s="227"/>
    </row>
    <row r="643" ht="15.75" customHeight="1">
      <c r="A643" s="227"/>
      <c r="B643" s="227"/>
      <c r="C643" s="227"/>
      <c r="D643" s="227"/>
      <c r="E643" s="227"/>
      <c r="F643" s="227"/>
      <c r="G643" s="227"/>
      <c r="H643" s="227"/>
      <c r="I643" s="227"/>
      <c r="J643" s="227"/>
      <c r="K643" s="227"/>
      <c r="L643" s="227"/>
      <c r="M643" s="227"/>
      <c r="N643" s="227"/>
      <c r="O643" s="227"/>
      <c r="P643" s="227"/>
      <c r="Q643" s="227"/>
      <c r="R643" s="227"/>
      <c r="S643" s="227"/>
      <c r="T643" s="227"/>
      <c r="U643" s="227"/>
      <c r="V643" s="227"/>
      <c r="W643" s="227"/>
      <c r="X643" s="227"/>
      <c r="Y643" s="227"/>
      <c r="Z643" s="227"/>
      <c r="AA643" s="227"/>
      <c r="AB643" s="227"/>
      <c r="AC643" s="227"/>
      <c r="AD643" s="227"/>
      <c r="AE643" s="227"/>
    </row>
    <row r="644" ht="15.75" customHeight="1">
      <c r="A644" s="227"/>
      <c r="B644" s="227"/>
      <c r="C644" s="227"/>
      <c r="D644" s="227"/>
      <c r="E644" s="227"/>
      <c r="F644" s="227"/>
      <c r="G644" s="227"/>
      <c r="H644" s="227"/>
      <c r="I644" s="227"/>
      <c r="J644" s="227"/>
      <c r="K644" s="227"/>
      <c r="L644" s="227"/>
      <c r="M644" s="227"/>
      <c r="N644" s="227"/>
      <c r="O644" s="227"/>
      <c r="P644" s="227"/>
      <c r="Q644" s="227"/>
      <c r="R644" s="227"/>
      <c r="S644" s="227"/>
      <c r="T644" s="227"/>
      <c r="U644" s="227"/>
      <c r="V644" s="227"/>
      <c r="W644" s="227"/>
      <c r="X644" s="227"/>
      <c r="Y644" s="227"/>
      <c r="Z644" s="227"/>
      <c r="AA644" s="227"/>
      <c r="AB644" s="227"/>
      <c r="AC644" s="227"/>
      <c r="AD644" s="227"/>
      <c r="AE644" s="227"/>
    </row>
    <row r="645" ht="15.75" customHeight="1">
      <c r="A645" s="227"/>
      <c r="B645" s="227"/>
      <c r="C645" s="227"/>
      <c r="D645" s="227"/>
      <c r="E645" s="227"/>
      <c r="F645" s="227"/>
      <c r="G645" s="227"/>
      <c r="H645" s="227"/>
      <c r="I645" s="227"/>
      <c r="J645" s="227"/>
      <c r="K645" s="227"/>
      <c r="L645" s="227"/>
      <c r="M645" s="227"/>
      <c r="N645" s="227"/>
      <c r="O645" s="227"/>
      <c r="P645" s="227"/>
      <c r="Q645" s="227"/>
      <c r="R645" s="227"/>
      <c r="S645" s="227"/>
      <c r="T645" s="227"/>
      <c r="U645" s="227"/>
      <c r="V645" s="227"/>
      <c r="W645" s="227"/>
      <c r="X645" s="227"/>
      <c r="Y645" s="227"/>
      <c r="Z645" s="227"/>
      <c r="AA645" s="227"/>
      <c r="AB645" s="227"/>
      <c r="AC645" s="227"/>
      <c r="AD645" s="227"/>
      <c r="AE645" s="227"/>
    </row>
    <row r="646" ht="15.75" customHeight="1">
      <c r="A646" s="227"/>
      <c r="B646" s="227"/>
      <c r="C646" s="227"/>
      <c r="D646" s="227"/>
      <c r="E646" s="227"/>
      <c r="F646" s="227"/>
      <c r="G646" s="227"/>
      <c r="H646" s="227"/>
      <c r="I646" s="227"/>
      <c r="J646" s="227"/>
      <c r="K646" s="227"/>
      <c r="L646" s="227"/>
      <c r="M646" s="227"/>
      <c r="N646" s="227"/>
      <c r="O646" s="227"/>
      <c r="P646" s="227"/>
      <c r="Q646" s="227"/>
      <c r="R646" s="227"/>
      <c r="S646" s="227"/>
      <c r="T646" s="227"/>
      <c r="U646" s="227"/>
      <c r="V646" s="227"/>
      <c r="W646" s="227"/>
      <c r="X646" s="227"/>
      <c r="Y646" s="227"/>
      <c r="Z646" s="227"/>
      <c r="AA646" s="227"/>
      <c r="AB646" s="227"/>
      <c r="AC646" s="227"/>
      <c r="AD646" s="227"/>
      <c r="AE646" s="227"/>
    </row>
    <row r="647" ht="15.75" customHeight="1">
      <c r="A647" s="227"/>
      <c r="B647" s="227"/>
      <c r="C647" s="227"/>
      <c r="D647" s="227"/>
      <c r="E647" s="227"/>
      <c r="F647" s="227"/>
      <c r="G647" s="227"/>
      <c r="H647" s="227"/>
      <c r="I647" s="227"/>
      <c r="J647" s="227"/>
      <c r="K647" s="227"/>
      <c r="L647" s="227"/>
      <c r="M647" s="227"/>
      <c r="N647" s="227"/>
      <c r="O647" s="227"/>
      <c r="P647" s="227"/>
      <c r="Q647" s="227"/>
      <c r="R647" s="227"/>
      <c r="S647" s="227"/>
      <c r="T647" s="227"/>
      <c r="U647" s="227"/>
      <c r="V647" s="227"/>
      <c r="W647" s="227"/>
      <c r="X647" s="227"/>
      <c r="Y647" s="227"/>
      <c r="Z647" s="227"/>
      <c r="AA647" s="227"/>
      <c r="AB647" s="227"/>
      <c r="AC647" s="227"/>
      <c r="AD647" s="227"/>
      <c r="AE647" s="227"/>
    </row>
    <row r="648" ht="15.75" customHeight="1">
      <c r="A648" s="227"/>
      <c r="B648" s="227"/>
      <c r="C648" s="227"/>
      <c r="D648" s="227"/>
      <c r="E648" s="227"/>
      <c r="F648" s="227"/>
      <c r="G648" s="227"/>
      <c r="H648" s="227"/>
      <c r="I648" s="227"/>
      <c r="J648" s="227"/>
      <c r="K648" s="227"/>
      <c r="L648" s="227"/>
      <c r="M648" s="227"/>
      <c r="N648" s="227"/>
      <c r="O648" s="227"/>
      <c r="P648" s="227"/>
      <c r="Q648" s="227"/>
      <c r="R648" s="227"/>
      <c r="S648" s="227"/>
      <c r="T648" s="227"/>
      <c r="U648" s="227"/>
      <c r="V648" s="227"/>
      <c r="W648" s="227"/>
      <c r="X648" s="227"/>
      <c r="Y648" s="227"/>
      <c r="Z648" s="227"/>
      <c r="AA648" s="227"/>
      <c r="AB648" s="227"/>
      <c r="AC648" s="227"/>
      <c r="AD648" s="227"/>
      <c r="AE648" s="227"/>
    </row>
    <row r="649" ht="15.75" customHeight="1">
      <c r="A649" s="227"/>
      <c r="B649" s="227"/>
      <c r="C649" s="227"/>
      <c r="D649" s="227"/>
      <c r="E649" s="227"/>
      <c r="F649" s="227"/>
      <c r="G649" s="227"/>
      <c r="H649" s="227"/>
      <c r="I649" s="227"/>
      <c r="J649" s="227"/>
      <c r="K649" s="227"/>
      <c r="L649" s="227"/>
      <c r="M649" s="227"/>
      <c r="N649" s="227"/>
      <c r="O649" s="227"/>
      <c r="P649" s="227"/>
      <c r="Q649" s="227"/>
      <c r="R649" s="227"/>
      <c r="S649" s="227"/>
      <c r="T649" s="227"/>
      <c r="U649" s="227"/>
      <c r="V649" s="227"/>
      <c r="W649" s="227"/>
      <c r="X649" s="227"/>
      <c r="Y649" s="227"/>
      <c r="Z649" s="227"/>
      <c r="AA649" s="227"/>
      <c r="AB649" s="227"/>
      <c r="AC649" s="227"/>
      <c r="AD649" s="227"/>
      <c r="AE649" s="227"/>
    </row>
    <row r="650" ht="15.75" customHeight="1">
      <c r="A650" s="227"/>
      <c r="B650" s="227"/>
      <c r="C650" s="227"/>
      <c r="D650" s="227"/>
      <c r="E650" s="227"/>
      <c r="F650" s="227"/>
      <c r="G650" s="227"/>
      <c r="H650" s="227"/>
      <c r="I650" s="227"/>
      <c r="J650" s="227"/>
      <c r="K650" s="227"/>
      <c r="L650" s="227"/>
      <c r="M650" s="227"/>
      <c r="N650" s="227"/>
      <c r="O650" s="227"/>
      <c r="P650" s="227"/>
      <c r="Q650" s="227"/>
      <c r="R650" s="227"/>
      <c r="S650" s="227"/>
      <c r="T650" s="227"/>
      <c r="U650" s="227"/>
      <c r="V650" s="227"/>
      <c r="W650" s="227"/>
      <c r="X650" s="227"/>
      <c r="Y650" s="227"/>
      <c r="Z650" s="227"/>
      <c r="AA650" s="227"/>
      <c r="AB650" s="227"/>
      <c r="AC650" s="227"/>
      <c r="AD650" s="227"/>
      <c r="AE650" s="227"/>
    </row>
    <row r="651" ht="15.75" customHeight="1">
      <c r="A651" s="227"/>
      <c r="B651" s="227"/>
      <c r="C651" s="227"/>
      <c r="D651" s="227"/>
      <c r="E651" s="227"/>
      <c r="F651" s="227"/>
      <c r="G651" s="227"/>
      <c r="H651" s="227"/>
      <c r="I651" s="227"/>
      <c r="J651" s="227"/>
      <c r="K651" s="227"/>
      <c r="L651" s="227"/>
      <c r="M651" s="227"/>
      <c r="N651" s="227"/>
      <c r="O651" s="227"/>
      <c r="P651" s="227"/>
      <c r="Q651" s="227"/>
      <c r="R651" s="227"/>
      <c r="S651" s="227"/>
      <c r="T651" s="227"/>
      <c r="U651" s="227"/>
      <c r="V651" s="227"/>
      <c r="W651" s="227"/>
      <c r="X651" s="227"/>
      <c r="Y651" s="227"/>
      <c r="Z651" s="227"/>
      <c r="AA651" s="227"/>
      <c r="AB651" s="227"/>
      <c r="AC651" s="227"/>
      <c r="AD651" s="227"/>
      <c r="AE651" s="227"/>
    </row>
    <row r="652" ht="15.75" customHeight="1">
      <c r="A652" s="227"/>
      <c r="B652" s="227"/>
      <c r="C652" s="227"/>
      <c r="D652" s="227"/>
      <c r="E652" s="227"/>
      <c r="F652" s="227"/>
      <c r="G652" s="227"/>
      <c r="H652" s="227"/>
      <c r="I652" s="227"/>
      <c r="J652" s="227"/>
      <c r="K652" s="227"/>
      <c r="L652" s="227"/>
      <c r="M652" s="227"/>
      <c r="N652" s="227"/>
      <c r="O652" s="227"/>
      <c r="P652" s="227"/>
      <c r="Q652" s="227"/>
      <c r="R652" s="227"/>
      <c r="S652" s="227"/>
      <c r="T652" s="227"/>
      <c r="U652" s="227"/>
      <c r="V652" s="227"/>
      <c r="W652" s="227"/>
      <c r="X652" s="227"/>
      <c r="Y652" s="227"/>
      <c r="Z652" s="227"/>
      <c r="AA652" s="227"/>
      <c r="AB652" s="227"/>
      <c r="AC652" s="227"/>
      <c r="AD652" s="227"/>
      <c r="AE652" s="227"/>
    </row>
    <row r="653" ht="15.75" customHeight="1">
      <c r="A653" s="227"/>
      <c r="B653" s="227"/>
      <c r="C653" s="227"/>
      <c r="D653" s="227"/>
      <c r="E653" s="227"/>
      <c r="F653" s="227"/>
      <c r="G653" s="227"/>
      <c r="H653" s="227"/>
      <c r="I653" s="227"/>
      <c r="J653" s="227"/>
      <c r="K653" s="227"/>
      <c r="L653" s="227"/>
      <c r="M653" s="227"/>
      <c r="N653" s="227"/>
      <c r="O653" s="227"/>
      <c r="P653" s="227"/>
      <c r="Q653" s="227"/>
      <c r="R653" s="227"/>
      <c r="S653" s="227"/>
      <c r="T653" s="227"/>
      <c r="U653" s="227"/>
      <c r="V653" s="227"/>
      <c r="W653" s="227"/>
      <c r="X653" s="227"/>
      <c r="Y653" s="227"/>
      <c r="Z653" s="227"/>
      <c r="AA653" s="227"/>
      <c r="AB653" s="227"/>
      <c r="AC653" s="227"/>
      <c r="AD653" s="227"/>
      <c r="AE653" s="227"/>
    </row>
    <row r="654" ht="15.75" customHeight="1">
      <c r="A654" s="227"/>
      <c r="B654" s="227"/>
      <c r="C654" s="227"/>
      <c r="D654" s="227"/>
      <c r="E654" s="227"/>
      <c r="F654" s="227"/>
      <c r="G654" s="227"/>
      <c r="H654" s="227"/>
      <c r="I654" s="227"/>
      <c r="J654" s="227"/>
      <c r="K654" s="227"/>
      <c r="L654" s="227"/>
      <c r="M654" s="227"/>
      <c r="N654" s="227"/>
      <c r="O654" s="227"/>
      <c r="P654" s="227"/>
      <c r="Q654" s="227"/>
      <c r="R654" s="227"/>
      <c r="S654" s="227"/>
      <c r="T654" s="227"/>
      <c r="U654" s="227"/>
      <c r="V654" s="227"/>
      <c r="W654" s="227"/>
      <c r="X654" s="227"/>
      <c r="Y654" s="227"/>
      <c r="Z654" s="227"/>
      <c r="AA654" s="227"/>
      <c r="AB654" s="227"/>
      <c r="AC654" s="227"/>
      <c r="AD654" s="227"/>
      <c r="AE654" s="227"/>
    </row>
    <row r="655" ht="15.75" customHeight="1">
      <c r="A655" s="227"/>
      <c r="B655" s="227"/>
      <c r="C655" s="227"/>
      <c r="D655" s="227"/>
      <c r="E655" s="227"/>
      <c r="F655" s="227"/>
      <c r="G655" s="227"/>
      <c r="H655" s="227"/>
      <c r="I655" s="227"/>
      <c r="J655" s="227"/>
      <c r="K655" s="227"/>
      <c r="L655" s="227"/>
      <c r="M655" s="227"/>
      <c r="N655" s="227"/>
      <c r="O655" s="227"/>
      <c r="P655" s="227"/>
      <c r="Q655" s="227"/>
      <c r="R655" s="227"/>
      <c r="S655" s="227"/>
      <c r="T655" s="227"/>
      <c r="U655" s="227"/>
      <c r="V655" s="227"/>
      <c r="W655" s="227"/>
      <c r="X655" s="227"/>
      <c r="Y655" s="227"/>
      <c r="Z655" s="227"/>
      <c r="AA655" s="227"/>
      <c r="AB655" s="227"/>
      <c r="AC655" s="227"/>
      <c r="AD655" s="227"/>
      <c r="AE655" s="227"/>
    </row>
    <row r="656" ht="15.75" customHeight="1">
      <c r="A656" s="227"/>
      <c r="B656" s="227"/>
      <c r="C656" s="227"/>
      <c r="D656" s="227"/>
      <c r="E656" s="227"/>
      <c r="F656" s="227"/>
      <c r="G656" s="227"/>
      <c r="H656" s="227"/>
      <c r="I656" s="227"/>
      <c r="J656" s="227"/>
      <c r="K656" s="227"/>
      <c r="L656" s="227"/>
      <c r="M656" s="227"/>
      <c r="N656" s="227"/>
      <c r="O656" s="227"/>
      <c r="P656" s="227"/>
      <c r="Q656" s="227"/>
      <c r="R656" s="227"/>
      <c r="S656" s="227"/>
      <c r="T656" s="227"/>
      <c r="U656" s="227"/>
      <c r="V656" s="227"/>
      <c r="W656" s="227"/>
      <c r="X656" s="227"/>
      <c r="Y656" s="227"/>
      <c r="Z656" s="227"/>
      <c r="AA656" s="227"/>
      <c r="AB656" s="227"/>
      <c r="AC656" s="227"/>
      <c r="AD656" s="227"/>
      <c r="AE656" s="227"/>
    </row>
    <row r="657" ht="15.75" customHeight="1">
      <c r="A657" s="227"/>
      <c r="B657" s="227"/>
      <c r="C657" s="227"/>
      <c r="D657" s="227"/>
      <c r="E657" s="227"/>
      <c r="F657" s="227"/>
      <c r="G657" s="227"/>
      <c r="H657" s="227"/>
      <c r="I657" s="227"/>
      <c r="J657" s="227"/>
      <c r="K657" s="227"/>
      <c r="L657" s="227"/>
      <c r="M657" s="227"/>
      <c r="N657" s="227"/>
      <c r="O657" s="227"/>
      <c r="P657" s="227"/>
      <c r="Q657" s="227"/>
      <c r="R657" s="227"/>
      <c r="S657" s="227"/>
      <c r="T657" s="227"/>
      <c r="U657" s="227"/>
      <c r="V657" s="227"/>
      <c r="W657" s="227"/>
      <c r="X657" s="227"/>
      <c r="Y657" s="227"/>
      <c r="Z657" s="227"/>
      <c r="AA657" s="227"/>
      <c r="AB657" s="227"/>
      <c r="AC657" s="227"/>
      <c r="AD657" s="227"/>
      <c r="AE657" s="227"/>
    </row>
    <row r="658" ht="15.75" customHeight="1">
      <c r="A658" s="227"/>
      <c r="B658" s="227"/>
      <c r="C658" s="227"/>
      <c r="D658" s="227"/>
      <c r="E658" s="227"/>
      <c r="F658" s="227"/>
      <c r="G658" s="227"/>
      <c r="H658" s="227"/>
      <c r="I658" s="227"/>
      <c r="J658" s="227"/>
      <c r="K658" s="227"/>
      <c r="L658" s="227"/>
      <c r="M658" s="227"/>
      <c r="N658" s="227"/>
      <c r="O658" s="227"/>
      <c r="P658" s="227"/>
      <c r="Q658" s="227"/>
      <c r="R658" s="227"/>
      <c r="S658" s="227"/>
      <c r="T658" s="227"/>
      <c r="U658" s="227"/>
      <c r="V658" s="227"/>
      <c r="W658" s="227"/>
      <c r="X658" s="227"/>
      <c r="Y658" s="227"/>
      <c r="Z658" s="227"/>
      <c r="AA658" s="227"/>
      <c r="AB658" s="227"/>
      <c r="AC658" s="227"/>
      <c r="AD658" s="227"/>
      <c r="AE658" s="227"/>
    </row>
    <row r="659" ht="15.75" customHeight="1">
      <c r="A659" s="227"/>
      <c r="B659" s="227"/>
      <c r="C659" s="227"/>
      <c r="D659" s="227"/>
      <c r="E659" s="227"/>
      <c r="F659" s="227"/>
      <c r="G659" s="227"/>
      <c r="H659" s="227"/>
      <c r="I659" s="227"/>
      <c r="J659" s="227"/>
      <c r="K659" s="227"/>
      <c r="L659" s="227"/>
      <c r="M659" s="227"/>
      <c r="N659" s="227"/>
      <c r="O659" s="227"/>
      <c r="P659" s="227"/>
      <c r="Q659" s="227"/>
      <c r="R659" s="227"/>
      <c r="S659" s="227"/>
      <c r="T659" s="227"/>
      <c r="U659" s="227"/>
      <c r="V659" s="227"/>
      <c r="W659" s="227"/>
      <c r="X659" s="227"/>
      <c r="Y659" s="227"/>
      <c r="Z659" s="227"/>
      <c r="AA659" s="227"/>
      <c r="AB659" s="227"/>
      <c r="AC659" s="227"/>
      <c r="AD659" s="227"/>
      <c r="AE659" s="227"/>
    </row>
    <row r="660" ht="15.75" customHeight="1">
      <c r="A660" s="227"/>
      <c r="B660" s="227"/>
      <c r="C660" s="227"/>
      <c r="D660" s="227"/>
      <c r="E660" s="227"/>
      <c r="F660" s="227"/>
      <c r="G660" s="227"/>
      <c r="H660" s="227"/>
      <c r="I660" s="227"/>
      <c r="J660" s="227"/>
      <c r="K660" s="227"/>
      <c r="L660" s="227"/>
      <c r="M660" s="227"/>
      <c r="N660" s="227"/>
      <c r="O660" s="227"/>
      <c r="P660" s="227"/>
      <c r="Q660" s="227"/>
      <c r="R660" s="227"/>
      <c r="S660" s="227"/>
      <c r="T660" s="227"/>
      <c r="U660" s="227"/>
      <c r="V660" s="227"/>
      <c r="W660" s="227"/>
      <c r="X660" s="227"/>
      <c r="Y660" s="227"/>
      <c r="Z660" s="227"/>
      <c r="AA660" s="227"/>
      <c r="AB660" s="227"/>
      <c r="AC660" s="227"/>
      <c r="AD660" s="227"/>
      <c r="AE660" s="227"/>
    </row>
    <row r="661" ht="15.75" customHeight="1">
      <c r="A661" s="227"/>
      <c r="B661" s="227"/>
      <c r="C661" s="227"/>
      <c r="D661" s="227"/>
      <c r="E661" s="227"/>
      <c r="F661" s="227"/>
      <c r="G661" s="227"/>
      <c r="H661" s="227"/>
      <c r="I661" s="227"/>
      <c r="J661" s="227"/>
      <c r="K661" s="227"/>
      <c r="L661" s="227"/>
      <c r="M661" s="227"/>
      <c r="N661" s="227"/>
      <c r="O661" s="227"/>
      <c r="P661" s="227"/>
      <c r="Q661" s="227"/>
      <c r="R661" s="227"/>
      <c r="S661" s="227"/>
      <c r="T661" s="227"/>
      <c r="U661" s="227"/>
      <c r="V661" s="227"/>
      <c r="W661" s="227"/>
      <c r="X661" s="227"/>
      <c r="Y661" s="227"/>
      <c r="Z661" s="227"/>
      <c r="AA661" s="227"/>
      <c r="AB661" s="227"/>
      <c r="AC661" s="227"/>
      <c r="AD661" s="227"/>
      <c r="AE661" s="227"/>
    </row>
    <row r="662" ht="15.75" customHeight="1">
      <c r="A662" s="227"/>
      <c r="B662" s="227"/>
      <c r="C662" s="227"/>
      <c r="D662" s="227"/>
      <c r="E662" s="227"/>
      <c r="F662" s="227"/>
      <c r="G662" s="227"/>
      <c r="H662" s="227"/>
      <c r="I662" s="227"/>
      <c r="J662" s="227"/>
      <c r="K662" s="227"/>
      <c r="L662" s="227"/>
      <c r="M662" s="227"/>
      <c r="N662" s="227"/>
      <c r="O662" s="227"/>
      <c r="P662" s="227"/>
      <c r="Q662" s="227"/>
      <c r="R662" s="227"/>
      <c r="S662" s="227"/>
      <c r="T662" s="227"/>
      <c r="U662" s="227"/>
      <c r="V662" s="227"/>
      <c r="W662" s="227"/>
      <c r="X662" s="227"/>
      <c r="Y662" s="227"/>
      <c r="Z662" s="227"/>
      <c r="AA662" s="227"/>
      <c r="AB662" s="227"/>
      <c r="AC662" s="227"/>
      <c r="AD662" s="227"/>
      <c r="AE662" s="227"/>
    </row>
    <row r="663" ht="15.75" customHeight="1">
      <c r="A663" s="227"/>
      <c r="B663" s="227"/>
      <c r="C663" s="227"/>
      <c r="D663" s="227"/>
      <c r="E663" s="227"/>
      <c r="F663" s="227"/>
      <c r="G663" s="227"/>
      <c r="H663" s="227"/>
      <c r="I663" s="227"/>
      <c r="J663" s="227"/>
      <c r="K663" s="227"/>
      <c r="L663" s="227"/>
      <c r="M663" s="227"/>
      <c r="N663" s="227"/>
      <c r="O663" s="227"/>
      <c r="P663" s="227"/>
      <c r="Q663" s="227"/>
      <c r="R663" s="227"/>
      <c r="S663" s="227"/>
      <c r="T663" s="227"/>
      <c r="U663" s="227"/>
      <c r="V663" s="227"/>
      <c r="W663" s="227"/>
      <c r="X663" s="227"/>
      <c r="Y663" s="227"/>
      <c r="Z663" s="227"/>
      <c r="AA663" s="227"/>
      <c r="AB663" s="227"/>
      <c r="AC663" s="227"/>
      <c r="AD663" s="227"/>
      <c r="AE663" s="227"/>
    </row>
    <row r="664" ht="15.75" customHeight="1">
      <c r="A664" s="227"/>
      <c r="B664" s="227"/>
      <c r="C664" s="227"/>
      <c r="D664" s="227"/>
      <c r="E664" s="227"/>
      <c r="F664" s="227"/>
      <c r="G664" s="227"/>
      <c r="H664" s="227"/>
      <c r="I664" s="227"/>
      <c r="J664" s="227"/>
      <c r="K664" s="227"/>
      <c r="L664" s="227"/>
      <c r="M664" s="227"/>
      <c r="N664" s="227"/>
      <c r="O664" s="227"/>
      <c r="P664" s="227"/>
      <c r="Q664" s="227"/>
      <c r="R664" s="227"/>
      <c r="S664" s="227"/>
      <c r="T664" s="227"/>
      <c r="U664" s="227"/>
      <c r="V664" s="227"/>
      <c r="W664" s="227"/>
      <c r="X664" s="227"/>
      <c r="Y664" s="227"/>
      <c r="Z664" s="227"/>
      <c r="AA664" s="227"/>
      <c r="AB664" s="227"/>
      <c r="AC664" s="227"/>
      <c r="AD664" s="227"/>
      <c r="AE664" s="227"/>
    </row>
    <row r="665" ht="15.75" customHeight="1">
      <c r="A665" s="227"/>
      <c r="B665" s="227"/>
      <c r="C665" s="227"/>
      <c r="D665" s="227"/>
      <c r="E665" s="227"/>
      <c r="F665" s="227"/>
      <c r="G665" s="227"/>
      <c r="H665" s="227"/>
      <c r="I665" s="227"/>
      <c r="J665" s="227"/>
      <c r="K665" s="227"/>
      <c r="L665" s="227"/>
      <c r="M665" s="227"/>
      <c r="N665" s="227"/>
      <c r="O665" s="227"/>
      <c r="P665" s="227"/>
      <c r="Q665" s="227"/>
      <c r="R665" s="227"/>
      <c r="S665" s="227"/>
      <c r="T665" s="227"/>
      <c r="U665" s="227"/>
      <c r="V665" s="227"/>
      <c r="W665" s="227"/>
      <c r="X665" s="227"/>
      <c r="Y665" s="227"/>
      <c r="Z665" s="227"/>
      <c r="AA665" s="227"/>
      <c r="AB665" s="227"/>
      <c r="AC665" s="227"/>
      <c r="AD665" s="227"/>
      <c r="AE665" s="227"/>
    </row>
    <row r="666" ht="15.75" customHeight="1">
      <c r="A666" s="227"/>
      <c r="B666" s="227"/>
      <c r="C666" s="227"/>
      <c r="D666" s="227"/>
      <c r="E666" s="227"/>
      <c r="F666" s="227"/>
      <c r="G666" s="227"/>
      <c r="H666" s="227"/>
      <c r="I666" s="227"/>
      <c r="J666" s="227"/>
      <c r="K666" s="227"/>
      <c r="L666" s="227"/>
      <c r="M666" s="227"/>
      <c r="N666" s="227"/>
      <c r="O666" s="227"/>
      <c r="P666" s="227"/>
      <c r="Q666" s="227"/>
      <c r="R666" s="227"/>
      <c r="S666" s="227"/>
      <c r="T666" s="227"/>
      <c r="U666" s="227"/>
      <c r="V666" s="227"/>
      <c r="W666" s="227"/>
      <c r="X666" s="227"/>
      <c r="Y666" s="227"/>
      <c r="Z666" s="227"/>
      <c r="AA666" s="227"/>
      <c r="AB666" s="227"/>
      <c r="AC666" s="227"/>
      <c r="AD666" s="227"/>
      <c r="AE666" s="227"/>
    </row>
    <row r="667" ht="15.75" customHeight="1">
      <c r="A667" s="227"/>
      <c r="B667" s="227"/>
      <c r="C667" s="227"/>
      <c r="D667" s="227"/>
      <c r="E667" s="227"/>
      <c r="F667" s="227"/>
      <c r="G667" s="227"/>
      <c r="H667" s="227"/>
      <c r="I667" s="227"/>
      <c r="J667" s="227"/>
      <c r="K667" s="227"/>
      <c r="L667" s="227"/>
      <c r="M667" s="227"/>
      <c r="N667" s="227"/>
      <c r="O667" s="227"/>
      <c r="P667" s="227"/>
      <c r="Q667" s="227"/>
      <c r="R667" s="227"/>
      <c r="S667" s="227"/>
      <c r="T667" s="227"/>
      <c r="U667" s="227"/>
      <c r="V667" s="227"/>
      <c r="W667" s="227"/>
      <c r="X667" s="227"/>
      <c r="Y667" s="227"/>
      <c r="Z667" s="227"/>
      <c r="AA667" s="227"/>
      <c r="AB667" s="227"/>
      <c r="AC667" s="227"/>
      <c r="AD667" s="227"/>
      <c r="AE667" s="227"/>
    </row>
    <row r="668" ht="15.75" customHeight="1">
      <c r="A668" s="227"/>
      <c r="B668" s="227"/>
      <c r="C668" s="227"/>
      <c r="D668" s="227"/>
      <c r="E668" s="227"/>
      <c r="F668" s="227"/>
      <c r="G668" s="227"/>
      <c r="H668" s="227"/>
      <c r="I668" s="227"/>
      <c r="J668" s="227"/>
      <c r="K668" s="227"/>
      <c r="L668" s="227"/>
      <c r="M668" s="227"/>
      <c r="N668" s="227"/>
      <c r="O668" s="227"/>
      <c r="P668" s="227"/>
      <c r="Q668" s="227"/>
      <c r="R668" s="227"/>
      <c r="S668" s="227"/>
      <c r="T668" s="227"/>
      <c r="U668" s="227"/>
      <c r="V668" s="227"/>
      <c r="W668" s="227"/>
      <c r="X668" s="227"/>
      <c r="Y668" s="227"/>
      <c r="Z668" s="227"/>
      <c r="AA668" s="227"/>
      <c r="AB668" s="227"/>
      <c r="AC668" s="227"/>
      <c r="AD668" s="227"/>
      <c r="AE668" s="227"/>
    </row>
    <row r="669" ht="15.75" customHeight="1">
      <c r="A669" s="227"/>
      <c r="B669" s="227"/>
      <c r="C669" s="227"/>
      <c r="D669" s="227"/>
      <c r="E669" s="227"/>
      <c r="F669" s="227"/>
      <c r="G669" s="227"/>
      <c r="H669" s="227"/>
      <c r="I669" s="227"/>
      <c r="J669" s="227"/>
      <c r="K669" s="227"/>
      <c r="L669" s="227"/>
      <c r="M669" s="227"/>
      <c r="N669" s="227"/>
      <c r="O669" s="227"/>
      <c r="P669" s="227"/>
      <c r="Q669" s="227"/>
      <c r="R669" s="227"/>
      <c r="S669" s="227"/>
      <c r="T669" s="227"/>
      <c r="U669" s="227"/>
      <c r="V669" s="227"/>
      <c r="W669" s="227"/>
      <c r="X669" s="227"/>
      <c r="Y669" s="227"/>
      <c r="Z669" s="227"/>
      <c r="AA669" s="227"/>
      <c r="AB669" s="227"/>
      <c r="AC669" s="227"/>
      <c r="AD669" s="227"/>
      <c r="AE669" s="227"/>
    </row>
    <row r="670" ht="15.75" customHeight="1">
      <c r="A670" s="227"/>
      <c r="B670" s="227"/>
      <c r="C670" s="227"/>
      <c r="D670" s="227"/>
      <c r="E670" s="227"/>
      <c r="F670" s="227"/>
      <c r="G670" s="227"/>
      <c r="H670" s="227"/>
      <c r="I670" s="227"/>
      <c r="J670" s="227"/>
      <c r="K670" s="227"/>
      <c r="L670" s="227"/>
      <c r="M670" s="227"/>
      <c r="N670" s="227"/>
      <c r="O670" s="227"/>
      <c r="P670" s="227"/>
      <c r="Q670" s="227"/>
      <c r="R670" s="227"/>
      <c r="S670" s="227"/>
      <c r="T670" s="227"/>
      <c r="U670" s="227"/>
      <c r="V670" s="227"/>
      <c r="W670" s="227"/>
      <c r="X670" s="227"/>
      <c r="Y670" s="227"/>
      <c r="Z670" s="227"/>
      <c r="AA670" s="227"/>
      <c r="AB670" s="227"/>
      <c r="AC670" s="227"/>
      <c r="AD670" s="227"/>
      <c r="AE670" s="227"/>
    </row>
    <row r="671" ht="15.75" customHeight="1">
      <c r="A671" s="227"/>
      <c r="B671" s="227"/>
      <c r="C671" s="227"/>
      <c r="D671" s="227"/>
      <c r="E671" s="227"/>
      <c r="F671" s="227"/>
      <c r="G671" s="227"/>
      <c r="H671" s="227"/>
      <c r="I671" s="227"/>
      <c r="J671" s="227"/>
      <c r="K671" s="227"/>
      <c r="L671" s="227"/>
      <c r="M671" s="227"/>
      <c r="N671" s="227"/>
      <c r="O671" s="227"/>
      <c r="P671" s="227"/>
      <c r="Q671" s="227"/>
      <c r="R671" s="227"/>
      <c r="S671" s="227"/>
      <c r="T671" s="227"/>
      <c r="U671" s="227"/>
      <c r="V671" s="227"/>
      <c r="W671" s="227"/>
      <c r="X671" s="227"/>
      <c r="Y671" s="227"/>
      <c r="Z671" s="227"/>
      <c r="AA671" s="227"/>
      <c r="AB671" s="227"/>
      <c r="AC671" s="227"/>
      <c r="AD671" s="227"/>
      <c r="AE671" s="227"/>
    </row>
    <row r="672" ht="15.75" customHeight="1">
      <c r="A672" s="227"/>
      <c r="B672" s="227"/>
      <c r="C672" s="227"/>
      <c r="D672" s="227"/>
      <c r="E672" s="227"/>
      <c r="F672" s="227"/>
      <c r="G672" s="227"/>
      <c r="H672" s="227"/>
      <c r="I672" s="227"/>
      <c r="J672" s="227"/>
      <c r="K672" s="227"/>
      <c r="L672" s="227"/>
      <c r="M672" s="227"/>
      <c r="N672" s="227"/>
      <c r="O672" s="227"/>
      <c r="P672" s="227"/>
      <c r="Q672" s="227"/>
      <c r="R672" s="227"/>
      <c r="S672" s="227"/>
      <c r="T672" s="227"/>
      <c r="U672" s="227"/>
      <c r="V672" s="227"/>
      <c r="W672" s="227"/>
      <c r="X672" s="227"/>
      <c r="Y672" s="227"/>
      <c r="Z672" s="227"/>
      <c r="AA672" s="227"/>
      <c r="AB672" s="227"/>
      <c r="AC672" s="227"/>
      <c r="AD672" s="227"/>
      <c r="AE672" s="227"/>
    </row>
    <row r="673" ht="15.75" customHeight="1">
      <c r="A673" s="227"/>
      <c r="B673" s="227"/>
      <c r="C673" s="227"/>
      <c r="D673" s="227"/>
      <c r="E673" s="227"/>
      <c r="F673" s="227"/>
      <c r="G673" s="227"/>
      <c r="H673" s="227"/>
      <c r="I673" s="227"/>
      <c r="J673" s="227"/>
      <c r="K673" s="227"/>
      <c r="L673" s="227"/>
      <c r="M673" s="227"/>
      <c r="N673" s="227"/>
      <c r="O673" s="227"/>
      <c r="P673" s="227"/>
      <c r="Q673" s="227"/>
      <c r="R673" s="227"/>
      <c r="S673" s="227"/>
      <c r="T673" s="227"/>
      <c r="U673" s="227"/>
      <c r="V673" s="227"/>
      <c r="W673" s="227"/>
      <c r="X673" s="227"/>
      <c r="Y673" s="227"/>
      <c r="Z673" s="227"/>
      <c r="AA673" s="227"/>
      <c r="AB673" s="227"/>
      <c r="AC673" s="227"/>
      <c r="AD673" s="227"/>
      <c r="AE673" s="227"/>
    </row>
    <row r="674" ht="15.75" customHeight="1">
      <c r="A674" s="227"/>
      <c r="B674" s="227"/>
      <c r="C674" s="227"/>
      <c r="D674" s="227"/>
      <c r="E674" s="227"/>
      <c r="F674" s="227"/>
      <c r="G674" s="227"/>
      <c r="H674" s="227"/>
      <c r="I674" s="227"/>
      <c r="J674" s="227"/>
      <c r="K674" s="227"/>
      <c r="L674" s="227"/>
      <c r="M674" s="227"/>
      <c r="N674" s="227"/>
      <c r="O674" s="227"/>
      <c r="P674" s="227"/>
      <c r="Q674" s="227"/>
      <c r="R674" s="227"/>
      <c r="S674" s="227"/>
      <c r="T674" s="227"/>
      <c r="U674" s="227"/>
      <c r="V674" s="227"/>
      <c r="W674" s="227"/>
      <c r="X674" s="227"/>
      <c r="Y674" s="227"/>
      <c r="Z674" s="227"/>
      <c r="AA674" s="227"/>
      <c r="AB674" s="227"/>
      <c r="AC674" s="227"/>
      <c r="AD674" s="227"/>
      <c r="AE674" s="227"/>
    </row>
    <row r="675" ht="15.75" customHeight="1">
      <c r="A675" s="227"/>
      <c r="B675" s="227"/>
      <c r="C675" s="227"/>
      <c r="D675" s="227"/>
      <c r="E675" s="227"/>
      <c r="F675" s="227"/>
      <c r="G675" s="227"/>
      <c r="H675" s="227"/>
      <c r="I675" s="227"/>
      <c r="J675" s="227"/>
      <c r="K675" s="227"/>
      <c r="L675" s="227"/>
      <c r="M675" s="227"/>
      <c r="N675" s="227"/>
      <c r="O675" s="227"/>
      <c r="P675" s="227"/>
      <c r="Q675" s="227"/>
      <c r="R675" s="227"/>
      <c r="S675" s="227"/>
      <c r="T675" s="227"/>
      <c r="U675" s="227"/>
      <c r="V675" s="227"/>
      <c r="W675" s="227"/>
      <c r="X675" s="227"/>
      <c r="Y675" s="227"/>
      <c r="Z675" s="227"/>
      <c r="AA675" s="227"/>
      <c r="AB675" s="227"/>
      <c r="AC675" s="227"/>
      <c r="AD675" s="227"/>
      <c r="AE675" s="227"/>
    </row>
    <row r="676" ht="15.75" customHeight="1">
      <c r="A676" s="227"/>
      <c r="B676" s="227"/>
      <c r="C676" s="227"/>
      <c r="D676" s="227"/>
      <c r="E676" s="227"/>
      <c r="F676" s="227"/>
      <c r="G676" s="227"/>
      <c r="H676" s="227"/>
      <c r="I676" s="227"/>
      <c r="J676" s="227"/>
      <c r="K676" s="227"/>
      <c r="L676" s="227"/>
      <c r="M676" s="227"/>
      <c r="N676" s="227"/>
      <c r="O676" s="227"/>
      <c r="P676" s="227"/>
      <c r="Q676" s="227"/>
      <c r="R676" s="227"/>
      <c r="S676" s="227"/>
      <c r="T676" s="227"/>
      <c r="U676" s="227"/>
      <c r="V676" s="227"/>
      <c r="W676" s="227"/>
      <c r="X676" s="227"/>
      <c r="Y676" s="227"/>
      <c r="Z676" s="227"/>
      <c r="AA676" s="227"/>
      <c r="AB676" s="227"/>
      <c r="AC676" s="227"/>
      <c r="AD676" s="227"/>
      <c r="AE676" s="227"/>
    </row>
    <row r="677" ht="15.75" customHeight="1">
      <c r="A677" s="227"/>
      <c r="B677" s="227"/>
      <c r="C677" s="227"/>
      <c r="D677" s="227"/>
      <c r="E677" s="227"/>
      <c r="F677" s="227"/>
      <c r="G677" s="227"/>
      <c r="H677" s="227"/>
      <c r="I677" s="227"/>
      <c r="J677" s="227"/>
      <c r="K677" s="227"/>
      <c r="L677" s="227"/>
      <c r="M677" s="227"/>
      <c r="N677" s="227"/>
      <c r="O677" s="227"/>
      <c r="P677" s="227"/>
      <c r="Q677" s="227"/>
      <c r="R677" s="227"/>
      <c r="S677" s="227"/>
      <c r="T677" s="227"/>
      <c r="U677" s="227"/>
      <c r="V677" s="227"/>
      <c r="W677" s="227"/>
      <c r="X677" s="227"/>
      <c r="Y677" s="227"/>
      <c r="Z677" s="227"/>
      <c r="AA677" s="227"/>
      <c r="AB677" s="227"/>
      <c r="AC677" s="227"/>
      <c r="AD677" s="227"/>
      <c r="AE677" s="227"/>
    </row>
    <row r="678" ht="15.75" customHeight="1">
      <c r="A678" s="227"/>
      <c r="B678" s="227"/>
      <c r="C678" s="227"/>
      <c r="D678" s="227"/>
      <c r="E678" s="227"/>
      <c r="F678" s="227"/>
      <c r="G678" s="227"/>
      <c r="H678" s="227"/>
      <c r="I678" s="227"/>
      <c r="J678" s="227"/>
      <c r="K678" s="227"/>
      <c r="L678" s="227"/>
      <c r="M678" s="227"/>
      <c r="N678" s="227"/>
      <c r="O678" s="227"/>
      <c r="P678" s="227"/>
      <c r="Q678" s="227"/>
      <c r="R678" s="227"/>
      <c r="S678" s="227"/>
      <c r="T678" s="227"/>
      <c r="U678" s="227"/>
      <c r="V678" s="227"/>
      <c r="W678" s="227"/>
      <c r="X678" s="227"/>
      <c r="Y678" s="227"/>
      <c r="Z678" s="227"/>
      <c r="AA678" s="227"/>
      <c r="AB678" s="227"/>
      <c r="AC678" s="227"/>
      <c r="AD678" s="227"/>
      <c r="AE678" s="227"/>
    </row>
    <row r="679" ht="15.75" customHeight="1">
      <c r="A679" s="227"/>
      <c r="B679" s="227"/>
      <c r="C679" s="227"/>
      <c r="D679" s="227"/>
      <c r="E679" s="227"/>
      <c r="F679" s="227"/>
      <c r="G679" s="227"/>
      <c r="H679" s="227"/>
      <c r="I679" s="227"/>
      <c r="J679" s="227"/>
      <c r="K679" s="227"/>
      <c r="L679" s="227"/>
      <c r="M679" s="227"/>
      <c r="N679" s="227"/>
      <c r="O679" s="227"/>
      <c r="P679" s="227"/>
      <c r="Q679" s="227"/>
      <c r="R679" s="227"/>
      <c r="S679" s="227"/>
      <c r="T679" s="227"/>
      <c r="U679" s="227"/>
      <c r="V679" s="227"/>
      <c r="W679" s="227"/>
      <c r="X679" s="227"/>
      <c r="Y679" s="227"/>
      <c r="Z679" s="227"/>
      <c r="AA679" s="227"/>
      <c r="AB679" s="227"/>
      <c r="AC679" s="227"/>
      <c r="AD679" s="227"/>
      <c r="AE679" s="227"/>
    </row>
    <row r="680" ht="15.75" customHeight="1">
      <c r="A680" s="227"/>
      <c r="B680" s="227"/>
      <c r="C680" s="227"/>
      <c r="D680" s="227"/>
      <c r="E680" s="227"/>
      <c r="F680" s="227"/>
      <c r="G680" s="227"/>
      <c r="H680" s="227"/>
      <c r="I680" s="227"/>
      <c r="J680" s="227"/>
      <c r="K680" s="227"/>
      <c r="L680" s="227"/>
      <c r="M680" s="227"/>
      <c r="N680" s="227"/>
      <c r="O680" s="227"/>
      <c r="P680" s="227"/>
      <c r="Q680" s="227"/>
      <c r="R680" s="227"/>
      <c r="S680" s="227"/>
      <c r="T680" s="227"/>
      <c r="U680" s="227"/>
      <c r="V680" s="227"/>
      <c r="W680" s="227"/>
      <c r="X680" s="227"/>
      <c r="Y680" s="227"/>
      <c r="Z680" s="227"/>
      <c r="AA680" s="227"/>
      <c r="AB680" s="227"/>
      <c r="AC680" s="227"/>
      <c r="AD680" s="227"/>
      <c r="AE680" s="227"/>
    </row>
    <row r="681" ht="15.75" customHeight="1">
      <c r="A681" s="227"/>
      <c r="B681" s="227"/>
      <c r="C681" s="227"/>
      <c r="D681" s="227"/>
      <c r="E681" s="227"/>
      <c r="F681" s="227"/>
      <c r="G681" s="227"/>
      <c r="H681" s="227"/>
      <c r="I681" s="227"/>
      <c r="J681" s="227"/>
      <c r="K681" s="227"/>
      <c r="L681" s="227"/>
      <c r="M681" s="227"/>
      <c r="N681" s="227"/>
      <c r="O681" s="227"/>
      <c r="P681" s="227"/>
      <c r="Q681" s="227"/>
      <c r="R681" s="227"/>
      <c r="S681" s="227"/>
      <c r="T681" s="227"/>
      <c r="U681" s="227"/>
      <c r="V681" s="227"/>
      <c r="W681" s="227"/>
      <c r="X681" s="227"/>
      <c r="Y681" s="227"/>
      <c r="Z681" s="227"/>
      <c r="AA681" s="227"/>
      <c r="AB681" s="227"/>
      <c r="AC681" s="227"/>
      <c r="AD681" s="227"/>
      <c r="AE681" s="227"/>
    </row>
    <row r="682" ht="15.75" customHeight="1">
      <c r="A682" s="227"/>
      <c r="B682" s="227"/>
      <c r="C682" s="227"/>
      <c r="D682" s="227"/>
      <c r="E682" s="227"/>
      <c r="F682" s="227"/>
      <c r="G682" s="227"/>
      <c r="H682" s="227"/>
      <c r="I682" s="227"/>
      <c r="J682" s="227"/>
      <c r="K682" s="227"/>
      <c r="L682" s="227"/>
      <c r="M682" s="227"/>
      <c r="N682" s="227"/>
      <c r="O682" s="227"/>
      <c r="P682" s="227"/>
      <c r="Q682" s="227"/>
      <c r="R682" s="227"/>
      <c r="S682" s="227"/>
      <c r="T682" s="227"/>
      <c r="U682" s="227"/>
      <c r="V682" s="227"/>
      <c r="W682" s="227"/>
      <c r="X682" s="227"/>
      <c r="Y682" s="227"/>
      <c r="Z682" s="227"/>
      <c r="AA682" s="227"/>
      <c r="AB682" s="227"/>
      <c r="AC682" s="227"/>
      <c r="AD682" s="227"/>
      <c r="AE682" s="227"/>
    </row>
    <row r="683" ht="15.75" customHeight="1">
      <c r="A683" s="227"/>
      <c r="B683" s="227"/>
      <c r="C683" s="227"/>
      <c r="D683" s="227"/>
      <c r="E683" s="227"/>
      <c r="F683" s="227"/>
      <c r="G683" s="227"/>
      <c r="H683" s="227"/>
      <c r="I683" s="227"/>
      <c r="J683" s="227"/>
      <c r="K683" s="227"/>
      <c r="L683" s="227"/>
      <c r="M683" s="227"/>
      <c r="N683" s="227"/>
      <c r="O683" s="227"/>
      <c r="P683" s="227"/>
      <c r="Q683" s="227"/>
      <c r="R683" s="227"/>
      <c r="S683" s="227"/>
      <c r="T683" s="227"/>
      <c r="U683" s="227"/>
      <c r="V683" s="227"/>
      <c r="W683" s="227"/>
      <c r="X683" s="227"/>
      <c r="Y683" s="227"/>
      <c r="Z683" s="227"/>
      <c r="AA683" s="227"/>
      <c r="AB683" s="227"/>
      <c r="AC683" s="227"/>
      <c r="AD683" s="227"/>
      <c r="AE683" s="227"/>
    </row>
    <row r="684" ht="15.75" customHeight="1">
      <c r="A684" s="227"/>
      <c r="B684" s="227"/>
      <c r="C684" s="227"/>
      <c r="D684" s="227"/>
      <c r="E684" s="227"/>
      <c r="F684" s="227"/>
      <c r="G684" s="227"/>
      <c r="H684" s="227"/>
      <c r="I684" s="227"/>
      <c r="J684" s="227"/>
      <c r="K684" s="227"/>
      <c r="L684" s="227"/>
      <c r="M684" s="227"/>
      <c r="N684" s="227"/>
      <c r="O684" s="227"/>
      <c r="P684" s="227"/>
      <c r="Q684" s="227"/>
      <c r="R684" s="227"/>
      <c r="S684" s="227"/>
      <c r="T684" s="227"/>
      <c r="U684" s="227"/>
      <c r="V684" s="227"/>
      <c r="W684" s="227"/>
      <c r="X684" s="227"/>
      <c r="Y684" s="227"/>
      <c r="Z684" s="227"/>
      <c r="AA684" s="227"/>
      <c r="AB684" s="227"/>
      <c r="AC684" s="227"/>
      <c r="AD684" s="227"/>
      <c r="AE684" s="227"/>
    </row>
    <row r="685" ht="15.75" customHeight="1">
      <c r="A685" s="227"/>
      <c r="B685" s="227"/>
      <c r="C685" s="227"/>
      <c r="D685" s="227"/>
      <c r="E685" s="227"/>
      <c r="F685" s="227"/>
      <c r="G685" s="227"/>
      <c r="H685" s="227"/>
      <c r="I685" s="227"/>
      <c r="J685" s="227"/>
      <c r="K685" s="227"/>
      <c r="L685" s="227"/>
      <c r="M685" s="227"/>
      <c r="N685" s="227"/>
      <c r="O685" s="227"/>
      <c r="P685" s="227"/>
      <c r="Q685" s="227"/>
      <c r="R685" s="227"/>
      <c r="S685" s="227"/>
      <c r="T685" s="227"/>
      <c r="U685" s="227"/>
      <c r="V685" s="227"/>
      <c r="W685" s="227"/>
      <c r="X685" s="227"/>
      <c r="Y685" s="227"/>
      <c r="Z685" s="227"/>
      <c r="AA685" s="227"/>
      <c r="AB685" s="227"/>
      <c r="AC685" s="227"/>
      <c r="AD685" s="227"/>
      <c r="AE685" s="227"/>
    </row>
    <row r="686" ht="15.75" customHeight="1">
      <c r="A686" s="227"/>
      <c r="B686" s="227"/>
      <c r="C686" s="227"/>
      <c r="D686" s="227"/>
      <c r="E686" s="227"/>
      <c r="F686" s="227"/>
      <c r="G686" s="227"/>
      <c r="H686" s="227"/>
      <c r="I686" s="227"/>
      <c r="J686" s="227"/>
      <c r="K686" s="227"/>
      <c r="L686" s="227"/>
      <c r="M686" s="227"/>
      <c r="N686" s="227"/>
      <c r="O686" s="227"/>
      <c r="P686" s="227"/>
      <c r="Q686" s="227"/>
      <c r="R686" s="227"/>
      <c r="S686" s="227"/>
      <c r="T686" s="227"/>
      <c r="U686" s="227"/>
      <c r="V686" s="227"/>
      <c r="W686" s="227"/>
      <c r="X686" s="227"/>
      <c r="Y686" s="227"/>
      <c r="Z686" s="227"/>
      <c r="AA686" s="227"/>
      <c r="AB686" s="227"/>
      <c r="AC686" s="227"/>
      <c r="AD686" s="227"/>
      <c r="AE686" s="227"/>
    </row>
    <row r="687" ht="15.75" customHeight="1">
      <c r="A687" s="227"/>
      <c r="B687" s="227"/>
      <c r="C687" s="227"/>
      <c r="D687" s="227"/>
      <c r="E687" s="227"/>
      <c r="F687" s="227"/>
      <c r="G687" s="227"/>
      <c r="H687" s="227"/>
      <c r="I687" s="227"/>
      <c r="J687" s="227"/>
      <c r="K687" s="227"/>
      <c r="L687" s="227"/>
      <c r="M687" s="227"/>
      <c r="N687" s="227"/>
      <c r="O687" s="227"/>
      <c r="P687" s="227"/>
      <c r="Q687" s="227"/>
      <c r="R687" s="227"/>
      <c r="S687" s="227"/>
      <c r="T687" s="227"/>
      <c r="U687" s="227"/>
      <c r="V687" s="227"/>
      <c r="W687" s="227"/>
      <c r="X687" s="227"/>
      <c r="Y687" s="227"/>
      <c r="Z687" s="227"/>
      <c r="AA687" s="227"/>
      <c r="AB687" s="227"/>
      <c r="AC687" s="227"/>
      <c r="AD687" s="227"/>
      <c r="AE687" s="227"/>
    </row>
    <row r="688" ht="15.75" customHeight="1">
      <c r="A688" s="227"/>
      <c r="B688" s="227"/>
      <c r="C688" s="227"/>
      <c r="D688" s="227"/>
      <c r="E688" s="227"/>
      <c r="F688" s="227"/>
      <c r="G688" s="227"/>
      <c r="H688" s="227"/>
      <c r="I688" s="227"/>
      <c r="J688" s="227"/>
      <c r="K688" s="227"/>
      <c r="L688" s="227"/>
      <c r="M688" s="227"/>
      <c r="N688" s="227"/>
      <c r="O688" s="227"/>
      <c r="P688" s="227"/>
      <c r="Q688" s="227"/>
      <c r="R688" s="227"/>
      <c r="S688" s="227"/>
      <c r="T688" s="227"/>
      <c r="U688" s="227"/>
      <c r="V688" s="227"/>
      <c r="W688" s="227"/>
      <c r="X688" s="227"/>
      <c r="Y688" s="227"/>
      <c r="Z688" s="227"/>
      <c r="AA688" s="227"/>
      <c r="AB688" s="227"/>
      <c r="AC688" s="227"/>
      <c r="AD688" s="227"/>
      <c r="AE688" s="227"/>
    </row>
    <row r="689" ht="15.75" customHeight="1">
      <c r="A689" s="227"/>
      <c r="B689" s="227"/>
      <c r="C689" s="227"/>
      <c r="D689" s="227"/>
      <c r="E689" s="227"/>
      <c r="F689" s="227"/>
      <c r="G689" s="227"/>
      <c r="H689" s="227"/>
      <c r="I689" s="227"/>
      <c r="J689" s="227"/>
      <c r="K689" s="227"/>
      <c r="L689" s="227"/>
      <c r="M689" s="227"/>
      <c r="N689" s="227"/>
      <c r="O689" s="227"/>
      <c r="P689" s="227"/>
      <c r="Q689" s="227"/>
      <c r="R689" s="227"/>
      <c r="S689" s="227"/>
      <c r="T689" s="227"/>
      <c r="U689" s="227"/>
      <c r="V689" s="227"/>
      <c r="W689" s="227"/>
      <c r="X689" s="227"/>
      <c r="Y689" s="227"/>
      <c r="Z689" s="227"/>
      <c r="AA689" s="227"/>
      <c r="AB689" s="227"/>
      <c r="AC689" s="227"/>
      <c r="AD689" s="227"/>
      <c r="AE689" s="227"/>
    </row>
    <row r="690" ht="15.75" customHeight="1">
      <c r="A690" s="227"/>
      <c r="B690" s="227"/>
      <c r="C690" s="227"/>
      <c r="D690" s="227"/>
      <c r="E690" s="227"/>
      <c r="F690" s="227"/>
      <c r="G690" s="227"/>
      <c r="H690" s="227"/>
      <c r="I690" s="227"/>
      <c r="J690" s="227"/>
      <c r="K690" s="227"/>
      <c r="L690" s="227"/>
      <c r="M690" s="227"/>
      <c r="N690" s="227"/>
      <c r="O690" s="227"/>
      <c r="P690" s="227"/>
      <c r="Q690" s="227"/>
      <c r="R690" s="227"/>
      <c r="S690" s="227"/>
      <c r="T690" s="227"/>
      <c r="U690" s="227"/>
      <c r="V690" s="227"/>
      <c r="W690" s="227"/>
      <c r="X690" s="227"/>
      <c r="Y690" s="227"/>
      <c r="Z690" s="227"/>
      <c r="AA690" s="227"/>
      <c r="AB690" s="227"/>
      <c r="AC690" s="227"/>
      <c r="AD690" s="227"/>
      <c r="AE690" s="227"/>
    </row>
    <row r="691" ht="15.75" customHeight="1">
      <c r="A691" s="227"/>
      <c r="B691" s="227"/>
      <c r="C691" s="227"/>
      <c r="D691" s="227"/>
      <c r="E691" s="227"/>
      <c r="F691" s="227"/>
      <c r="G691" s="227"/>
      <c r="H691" s="227"/>
      <c r="I691" s="227"/>
      <c r="J691" s="227"/>
      <c r="K691" s="227"/>
      <c r="L691" s="227"/>
      <c r="M691" s="227"/>
      <c r="N691" s="227"/>
      <c r="O691" s="227"/>
      <c r="P691" s="227"/>
      <c r="Q691" s="227"/>
      <c r="R691" s="227"/>
      <c r="S691" s="227"/>
      <c r="T691" s="227"/>
      <c r="U691" s="227"/>
      <c r="V691" s="227"/>
      <c r="W691" s="227"/>
      <c r="X691" s="227"/>
      <c r="Y691" s="227"/>
      <c r="Z691" s="227"/>
      <c r="AA691" s="227"/>
      <c r="AB691" s="227"/>
      <c r="AC691" s="227"/>
      <c r="AD691" s="227"/>
      <c r="AE691" s="227"/>
    </row>
    <row r="692" ht="15.75" customHeight="1">
      <c r="A692" s="227"/>
      <c r="B692" s="227"/>
      <c r="C692" s="227"/>
      <c r="D692" s="227"/>
      <c r="E692" s="227"/>
      <c r="F692" s="227"/>
      <c r="G692" s="227"/>
      <c r="H692" s="227"/>
      <c r="I692" s="227"/>
      <c r="J692" s="227"/>
      <c r="K692" s="227"/>
      <c r="L692" s="227"/>
      <c r="M692" s="227"/>
      <c r="N692" s="227"/>
      <c r="O692" s="227"/>
      <c r="P692" s="227"/>
      <c r="Q692" s="227"/>
      <c r="R692" s="227"/>
      <c r="S692" s="227"/>
      <c r="T692" s="227"/>
      <c r="U692" s="227"/>
      <c r="V692" s="227"/>
      <c r="W692" s="227"/>
      <c r="X692" s="227"/>
      <c r="Y692" s="227"/>
      <c r="Z692" s="227"/>
      <c r="AA692" s="227"/>
      <c r="AB692" s="227"/>
      <c r="AC692" s="227"/>
      <c r="AD692" s="227"/>
      <c r="AE692" s="227"/>
    </row>
    <row r="693" ht="15.75" customHeight="1">
      <c r="A693" s="227"/>
      <c r="B693" s="227"/>
      <c r="C693" s="227"/>
      <c r="D693" s="227"/>
      <c r="E693" s="227"/>
      <c r="F693" s="227"/>
      <c r="G693" s="227"/>
      <c r="H693" s="227"/>
      <c r="I693" s="227"/>
      <c r="J693" s="227"/>
      <c r="K693" s="227"/>
      <c r="L693" s="227"/>
      <c r="M693" s="227"/>
      <c r="N693" s="227"/>
      <c r="O693" s="227"/>
      <c r="P693" s="227"/>
      <c r="Q693" s="227"/>
      <c r="R693" s="227"/>
      <c r="S693" s="227"/>
      <c r="T693" s="227"/>
      <c r="U693" s="227"/>
      <c r="V693" s="227"/>
      <c r="W693" s="227"/>
      <c r="X693" s="227"/>
      <c r="Y693" s="227"/>
      <c r="Z693" s="227"/>
      <c r="AA693" s="227"/>
      <c r="AB693" s="227"/>
      <c r="AC693" s="227"/>
      <c r="AD693" s="227"/>
      <c r="AE693" s="227"/>
    </row>
    <row r="694" ht="15.75" customHeight="1">
      <c r="A694" s="227"/>
      <c r="B694" s="227"/>
      <c r="C694" s="227"/>
      <c r="D694" s="227"/>
      <c r="E694" s="227"/>
      <c r="F694" s="227"/>
      <c r="G694" s="227"/>
      <c r="H694" s="227"/>
      <c r="I694" s="227"/>
      <c r="J694" s="227"/>
      <c r="K694" s="227"/>
      <c r="L694" s="227"/>
      <c r="M694" s="227"/>
      <c r="N694" s="227"/>
      <c r="O694" s="227"/>
      <c r="P694" s="227"/>
      <c r="Q694" s="227"/>
      <c r="R694" s="227"/>
      <c r="S694" s="227"/>
      <c r="T694" s="227"/>
      <c r="U694" s="227"/>
      <c r="V694" s="227"/>
      <c r="W694" s="227"/>
      <c r="X694" s="227"/>
      <c r="Y694" s="227"/>
      <c r="Z694" s="227"/>
      <c r="AA694" s="227"/>
      <c r="AB694" s="227"/>
      <c r="AC694" s="227"/>
      <c r="AD694" s="227"/>
      <c r="AE694" s="227"/>
    </row>
    <row r="695" ht="15.75" customHeight="1">
      <c r="A695" s="227"/>
      <c r="B695" s="227"/>
      <c r="C695" s="227"/>
      <c r="D695" s="227"/>
      <c r="E695" s="227"/>
      <c r="F695" s="227"/>
      <c r="G695" s="227"/>
      <c r="H695" s="227"/>
      <c r="I695" s="227"/>
      <c r="J695" s="227"/>
      <c r="K695" s="227"/>
      <c r="L695" s="227"/>
      <c r="M695" s="227"/>
      <c r="N695" s="227"/>
      <c r="O695" s="227"/>
      <c r="P695" s="227"/>
      <c r="Q695" s="227"/>
      <c r="R695" s="227"/>
      <c r="S695" s="227"/>
      <c r="T695" s="227"/>
      <c r="U695" s="227"/>
      <c r="V695" s="227"/>
      <c r="W695" s="227"/>
      <c r="X695" s="227"/>
      <c r="Y695" s="227"/>
      <c r="Z695" s="227"/>
      <c r="AA695" s="227"/>
      <c r="AB695" s="227"/>
      <c r="AC695" s="227"/>
      <c r="AD695" s="227"/>
      <c r="AE695" s="227"/>
    </row>
    <row r="696" ht="15.75" customHeight="1">
      <c r="A696" s="227"/>
      <c r="B696" s="227"/>
      <c r="C696" s="227"/>
      <c r="D696" s="227"/>
      <c r="E696" s="227"/>
      <c r="F696" s="227"/>
      <c r="G696" s="227"/>
      <c r="H696" s="227"/>
      <c r="I696" s="227"/>
      <c r="J696" s="227"/>
      <c r="K696" s="227"/>
      <c r="L696" s="227"/>
      <c r="M696" s="227"/>
      <c r="N696" s="227"/>
      <c r="O696" s="227"/>
      <c r="P696" s="227"/>
      <c r="Q696" s="227"/>
      <c r="R696" s="227"/>
      <c r="S696" s="227"/>
      <c r="T696" s="227"/>
      <c r="U696" s="227"/>
      <c r="V696" s="227"/>
      <c r="W696" s="227"/>
      <c r="X696" s="227"/>
      <c r="Y696" s="227"/>
      <c r="Z696" s="227"/>
      <c r="AA696" s="227"/>
      <c r="AB696" s="227"/>
      <c r="AC696" s="227"/>
      <c r="AD696" s="227"/>
      <c r="AE696" s="227"/>
    </row>
    <row r="697" ht="15.75" customHeight="1">
      <c r="A697" s="227"/>
      <c r="B697" s="227"/>
      <c r="C697" s="227"/>
      <c r="D697" s="227"/>
      <c r="E697" s="227"/>
      <c r="F697" s="227"/>
      <c r="G697" s="227"/>
      <c r="H697" s="227"/>
      <c r="I697" s="227"/>
      <c r="J697" s="227"/>
      <c r="K697" s="227"/>
      <c r="L697" s="227"/>
      <c r="M697" s="227"/>
      <c r="N697" s="227"/>
      <c r="O697" s="227"/>
      <c r="P697" s="227"/>
      <c r="Q697" s="227"/>
      <c r="R697" s="227"/>
      <c r="S697" s="227"/>
      <c r="T697" s="227"/>
      <c r="U697" s="227"/>
      <c r="V697" s="227"/>
      <c r="W697" s="227"/>
      <c r="X697" s="227"/>
      <c r="Y697" s="227"/>
      <c r="Z697" s="227"/>
      <c r="AA697" s="227"/>
      <c r="AB697" s="227"/>
      <c r="AC697" s="227"/>
      <c r="AD697" s="227"/>
      <c r="AE697" s="227"/>
    </row>
    <row r="698" ht="15.75" customHeight="1">
      <c r="A698" s="227"/>
      <c r="B698" s="227"/>
      <c r="C698" s="227"/>
      <c r="D698" s="227"/>
      <c r="E698" s="227"/>
      <c r="F698" s="227"/>
      <c r="G698" s="227"/>
      <c r="H698" s="227"/>
      <c r="I698" s="227"/>
      <c r="J698" s="227"/>
      <c r="K698" s="227"/>
      <c r="L698" s="227"/>
      <c r="M698" s="227"/>
      <c r="N698" s="227"/>
      <c r="O698" s="227"/>
      <c r="P698" s="227"/>
      <c r="Q698" s="227"/>
      <c r="R698" s="227"/>
      <c r="S698" s="227"/>
      <c r="T698" s="227"/>
      <c r="U698" s="227"/>
      <c r="V698" s="227"/>
      <c r="W698" s="227"/>
      <c r="X698" s="227"/>
      <c r="Y698" s="227"/>
      <c r="Z698" s="227"/>
      <c r="AA698" s="227"/>
      <c r="AB698" s="227"/>
      <c r="AC698" s="227"/>
      <c r="AD698" s="227"/>
      <c r="AE698" s="227"/>
    </row>
    <row r="699" ht="15.75" customHeight="1">
      <c r="A699" s="227"/>
      <c r="B699" s="227"/>
      <c r="C699" s="227"/>
      <c r="D699" s="227"/>
      <c r="E699" s="227"/>
      <c r="F699" s="227"/>
      <c r="G699" s="227"/>
      <c r="H699" s="227"/>
      <c r="I699" s="227"/>
      <c r="J699" s="227"/>
      <c r="K699" s="227"/>
      <c r="L699" s="227"/>
      <c r="M699" s="227"/>
      <c r="N699" s="227"/>
      <c r="O699" s="227"/>
      <c r="P699" s="227"/>
      <c r="Q699" s="227"/>
      <c r="R699" s="227"/>
      <c r="S699" s="227"/>
      <c r="T699" s="227"/>
      <c r="U699" s="227"/>
      <c r="V699" s="227"/>
      <c r="W699" s="227"/>
      <c r="X699" s="227"/>
      <c r="Y699" s="227"/>
      <c r="Z699" s="227"/>
      <c r="AA699" s="227"/>
      <c r="AB699" s="227"/>
      <c r="AC699" s="227"/>
      <c r="AD699" s="227"/>
      <c r="AE699" s="227"/>
    </row>
    <row r="700" ht="15.75" customHeight="1">
      <c r="A700" s="227"/>
      <c r="B700" s="227"/>
      <c r="C700" s="227"/>
      <c r="D700" s="227"/>
      <c r="E700" s="227"/>
      <c r="F700" s="227"/>
      <c r="G700" s="227"/>
      <c r="H700" s="227"/>
      <c r="I700" s="227"/>
      <c r="J700" s="227"/>
      <c r="K700" s="227"/>
      <c r="L700" s="227"/>
      <c r="M700" s="227"/>
      <c r="N700" s="227"/>
      <c r="O700" s="227"/>
      <c r="P700" s="227"/>
      <c r="Q700" s="227"/>
      <c r="R700" s="227"/>
      <c r="S700" s="227"/>
      <c r="T700" s="227"/>
      <c r="U700" s="227"/>
      <c r="V700" s="227"/>
      <c r="W700" s="227"/>
      <c r="X700" s="227"/>
      <c r="Y700" s="227"/>
      <c r="Z700" s="227"/>
      <c r="AA700" s="227"/>
      <c r="AB700" s="227"/>
      <c r="AC700" s="227"/>
      <c r="AD700" s="227"/>
      <c r="AE700" s="227"/>
    </row>
    <row r="701" ht="15.75" customHeight="1">
      <c r="A701" s="227"/>
      <c r="B701" s="227"/>
      <c r="C701" s="227"/>
      <c r="D701" s="227"/>
      <c r="E701" s="227"/>
      <c r="F701" s="227"/>
      <c r="G701" s="227"/>
      <c r="H701" s="227"/>
      <c r="I701" s="227"/>
      <c r="J701" s="227"/>
      <c r="K701" s="227"/>
      <c r="L701" s="227"/>
      <c r="M701" s="227"/>
      <c r="N701" s="227"/>
      <c r="O701" s="227"/>
      <c r="P701" s="227"/>
      <c r="Q701" s="227"/>
      <c r="R701" s="227"/>
      <c r="S701" s="227"/>
      <c r="T701" s="227"/>
      <c r="U701" s="227"/>
      <c r="V701" s="227"/>
      <c r="W701" s="227"/>
      <c r="X701" s="227"/>
      <c r="Y701" s="227"/>
      <c r="Z701" s="227"/>
      <c r="AA701" s="227"/>
      <c r="AB701" s="227"/>
      <c r="AC701" s="227"/>
      <c r="AD701" s="227"/>
      <c r="AE701" s="227"/>
    </row>
    <row r="702" ht="15.75" customHeight="1">
      <c r="A702" s="227"/>
      <c r="B702" s="227"/>
      <c r="C702" s="227"/>
      <c r="D702" s="227"/>
      <c r="E702" s="227"/>
      <c r="F702" s="227"/>
      <c r="G702" s="227"/>
      <c r="H702" s="227"/>
      <c r="I702" s="227"/>
      <c r="J702" s="227"/>
      <c r="K702" s="227"/>
      <c r="L702" s="227"/>
      <c r="M702" s="227"/>
      <c r="N702" s="227"/>
      <c r="O702" s="227"/>
      <c r="P702" s="227"/>
      <c r="Q702" s="227"/>
      <c r="R702" s="227"/>
      <c r="S702" s="227"/>
      <c r="T702" s="227"/>
      <c r="U702" s="227"/>
      <c r="V702" s="227"/>
      <c r="W702" s="227"/>
      <c r="X702" s="227"/>
      <c r="Y702" s="227"/>
      <c r="Z702" s="227"/>
      <c r="AA702" s="227"/>
      <c r="AB702" s="227"/>
      <c r="AC702" s="227"/>
      <c r="AD702" s="227"/>
      <c r="AE702" s="227"/>
    </row>
    <row r="703" ht="15.75" customHeight="1">
      <c r="A703" s="227"/>
      <c r="B703" s="227"/>
      <c r="C703" s="227"/>
      <c r="D703" s="227"/>
      <c r="E703" s="227"/>
      <c r="F703" s="227"/>
      <c r="G703" s="227"/>
      <c r="H703" s="227"/>
      <c r="I703" s="227"/>
      <c r="J703" s="227"/>
      <c r="K703" s="227"/>
      <c r="L703" s="227"/>
      <c r="M703" s="227"/>
      <c r="N703" s="227"/>
      <c r="O703" s="227"/>
      <c r="P703" s="227"/>
      <c r="Q703" s="227"/>
      <c r="R703" s="227"/>
      <c r="S703" s="227"/>
      <c r="T703" s="227"/>
      <c r="U703" s="227"/>
      <c r="V703" s="227"/>
      <c r="W703" s="227"/>
      <c r="X703" s="227"/>
      <c r="Y703" s="227"/>
      <c r="Z703" s="227"/>
      <c r="AA703" s="227"/>
      <c r="AB703" s="227"/>
      <c r="AC703" s="227"/>
      <c r="AD703" s="227"/>
      <c r="AE703" s="227"/>
    </row>
    <row r="704" ht="15.75" customHeight="1">
      <c r="A704" s="227"/>
      <c r="B704" s="227"/>
      <c r="C704" s="227"/>
      <c r="D704" s="227"/>
      <c r="E704" s="227"/>
      <c r="F704" s="227"/>
      <c r="G704" s="227"/>
      <c r="H704" s="227"/>
      <c r="I704" s="227"/>
      <c r="J704" s="227"/>
      <c r="K704" s="227"/>
      <c r="L704" s="227"/>
      <c r="M704" s="227"/>
      <c r="N704" s="227"/>
      <c r="O704" s="227"/>
      <c r="P704" s="227"/>
      <c r="Q704" s="227"/>
      <c r="R704" s="227"/>
      <c r="S704" s="227"/>
      <c r="T704" s="227"/>
      <c r="U704" s="227"/>
      <c r="V704" s="227"/>
      <c r="W704" s="227"/>
      <c r="X704" s="227"/>
      <c r="Y704" s="227"/>
      <c r="Z704" s="227"/>
      <c r="AA704" s="227"/>
      <c r="AB704" s="227"/>
      <c r="AC704" s="227"/>
      <c r="AD704" s="227"/>
      <c r="AE704" s="227"/>
    </row>
    <row r="705" ht="15.75" customHeight="1">
      <c r="A705" s="227"/>
      <c r="B705" s="227"/>
      <c r="C705" s="227"/>
      <c r="D705" s="227"/>
      <c r="E705" s="227"/>
      <c r="F705" s="227"/>
      <c r="G705" s="227"/>
      <c r="H705" s="227"/>
      <c r="I705" s="227"/>
      <c r="J705" s="227"/>
      <c r="K705" s="227"/>
      <c r="L705" s="227"/>
      <c r="M705" s="227"/>
      <c r="N705" s="227"/>
      <c r="O705" s="227"/>
      <c r="P705" s="227"/>
      <c r="Q705" s="227"/>
      <c r="R705" s="227"/>
      <c r="S705" s="227"/>
      <c r="T705" s="227"/>
      <c r="U705" s="227"/>
      <c r="V705" s="227"/>
      <c r="W705" s="227"/>
      <c r="X705" s="227"/>
      <c r="Y705" s="227"/>
      <c r="Z705" s="227"/>
      <c r="AA705" s="227"/>
      <c r="AB705" s="227"/>
      <c r="AC705" s="227"/>
      <c r="AD705" s="227"/>
      <c r="AE705" s="227"/>
    </row>
    <row r="706" ht="15.75" customHeight="1">
      <c r="A706" s="227"/>
      <c r="B706" s="227"/>
      <c r="C706" s="227"/>
      <c r="D706" s="227"/>
      <c r="E706" s="227"/>
      <c r="F706" s="227"/>
      <c r="G706" s="227"/>
      <c r="H706" s="227"/>
      <c r="I706" s="227"/>
      <c r="J706" s="227"/>
      <c r="K706" s="227"/>
      <c r="L706" s="227"/>
      <c r="M706" s="227"/>
      <c r="N706" s="227"/>
      <c r="O706" s="227"/>
      <c r="P706" s="227"/>
      <c r="Q706" s="227"/>
      <c r="R706" s="227"/>
      <c r="S706" s="227"/>
      <c r="T706" s="227"/>
      <c r="U706" s="227"/>
      <c r="V706" s="227"/>
      <c r="W706" s="227"/>
      <c r="X706" s="227"/>
      <c r="Y706" s="227"/>
      <c r="Z706" s="227"/>
      <c r="AA706" s="227"/>
      <c r="AB706" s="227"/>
      <c r="AC706" s="227"/>
      <c r="AD706" s="227"/>
      <c r="AE706" s="227"/>
    </row>
    <row r="707" ht="15.75" customHeight="1">
      <c r="A707" s="227"/>
      <c r="B707" s="227"/>
      <c r="C707" s="227"/>
      <c r="D707" s="227"/>
      <c r="E707" s="227"/>
      <c r="F707" s="227"/>
      <c r="G707" s="227"/>
      <c r="H707" s="227"/>
      <c r="I707" s="227"/>
      <c r="J707" s="227"/>
      <c r="K707" s="227"/>
      <c r="L707" s="227"/>
      <c r="M707" s="227"/>
      <c r="N707" s="227"/>
      <c r="O707" s="227"/>
      <c r="P707" s="227"/>
      <c r="Q707" s="227"/>
      <c r="R707" s="227"/>
      <c r="S707" s="227"/>
      <c r="T707" s="227"/>
      <c r="U707" s="227"/>
      <c r="V707" s="227"/>
      <c r="W707" s="227"/>
      <c r="X707" s="227"/>
      <c r="Y707" s="227"/>
      <c r="Z707" s="227"/>
      <c r="AA707" s="227"/>
      <c r="AB707" s="227"/>
      <c r="AC707" s="227"/>
      <c r="AD707" s="227"/>
      <c r="AE707" s="227"/>
    </row>
    <row r="708" ht="15.75" customHeight="1">
      <c r="A708" s="227"/>
      <c r="B708" s="227"/>
      <c r="C708" s="227"/>
      <c r="D708" s="227"/>
      <c r="E708" s="227"/>
      <c r="F708" s="227"/>
      <c r="G708" s="227"/>
      <c r="H708" s="227"/>
      <c r="I708" s="227"/>
      <c r="J708" s="227"/>
      <c r="K708" s="227"/>
      <c r="L708" s="227"/>
      <c r="M708" s="227"/>
      <c r="N708" s="227"/>
      <c r="O708" s="227"/>
      <c r="P708" s="227"/>
      <c r="Q708" s="227"/>
      <c r="R708" s="227"/>
      <c r="S708" s="227"/>
      <c r="T708" s="227"/>
      <c r="U708" s="227"/>
      <c r="V708" s="227"/>
      <c r="W708" s="227"/>
      <c r="X708" s="227"/>
      <c r="Y708" s="227"/>
      <c r="Z708" s="227"/>
      <c r="AA708" s="227"/>
      <c r="AB708" s="227"/>
      <c r="AC708" s="227"/>
      <c r="AD708" s="227"/>
      <c r="AE708" s="227"/>
    </row>
    <row r="709" ht="15.75" customHeight="1">
      <c r="A709" s="227"/>
      <c r="B709" s="227"/>
      <c r="C709" s="227"/>
      <c r="D709" s="227"/>
      <c r="E709" s="227"/>
      <c r="F709" s="227"/>
      <c r="G709" s="227"/>
      <c r="H709" s="227"/>
      <c r="I709" s="227"/>
      <c r="J709" s="227"/>
      <c r="K709" s="227"/>
      <c r="L709" s="227"/>
      <c r="M709" s="227"/>
      <c r="N709" s="227"/>
      <c r="O709" s="227"/>
      <c r="P709" s="227"/>
      <c r="Q709" s="227"/>
      <c r="R709" s="227"/>
      <c r="S709" s="227"/>
      <c r="T709" s="227"/>
      <c r="U709" s="227"/>
      <c r="V709" s="227"/>
      <c r="W709" s="227"/>
      <c r="X709" s="227"/>
      <c r="Y709" s="227"/>
      <c r="Z709" s="227"/>
      <c r="AA709" s="227"/>
      <c r="AB709" s="227"/>
      <c r="AC709" s="227"/>
      <c r="AD709" s="227"/>
      <c r="AE709" s="227"/>
    </row>
    <row r="710" ht="15.75" customHeight="1">
      <c r="A710" s="227"/>
      <c r="B710" s="227"/>
      <c r="C710" s="227"/>
      <c r="D710" s="227"/>
      <c r="E710" s="227"/>
      <c r="F710" s="227"/>
      <c r="G710" s="227"/>
      <c r="H710" s="227"/>
      <c r="I710" s="227"/>
      <c r="J710" s="227"/>
      <c r="K710" s="227"/>
      <c r="L710" s="227"/>
      <c r="M710" s="227"/>
      <c r="N710" s="227"/>
      <c r="O710" s="227"/>
      <c r="P710" s="227"/>
      <c r="Q710" s="227"/>
      <c r="R710" s="227"/>
      <c r="S710" s="227"/>
      <c r="T710" s="227"/>
      <c r="U710" s="227"/>
      <c r="V710" s="227"/>
      <c r="W710" s="227"/>
      <c r="X710" s="227"/>
      <c r="Y710" s="227"/>
      <c r="Z710" s="227"/>
      <c r="AA710" s="227"/>
      <c r="AB710" s="227"/>
      <c r="AC710" s="227"/>
      <c r="AD710" s="227"/>
      <c r="AE710" s="227"/>
    </row>
    <row r="711" ht="15.75" customHeight="1">
      <c r="A711" s="227"/>
      <c r="B711" s="227"/>
      <c r="C711" s="227"/>
      <c r="D711" s="227"/>
      <c r="E711" s="227"/>
      <c r="F711" s="227"/>
      <c r="G711" s="227"/>
      <c r="H711" s="227"/>
      <c r="I711" s="227"/>
      <c r="J711" s="227"/>
      <c r="K711" s="227"/>
      <c r="L711" s="227"/>
      <c r="M711" s="227"/>
      <c r="N711" s="227"/>
      <c r="O711" s="227"/>
      <c r="P711" s="227"/>
      <c r="Q711" s="227"/>
      <c r="R711" s="227"/>
      <c r="S711" s="227"/>
      <c r="T711" s="227"/>
      <c r="U711" s="227"/>
      <c r="V711" s="227"/>
      <c r="W711" s="227"/>
      <c r="X711" s="227"/>
      <c r="Y711" s="227"/>
      <c r="Z711" s="227"/>
      <c r="AA711" s="227"/>
      <c r="AB711" s="227"/>
      <c r="AC711" s="227"/>
      <c r="AD711" s="227"/>
      <c r="AE711" s="227"/>
    </row>
    <row r="712" ht="15.75" customHeight="1">
      <c r="A712" s="227"/>
      <c r="B712" s="227"/>
      <c r="C712" s="227"/>
      <c r="D712" s="227"/>
      <c r="E712" s="227"/>
      <c r="F712" s="227"/>
      <c r="G712" s="227"/>
      <c r="H712" s="227"/>
      <c r="I712" s="227"/>
      <c r="J712" s="227"/>
      <c r="K712" s="227"/>
      <c r="L712" s="227"/>
      <c r="M712" s="227"/>
      <c r="N712" s="227"/>
      <c r="O712" s="227"/>
      <c r="P712" s="227"/>
      <c r="Q712" s="227"/>
      <c r="R712" s="227"/>
      <c r="S712" s="227"/>
      <c r="T712" s="227"/>
      <c r="U712" s="227"/>
      <c r="V712" s="227"/>
      <c r="W712" s="227"/>
      <c r="X712" s="227"/>
      <c r="Y712" s="227"/>
      <c r="Z712" s="227"/>
      <c r="AA712" s="227"/>
      <c r="AB712" s="227"/>
      <c r="AC712" s="227"/>
      <c r="AD712" s="227"/>
      <c r="AE712" s="227"/>
    </row>
    <row r="713" ht="15.75" customHeight="1">
      <c r="A713" s="227"/>
      <c r="B713" s="227"/>
      <c r="C713" s="227"/>
      <c r="D713" s="227"/>
      <c r="E713" s="227"/>
      <c r="F713" s="227"/>
      <c r="G713" s="227"/>
      <c r="H713" s="227"/>
      <c r="I713" s="227"/>
      <c r="J713" s="227"/>
      <c r="K713" s="227"/>
      <c r="L713" s="227"/>
      <c r="M713" s="227"/>
      <c r="N713" s="227"/>
      <c r="O713" s="227"/>
      <c r="P713" s="227"/>
      <c r="Q713" s="227"/>
      <c r="R713" s="227"/>
      <c r="S713" s="227"/>
      <c r="T713" s="227"/>
      <c r="U713" s="227"/>
      <c r="V713" s="227"/>
      <c r="W713" s="227"/>
      <c r="X713" s="227"/>
      <c r="Y713" s="227"/>
      <c r="Z713" s="227"/>
      <c r="AA713" s="227"/>
      <c r="AB713" s="227"/>
      <c r="AC713" s="227"/>
      <c r="AD713" s="227"/>
      <c r="AE713" s="227"/>
    </row>
    <row r="714" ht="15.75" customHeight="1">
      <c r="A714" s="227"/>
      <c r="B714" s="227"/>
      <c r="C714" s="227"/>
      <c r="D714" s="227"/>
      <c r="E714" s="227"/>
      <c r="F714" s="227"/>
      <c r="G714" s="227"/>
      <c r="H714" s="227"/>
      <c r="I714" s="227"/>
      <c r="J714" s="227"/>
      <c r="K714" s="227"/>
      <c r="L714" s="227"/>
      <c r="M714" s="227"/>
      <c r="N714" s="227"/>
      <c r="O714" s="227"/>
      <c r="P714" s="227"/>
      <c r="Q714" s="227"/>
      <c r="R714" s="227"/>
      <c r="S714" s="227"/>
      <c r="T714" s="227"/>
      <c r="U714" s="227"/>
      <c r="V714" s="227"/>
      <c r="W714" s="227"/>
      <c r="X714" s="227"/>
      <c r="Y714" s="227"/>
      <c r="Z714" s="227"/>
      <c r="AA714" s="227"/>
      <c r="AB714" s="227"/>
      <c r="AC714" s="227"/>
      <c r="AD714" s="227"/>
      <c r="AE714" s="227"/>
    </row>
    <row r="715" ht="15.75" customHeight="1">
      <c r="A715" s="227"/>
      <c r="B715" s="227"/>
      <c r="C715" s="227"/>
      <c r="D715" s="227"/>
      <c r="E715" s="227"/>
      <c r="F715" s="227"/>
      <c r="G715" s="227"/>
      <c r="H715" s="227"/>
      <c r="I715" s="227"/>
      <c r="J715" s="227"/>
      <c r="K715" s="227"/>
      <c r="L715" s="227"/>
      <c r="M715" s="227"/>
      <c r="N715" s="227"/>
      <c r="O715" s="227"/>
      <c r="P715" s="227"/>
      <c r="Q715" s="227"/>
      <c r="R715" s="227"/>
      <c r="S715" s="227"/>
      <c r="T715" s="227"/>
      <c r="U715" s="227"/>
      <c r="V715" s="227"/>
      <c r="W715" s="227"/>
      <c r="X715" s="227"/>
      <c r="Y715" s="227"/>
      <c r="Z715" s="227"/>
      <c r="AA715" s="227"/>
      <c r="AB715" s="227"/>
      <c r="AC715" s="227"/>
      <c r="AD715" s="227"/>
      <c r="AE715" s="227"/>
    </row>
    <row r="716" ht="15.75" customHeight="1">
      <c r="A716" s="227"/>
      <c r="B716" s="227"/>
      <c r="C716" s="227"/>
      <c r="D716" s="227"/>
      <c r="E716" s="227"/>
      <c r="F716" s="227"/>
      <c r="G716" s="227"/>
      <c r="H716" s="227"/>
      <c r="I716" s="227"/>
      <c r="J716" s="227"/>
      <c r="K716" s="227"/>
      <c r="L716" s="227"/>
      <c r="M716" s="227"/>
      <c r="N716" s="227"/>
      <c r="O716" s="227"/>
      <c r="P716" s="227"/>
      <c r="Q716" s="227"/>
      <c r="R716" s="227"/>
      <c r="S716" s="227"/>
      <c r="T716" s="227"/>
      <c r="U716" s="227"/>
      <c r="V716" s="227"/>
      <c r="W716" s="227"/>
      <c r="X716" s="227"/>
      <c r="Y716" s="227"/>
      <c r="Z716" s="227"/>
      <c r="AA716" s="227"/>
      <c r="AB716" s="227"/>
      <c r="AC716" s="227"/>
      <c r="AD716" s="227"/>
      <c r="AE716" s="227"/>
    </row>
    <row r="717" ht="15.75" customHeight="1">
      <c r="A717" s="227"/>
      <c r="B717" s="227"/>
      <c r="C717" s="227"/>
      <c r="D717" s="227"/>
      <c r="E717" s="227"/>
      <c r="F717" s="227"/>
      <c r="G717" s="227"/>
      <c r="H717" s="227"/>
      <c r="I717" s="227"/>
      <c r="J717" s="227"/>
      <c r="K717" s="227"/>
      <c r="L717" s="227"/>
      <c r="M717" s="227"/>
      <c r="N717" s="227"/>
      <c r="O717" s="227"/>
      <c r="P717" s="227"/>
      <c r="Q717" s="227"/>
      <c r="R717" s="227"/>
      <c r="S717" s="227"/>
      <c r="T717" s="227"/>
      <c r="U717" s="227"/>
      <c r="V717" s="227"/>
      <c r="W717" s="227"/>
      <c r="X717" s="227"/>
      <c r="Y717" s="227"/>
      <c r="Z717" s="227"/>
      <c r="AA717" s="227"/>
      <c r="AB717" s="227"/>
      <c r="AC717" s="227"/>
      <c r="AD717" s="227"/>
      <c r="AE717" s="227"/>
    </row>
    <row r="718" ht="15.75" customHeight="1">
      <c r="A718" s="227"/>
      <c r="B718" s="227"/>
      <c r="C718" s="227"/>
      <c r="D718" s="227"/>
      <c r="E718" s="227"/>
      <c r="F718" s="227"/>
      <c r="G718" s="227"/>
      <c r="H718" s="227"/>
      <c r="I718" s="227"/>
      <c r="J718" s="227"/>
      <c r="K718" s="227"/>
      <c r="L718" s="227"/>
      <c r="M718" s="227"/>
      <c r="N718" s="227"/>
      <c r="O718" s="227"/>
      <c r="P718" s="227"/>
      <c r="Q718" s="227"/>
      <c r="R718" s="227"/>
      <c r="S718" s="227"/>
      <c r="T718" s="227"/>
      <c r="U718" s="227"/>
      <c r="V718" s="227"/>
      <c r="W718" s="227"/>
      <c r="X718" s="227"/>
      <c r="Y718" s="227"/>
      <c r="Z718" s="227"/>
      <c r="AA718" s="227"/>
      <c r="AB718" s="227"/>
      <c r="AC718" s="227"/>
      <c r="AD718" s="227"/>
      <c r="AE718" s="227"/>
    </row>
    <row r="719" ht="15.75" customHeight="1">
      <c r="A719" s="227"/>
      <c r="B719" s="227"/>
      <c r="C719" s="227"/>
      <c r="D719" s="227"/>
      <c r="E719" s="227"/>
      <c r="F719" s="227"/>
      <c r="G719" s="227"/>
      <c r="H719" s="227"/>
      <c r="I719" s="227"/>
      <c r="J719" s="227"/>
      <c r="K719" s="227"/>
      <c r="L719" s="227"/>
      <c r="M719" s="227"/>
      <c r="N719" s="227"/>
      <c r="O719" s="227"/>
      <c r="P719" s="227"/>
      <c r="Q719" s="227"/>
      <c r="R719" s="227"/>
      <c r="S719" s="227"/>
      <c r="T719" s="227"/>
      <c r="U719" s="227"/>
      <c r="V719" s="227"/>
      <c r="W719" s="227"/>
      <c r="X719" s="227"/>
      <c r="Y719" s="227"/>
      <c r="Z719" s="227"/>
      <c r="AA719" s="227"/>
      <c r="AB719" s="227"/>
      <c r="AC719" s="227"/>
      <c r="AD719" s="227"/>
      <c r="AE719" s="227"/>
    </row>
    <row r="720" ht="15.75" customHeight="1">
      <c r="A720" s="227"/>
      <c r="B720" s="227"/>
      <c r="C720" s="227"/>
      <c r="D720" s="227"/>
      <c r="E720" s="227"/>
      <c r="F720" s="227"/>
      <c r="G720" s="227"/>
      <c r="H720" s="227"/>
      <c r="I720" s="227"/>
      <c r="J720" s="227"/>
      <c r="K720" s="227"/>
      <c r="L720" s="227"/>
      <c r="M720" s="227"/>
      <c r="N720" s="227"/>
      <c r="O720" s="227"/>
      <c r="P720" s="227"/>
      <c r="Q720" s="227"/>
      <c r="R720" s="227"/>
      <c r="S720" s="227"/>
      <c r="T720" s="227"/>
      <c r="U720" s="227"/>
      <c r="V720" s="227"/>
      <c r="W720" s="227"/>
      <c r="X720" s="227"/>
      <c r="Y720" s="227"/>
      <c r="Z720" s="227"/>
      <c r="AA720" s="227"/>
      <c r="AB720" s="227"/>
      <c r="AC720" s="227"/>
      <c r="AD720" s="227"/>
      <c r="AE720" s="227"/>
    </row>
    <row r="721" ht="15.75" customHeight="1">
      <c r="A721" s="227"/>
      <c r="B721" s="227"/>
      <c r="C721" s="227"/>
      <c r="D721" s="227"/>
      <c r="E721" s="227"/>
      <c r="F721" s="227"/>
      <c r="G721" s="227"/>
      <c r="H721" s="227"/>
      <c r="I721" s="227"/>
      <c r="J721" s="227"/>
      <c r="K721" s="227"/>
      <c r="L721" s="227"/>
      <c r="M721" s="227"/>
      <c r="N721" s="227"/>
      <c r="O721" s="227"/>
      <c r="P721" s="227"/>
      <c r="Q721" s="227"/>
      <c r="R721" s="227"/>
      <c r="S721" s="227"/>
      <c r="T721" s="227"/>
      <c r="U721" s="227"/>
      <c r="V721" s="227"/>
      <c r="W721" s="227"/>
      <c r="X721" s="227"/>
      <c r="Y721" s="227"/>
      <c r="Z721" s="227"/>
      <c r="AA721" s="227"/>
      <c r="AB721" s="227"/>
      <c r="AC721" s="227"/>
      <c r="AD721" s="227"/>
      <c r="AE721" s="227"/>
    </row>
    <row r="722" ht="15.75" customHeight="1">
      <c r="A722" s="227"/>
      <c r="B722" s="227"/>
      <c r="C722" s="227"/>
      <c r="D722" s="227"/>
      <c r="E722" s="227"/>
      <c r="F722" s="227"/>
      <c r="G722" s="227"/>
      <c r="H722" s="227"/>
      <c r="I722" s="227"/>
      <c r="J722" s="227"/>
      <c r="K722" s="227"/>
      <c r="L722" s="227"/>
      <c r="M722" s="227"/>
      <c r="N722" s="227"/>
      <c r="O722" s="227"/>
      <c r="P722" s="227"/>
      <c r="Q722" s="227"/>
      <c r="R722" s="227"/>
      <c r="S722" s="227"/>
      <c r="T722" s="227"/>
      <c r="U722" s="227"/>
      <c r="V722" s="227"/>
      <c r="W722" s="227"/>
      <c r="X722" s="227"/>
      <c r="Y722" s="227"/>
      <c r="Z722" s="227"/>
      <c r="AA722" s="227"/>
      <c r="AB722" s="227"/>
      <c r="AC722" s="227"/>
      <c r="AD722" s="227"/>
      <c r="AE722" s="227"/>
    </row>
    <row r="723" ht="15.75" customHeight="1">
      <c r="A723" s="227"/>
      <c r="B723" s="227"/>
      <c r="C723" s="227"/>
      <c r="D723" s="227"/>
      <c r="E723" s="227"/>
      <c r="F723" s="227"/>
      <c r="G723" s="227"/>
      <c r="H723" s="227"/>
      <c r="I723" s="227"/>
      <c r="J723" s="227"/>
      <c r="K723" s="227"/>
      <c r="L723" s="227"/>
      <c r="M723" s="227"/>
      <c r="N723" s="227"/>
      <c r="O723" s="227"/>
      <c r="P723" s="227"/>
      <c r="Q723" s="227"/>
      <c r="R723" s="227"/>
      <c r="S723" s="227"/>
      <c r="T723" s="227"/>
      <c r="U723" s="227"/>
      <c r="V723" s="227"/>
      <c r="W723" s="227"/>
      <c r="X723" s="227"/>
      <c r="Y723" s="227"/>
      <c r="Z723" s="227"/>
      <c r="AA723" s="227"/>
      <c r="AB723" s="227"/>
      <c r="AC723" s="227"/>
      <c r="AD723" s="227"/>
      <c r="AE723" s="227"/>
    </row>
    <row r="724" ht="15.75" customHeight="1">
      <c r="A724" s="227"/>
      <c r="B724" s="227"/>
      <c r="C724" s="227"/>
      <c r="D724" s="227"/>
      <c r="E724" s="227"/>
      <c r="F724" s="227"/>
      <c r="G724" s="227"/>
      <c r="H724" s="227"/>
      <c r="I724" s="227"/>
      <c r="J724" s="227"/>
      <c r="K724" s="227"/>
      <c r="L724" s="227"/>
      <c r="M724" s="227"/>
      <c r="N724" s="227"/>
      <c r="O724" s="227"/>
      <c r="P724" s="227"/>
      <c r="Q724" s="227"/>
      <c r="R724" s="227"/>
      <c r="S724" s="227"/>
      <c r="T724" s="227"/>
      <c r="U724" s="227"/>
      <c r="V724" s="227"/>
      <c r="W724" s="227"/>
      <c r="X724" s="227"/>
      <c r="Y724" s="227"/>
      <c r="Z724" s="227"/>
      <c r="AA724" s="227"/>
      <c r="AB724" s="227"/>
      <c r="AC724" s="227"/>
      <c r="AD724" s="227"/>
      <c r="AE724" s="227"/>
    </row>
    <row r="725" ht="15.75" customHeight="1">
      <c r="A725" s="227"/>
      <c r="B725" s="227"/>
      <c r="C725" s="227"/>
      <c r="D725" s="227"/>
      <c r="E725" s="227"/>
      <c r="F725" s="227"/>
      <c r="G725" s="227"/>
      <c r="H725" s="227"/>
      <c r="I725" s="227"/>
      <c r="J725" s="227"/>
      <c r="K725" s="227"/>
      <c r="L725" s="227"/>
      <c r="M725" s="227"/>
      <c r="N725" s="227"/>
      <c r="O725" s="227"/>
      <c r="P725" s="227"/>
      <c r="Q725" s="227"/>
      <c r="R725" s="227"/>
      <c r="S725" s="227"/>
      <c r="T725" s="227"/>
      <c r="U725" s="227"/>
      <c r="V725" s="227"/>
      <c r="W725" s="227"/>
      <c r="X725" s="227"/>
      <c r="Y725" s="227"/>
      <c r="Z725" s="227"/>
      <c r="AA725" s="227"/>
      <c r="AB725" s="227"/>
      <c r="AC725" s="227"/>
      <c r="AD725" s="227"/>
      <c r="AE725" s="227"/>
    </row>
    <row r="726" ht="15.75" customHeight="1">
      <c r="A726" s="227"/>
      <c r="B726" s="227"/>
      <c r="C726" s="227"/>
      <c r="D726" s="227"/>
      <c r="E726" s="227"/>
      <c r="F726" s="227"/>
      <c r="G726" s="227"/>
      <c r="H726" s="227"/>
      <c r="I726" s="227"/>
      <c r="J726" s="227"/>
      <c r="K726" s="227"/>
      <c r="L726" s="227"/>
      <c r="M726" s="227"/>
      <c r="N726" s="227"/>
      <c r="O726" s="227"/>
      <c r="P726" s="227"/>
      <c r="Q726" s="227"/>
      <c r="R726" s="227"/>
      <c r="S726" s="227"/>
      <c r="T726" s="227"/>
      <c r="U726" s="227"/>
      <c r="V726" s="227"/>
      <c r="W726" s="227"/>
      <c r="X726" s="227"/>
      <c r="Y726" s="227"/>
      <c r="Z726" s="227"/>
      <c r="AA726" s="227"/>
      <c r="AB726" s="227"/>
      <c r="AC726" s="227"/>
      <c r="AD726" s="227"/>
      <c r="AE726" s="227"/>
    </row>
    <row r="727" ht="15.75" customHeight="1">
      <c r="A727" s="227"/>
      <c r="B727" s="227"/>
      <c r="C727" s="227"/>
      <c r="D727" s="227"/>
      <c r="E727" s="227"/>
      <c r="F727" s="227"/>
      <c r="G727" s="227"/>
      <c r="H727" s="227"/>
      <c r="I727" s="227"/>
      <c r="J727" s="227"/>
      <c r="K727" s="227"/>
      <c r="L727" s="227"/>
      <c r="M727" s="227"/>
      <c r="N727" s="227"/>
      <c r="O727" s="227"/>
      <c r="P727" s="227"/>
      <c r="Q727" s="227"/>
      <c r="R727" s="227"/>
      <c r="S727" s="227"/>
      <c r="T727" s="227"/>
      <c r="U727" s="227"/>
      <c r="V727" s="227"/>
      <c r="W727" s="227"/>
      <c r="X727" s="227"/>
      <c r="Y727" s="227"/>
      <c r="Z727" s="227"/>
      <c r="AA727" s="227"/>
      <c r="AB727" s="227"/>
      <c r="AC727" s="227"/>
      <c r="AD727" s="227"/>
      <c r="AE727" s="227"/>
    </row>
    <row r="728" ht="15.75" customHeight="1">
      <c r="A728" s="227"/>
      <c r="B728" s="227"/>
      <c r="C728" s="227"/>
      <c r="D728" s="227"/>
      <c r="E728" s="227"/>
      <c r="F728" s="227"/>
      <c r="G728" s="227"/>
      <c r="H728" s="227"/>
      <c r="I728" s="227"/>
      <c r="J728" s="227"/>
      <c r="K728" s="227"/>
      <c r="L728" s="227"/>
      <c r="M728" s="227"/>
      <c r="N728" s="227"/>
      <c r="O728" s="227"/>
      <c r="P728" s="227"/>
      <c r="Q728" s="227"/>
      <c r="R728" s="227"/>
      <c r="S728" s="227"/>
      <c r="T728" s="227"/>
      <c r="U728" s="227"/>
      <c r="V728" s="227"/>
      <c r="W728" s="227"/>
      <c r="X728" s="227"/>
      <c r="Y728" s="227"/>
      <c r="Z728" s="227"/>
      <c r="AA728" s="227"/>
      <c r="AB728" s="227"/>
      <c r="AC728" s="227"/>
      <c r="AD728" s="227"/>
      <c r="AE728" s="227"/>
    </row>
    <row r="729" ht="15.75" customHeight="1">
      <c r="A729" s="227"/>
      <c r="B729" s="227"/>
      <c r="C729" s="227"/>
      <c r="D729" s="227"/>
      <c r="E729" s="227"/>
      <c r="F729" s="227"/>
      <c r="G729" s="227"/>
      <c r="H729" s="227"/>
      <c r="I729" s="227"/>
      <c r="J729" s="227"/>
      <c r="K729" s="227"/>
      <c r="L729" s="227"/>
      <c r="M729" s="227"/>
      <c r="N729" s="227"/>
      <c r="O729" s="227"/>
      <c r="P729" s="227"/>
      <c r="Q729" s="227"/>
      <c r="R729" s="227"/>
      <c r="S729" s="227"/>
      <c r="T729" s="227"/>
      <c r="U729" s="227"/>
      <c r="V729" s="227"/>
      <c r="W729" s="227"/>
      <c r="X729" s="227"/>
      <c r="Y729" s="227"/>
      <c r="Z729" s="227"/>
      <c r="AA729" s="227"/>
      <c r="AB729" s="227"/>
      <c r="AC729" s="227"/>
      <c r="AD729" s="227"/>
      <c r="AE729" s="227"/>
    </row>
    <row r="730" ht="15.75" customHeight="1">
      <c r="A730" s="227"/>
      <c r="B730" s="227"/>
      <c r="C730" s="227"/>
      <c r="D730" s="227"/>
      <c r="E730" s="227"/>
      <c r="F730" s="227"/>
      <c r="G730" s="227"/>
      <c r="H730" s="227"/>
      <c r="I730" s="227"/>
      <c r="J730" s="227"/>
      <c r="K730" s="227"/>
      <c r="L730" s="227"/>
      <c r="M730" s="227"/>
      <c r="N730" s="227"/>
      <c r="O730" s="227"/>
      <c r="P730" s="227"/>
      <c r="Q730" s="227"/>
      <c r="R730" s="227"/>
      <c r="S730" s="227"/>
      <c r="T730" s="227"/>
      <c r="U730" s="227"/>
      <c r="V730" s="227"/>
      <c r="W730" s="227"/>
      <c r="X730" s="227"/>
      <c r="Y730" s="227"/>
      <c r="Z730" s="227"/>
      <c r="AA730" s="227"/>
      <c r="AB730" s="227"/>
      <c r="AC730" s="227"/>
      <c r="AD730" s="227"/>
      <c r="AE730" s="227"/>
    </row>
    <row r="731" ht="15.75" customHeight="1">
      <c r="A731" s="227"/>
      <c r="B731" s="227"/>
      <c r="C731" s="227"/>
      <c r="D731" s="227"/>
      <c r="E731" s="227"/>
      <c r="F731" s="227"/>
      <c r="G731" s="227"/>
      <c r="H731" s="227"/>
      <c r="I731" s="227"/>
      <c r="J731" s="227"/>
      <c r="K731" s="227"/>
      <c r="L731" s="227"/>
      <c r="M731" s="227"/>
      <c r="N731" s="227"/>
      <c r="O731" s="227"/>
      <c r="P731" s="227"/>
      <c r="Q731" s="227"/>
      <c r="R731" s="227"/>
      <c r="S731" s="227"/>
      <c r="T731" s="227"/>
      <c r="U731" s="227"/>
      <c r="V731" s="227"/>
      <c r="W731" s="227"/>
      <c r="X731" s="227"/>
      <c r="Y731" s="227"/>
      <c r="Z731" s="227"/>
      <c r="AA731" s="227"/>
      <c r="AB731" s="227"/>
      <c r="AC731" s="227"/>
      <c r="AD731" s="227"/>
      <c r="AE731" s="227"/>
    </row>
    <row r="732" ht="15.75" customHeight="1">
      <c r="A732" s="227"/>
      <c r="B732" s="227"/>
      <c r="C732" s="227"/>
      <c r="D732" s="227"/>
      <c r="E732" s="227"/>
      <c r="F732" s="227"/>
      <c r="G732" s="227"/>
      <c r="H732" s="227"/>
      <c r="I732" s="227"/>
      <c r="J732" s="227"/>
      <c r="K732" s="227"/>
      <c r="L732" s="227"/>
      <c r="M732" s="227"/>
      <c r="N732" s="227"/>
      <c r="O732" s="227"/>
      <c r="P732" s="227"/>
      <c r="Q732" s="227"/>
      <c r="R732" s="227"/>
      <c r="S732" s="227"/>
      <c r="T732" s="227"/>
      <c r="U732" s="227"/>
      <c r="V732" s="227"/>
      <c r="W732" s="227"/>
      <c r="X732" s="227"/>
      <c r="Y732" s="227"/>
      <c r="Z732" s="227"/>
      <c r="AA732" s="227"/>
      <c r="AB732" s="227"/>
      <c r="AC732" s="227"/>
      <c r="AD732" s="227"/>
      <c r="AE732" s="227"/>
    </row>
    <row r="733" ht="15.75" customHeight="1">
      <c r="A733" s="227"/>
      <c r="B733" s="227"/>
      <c r="C733" s="227"/>
      <c r="D733" s="227"/>
      <c r="E733" s="227"/>
      <c r="F733" s="227"/>
      <c r="G733" s="227"/>
      <c r="H733" s="227"/>
      <c r="I733" s="227"/>
      <c r="J733" s="227"/>
      <c r="K733" s="227"/>
      <c r="L733" s="227"/>
      <c r="M733" s="227"/>
      <c r="N733" s="227"/>
      <c r="O733" s="227"/>
      <c r="P733" s="227"/>
      <c r="Q733" s="227"/>
      <c r="R733" s="227"/>
      <c r="S733" s="227"/>
      <c r="T733" s="227"/>
      <c r="U733" s="227"/>
      <c r="V733" s="227"/>
      <c r="W733" s="227"/>
      <c r="X733" s="227"/>
      <c r="Y733" s="227"/>
      <c r="Z733" s="227"/>
      <c r="AA733" s="227"/>
      <c r="AB733" s="227"/>
      <c r="AC733" s="227"/>
      <c r="AD733" s="227"/>
      <c r="AE733" s="227"/>
    </row>
    <row r="734" ht="15.75" customHeight="1">
      <c r="A734" s="227"/>
      <c r="B734" s="227"/>
      <c r="C734" s="227"/>
      <c r="D734" s="227"/>
      <c r="E734" s="227"/>
      <c r="F734" s="227"/>
      <c r="G734" s="227"/>
      <c r="H734" s="227"/>
      <c r="I734" s="227"/>
      <c r="J734" s="227"/>
      <c r="K734" s="227"/>
      <c r="L734" s="227"/>
      <c r="M734" s="227"/>
      <c r="N734" s="227"/>
      <c r="O734" s="227"/>
      <c r="P734" s="227"/>
      <c r="Q734" s="227"/>
      <c r="R734" s="227"/>
      <c r="S734" s="227"/>
      <c r="T734" s="227"/>
      <c r="U734" s="227"/>
      <c r="V734" s="227"/>
      <c r="W734" s="227"/>
      <c r="X734" s="227"/>
      <c r="Y734" s="227"/>
      <c r="Z734" s="227"/>
      <c r="AA734" s="227"/>
      <c r="AB734" s="227"/>
      <c r="AC734" s="227"/>
      <c r="AD734" s="227"/>
      <c r="AE734" s="227"/>
    </row>
    <row r="735" ht="15.75" customHeight="1">
      <c r="A735" s="227"/>
      <c r="B735" s="227"/>
      <c r="C735" s="227"/>
      <c r="D735" s="227"/>
      <c r="E735" s="227"/>
      <c r="F735" s="227"/>
      <c r="G735" s="227"/>
      <c r="H735" s="227"/>
      <c r="I735" s="227"/>
      <c r="J735" s="227"/>
      <c r="K735" s="227"/>
      <c r="L735" s="227"/>
      <c r="M735" s="227"/>
      <c r="N735" s="227"/>
      <c r="O735" s="227"/>
      <c r="P735" s="227"/>
      <c r="Q735" s="227"/>
      <c r="R735" s="227"/>
      <c r="S735" s="227"/>
      <c r="T735" s="227"/>
      <c r="U735" s="227"/>
      <c r="V735" s="227"/>
      <c r="W735" s="227"/>
      <c r="X735" s="227"/>
      <c r="Y735" s="227"/>
      <c r="Z735" s="227"/>
      <c r="AA735" s="227"/>
      <c r="AB735" s="227"/>
      <c r="AC735" s="227"/>
      <c r="AD735" s="227"/>
      <c r="AE735" s="227"/>
    </row>
    <row r="736" ht="15.75" customHeight="1">
      <c r="A736" s="227"/>
      <c r="B736" s="227"/>
      <c r="C736" s="227"/>
      <c r="D736" s="227"/>
      <c r="E736" s="227"/>
      <c r="F736" s="227"/>
      <c r="G736" s="227"/>
      <c r="H736" s="227"/>
      <c r="I736" s="227"/>
      <c r="J736" s="227"/>
      <c r="K736" s="227"/>
      <c r="L736" s="227"/>
      <c r="M736" s="227"/>
      <c r="N736" s="227"/>
      <c r="O736" s="227"/>
      <c r="P736" s="227"/>
      <c r="Q736" s="227"/>
      <c r="R736" s="227"/>
      <c r="S736" s="227"/>
      <c r="T736" s="227"/>
      <c r="U736" s="227"/>
      <c r="V736" s="227"/>
      <c r="W736" s="227"/>
      <c r="X736" s="227"/>
      <c r="Y736" s="227"/>
      <c r="Z736" s="227"/>
      <c r="AA736" s="227"/>
      <c r="AB736" s="227"/>
      <c r="AC736" s="227"/>
      <c r="AD736" s="227"/>
      <c r="AE736" s="227"/>
    </row>
    <row r="737" ht="15.75" customHeight="1">
      <c r="A737" s="227"/>
      <c r="B737" s="227"/>
      <c r="C737" s="227"/>
      <c r="D737" s="227"/>
      <c r="E737" s="227"/>
      <c r="F737" s="227"/>
      <c r="G737" s="227"/>
      <c r="H737" s="227"/>
      <c r="I737" s="227"/>
      <c r="J737" s="227"/>
      <c r="K737" s="227"/>
      <c r="L737" s="227"/>
      <c r="M737" s="227"/>
      <c r="N737" s="227"/>
      <c r="O737" s="227"/>
      <c r="P737" s="227"/>
      <c r="Q737" s="227"/>
      <c r="R737" s="227"/>
      <c r="S737" s="227"/>
      <c r="T737" s="227"/>
      <c r="U737" s="227"/>
      <c r="V737" s="227"/>
      <c r="W737" s="227"/>
      <c r="X737" s="227"/>
      <c r="Y737" s="227"/>
      <c r="Z737" s="227"/>
      <c r="AA737" s="227"/>
      <c r="AB737" s="227"/>
      <c r="AC737" s="227"/>
      <c r="AD737" s="227"/>
      <c r="AE737" s="227"/>
    </row>
    <row r="738" ht="15.75" customHeight="1">
      <c r="A738" s="227"/>
      <c r="B738" s="227"/>
      <c r="C738" s="227"/>
      <c r="D738" s="227"/>
      <c r="E738" s="227"/>
      <c r="F738" s="227"/>
      <c r="G738" s="227"/>
      <c r="H738" s="227"/>
      <c r="I738" s="227"/>
      <c r="J738" s="227"/>
      <c r="K738" s="227"/>
      <c r="L738" s="227"/>
      <c r="M738" s="227"/>
      <c r="N738" s="227"/>
      <c r="O738" s="227"/>
      <c r="P738" s="227"/>
      <c r="Q738" s="227"/>
      <c r="R738" s="227"/>
      <c r="S738" s="227"/>
      <c r="T738" s="227"/>
      <c r="U738" s="227"/>
      <c r="V738" s="227"/>
      <c r="W738" s="227"/>
      <c r="X738" s="227"/>
      <c r="Y738" s="227"/>
      <c r="Z738" s="227"/>
      <c r="AA738" s="227"/>
      <c r="AB738" s="227"/>
      <c r="AC738" s="227"/>
      <c r="AD738" s="227"/>
      <c r="AE738" s="227"/>
    </row>
    <row r="739" ht="15.75" customHeight="1">
      <c r="A739" s="227"/>
      <c r="B739" s="227"/>
      <c r="C739" s="227"/>
      <c r="D739" s="227"/>
      <c r="E739" s="227"/>
      <c r="F739" s="227"/>
      <c r="G739" s="227"/>
      <c r="H739" s="227"/>
      <c r="I739" s="227"/>
      <c r="J739" s="227"/>
      <c r="K739" s="227"/>
      <c r="L739" s="227"/>
      <c r="M739" s="227"/>
      <c r="N739" s="227"/>
      <c r="O739" s="227"/>
      <c r="P739" s="227"/>
      <c r="Q739" s="227"/>
      <c r="R739" s="227"/>
      <c r="S739" s="227"/>
      <c r="T739" s="227"/>
      <c r="U739" s="227"/>
      <c r="V739" s="227"/>
      <c r="W739" s="227"/>
      <c r="X739" s="227"/>
      <c r="Y739" s="227"/>
      <c r="Z739" s="227"/>
      <c r="AA739" s="227"/>
      <c r="AB739" s="227"/>
      <c r="AC739" s="227"/>
      <c r="AD739" s="227"/>
      <c r="AE739" s="227"/>
    </row>
    <row r="740" ht="15.75" customHeight="1">
      <c r="A740" s="227"/>
      <c r="B740" s="227"/>
      <c r="C740" s="227"/>
      <c r="D740" s="227"/>
      <c r="E740" s="227"/>
      <c r="F740" s="227"/>
      <c r="G740" s="227"/>
      <c r="H740" s="227"/>
      <c r="I740" s="227"/>
      <c r="J740" s="227"/>
      <c r="K740" s="227"/>
      <c r="L740" s="227"/>
      <c r="M740" s="227"/>
      <c r="N740" s="227"/>
      <c r="O740" s="227"/>
      <c r="P740" s="227"/>
      <c r="Q740" s="227"/>
      <c r="R740" s="227"/>
      <c r="S740" s="227"/>
      <c r="T740" s="227"/>
      <c r="U740" s="227"/>
      <c r="V740" s="227"/>
      <c r="W740" s="227"/>
      <c r="X740" s="227"/>
      <c r="Y740" s="227"/>
      <c r="Z740" s="227"/>
      <c r="AA740" s="227"/>
      <c r="AB740" s="227"/>
      <c r="AC740" s="227"/>
      <c r="AD740" s="227"/>
      <c r="AE740" s="227"/>
    </row>
    <row r="741" ht="15.75" customHeight="1">
      <c r="A741" s="227"/>
      <c r="B741" s="227"/>
      <c r="C741" s="227"/>
      <c r="D741" s="227"/>
      <c r="E741" s="227"/>
      <c r="F741" s="227"/>
      <c r="G741" s="227"/>
      <c r="H741" s="227"/>
      <c r="I741" s="227"/>
      <c r="J741" s="227"/>
      <c r="K741" s="227"/>
      <c r="L741" s="227"/>
      <c r="M741" s="227"/>
      <c r="N741" s="227"/>
      <c r="O741" s="227"/>
      <c r="P741" s="227"/>
      <c r="Q741" s="227"/>
      <c r="R741" s="227"/>
      <c r="S741" s="227"/>
      <c r="T741" s="227"/>
      <c r="U741" s="227"/>
      <c r="V741" s="227"/>
      <c r="W741" s="227"/>
      <c r="X741" s="227"/>
      <c r="Y741" s="227"/>
      <c r="Z741" s="227"/>
      <c r="AA741" s="227"/>
      <c r="AB741" s="227"/>
      <c r="AC741" s="227"/>
      <c r="AD741" s="227"/>
      <c r="AE741" s="227"/>
    </row>
    <row r="742" ht="15.75" customHeight="1">
      <c r="A742" s="227"/>
      <c r="B742" s="227"/>
      <c r="C742" s="227"/>
      <c r="D742" s="227"/>
      <c r="E742" s="227"/>
      <c r="F742" s="227"/>
      <c r="G742" s="227"/>
      <c r="H742" s="227"/>
      <c r="I742" s="227"/>
      <c r="J742" s="227"/>
      <c r="K742" s="227"/>
      <c r="L742" s="227"/>
      <c r="M742" s="227"/>
      <c r="N742" s="227"/>
      <c r="O742" s="227"/>
      <c r="P742" s="227"/>
      <c r="Q742" s="227"/>
      <c r="R742" s="227"/>
      <c r="S742" s="227"/>
      <c r="T742" s="227"/>
      <c r="U742" s="227"/>
      <c r="V742" s="227"/>
      <c r="W742" s="227"/>
      <c r="X742" s="227"/>
      <c r="Y742" s="227"/>
      <c r="Z742" s="227"/>
      <c r="AA742" s="227"/>
      <c r="AB742" s="227"/>
      <c r="AC742" s="227"/>
      <c r="AD742" s="227"/>
      <c r="AE742" s="227"/>
    </row>
    <row r="743" ht="15.75" customHeight="1">
      <c r="A743" s="227"/>
      <c r="B743" s="227"/>
      <c r="C743" s="227"/>
      <c r="D743" s="227"/>
      <c r="E743" s="227"/>
      <c r="F743" s="227"/>
      <c r="G743" s="227"/>
      <c r="H743" s="227"/>
      <c r="I743" s="227"/>
      <c r="J743" s="227"/>
      <c r="K743" s="227"/>
      <c r="L743" s="227"/>
      <c r="M743" s="227"/>
      <c r="N743" s="227"/>
      <c r="O743" s="227"/>
      <c r="P743" s="227"/>
      <c r="Q743" s="227"/>
      <c r="R743" s="227"/>
      <c r="S743" s="227"/>
      <c r="T743" s="227"/>
      <c r="U743" s="227"/>
      <c r="V743" s="227"/>
      <c r="W743" s="227"/>
      <c r="X743" s="227"/>
      <c r="Y743" s="227"/>
      <c r="Z743" s="227"/>
      <c r="AA743" s="227"/>
      <c r="AB743" s="227"/>
      <c r="AC743" s="227"/>
      <c r="AD743" s="227"/>
      <c r="AE743" s="227"/>
    </row>
    <row r="744" ht="15.75" customHeight="1">
      <c r="A744" s="227"/>
      <c r="B744" s="227"/>
      <c r="C744" s="227"/>
      <c r="D744" s="227"/>
      <c r="E744" s="227"/>
      <c r="F744" s="227"/>
      <c r="G744" s="227"/>
      <c r="H744" s="227"/>
      <c r="I744" s="227"/>
      <c r="J744" s="227"/>
      <c r="K744" s="227"/>
      <c r="L744" s="227"/>
      <c r="M744" s="227"/>
      <c r="N744" s="227"/>
      <c r="O744" s="227"/>
      <c r="P744" s="227"/>
      <c r="Q744" s="227"/>
      <c r="R744" s="227"/>
      <c r="S744" s="227"/>
      <c r="T744" s="227"/>
      <c r="U744" s="227"/>
      <c r="V744" s="227"/>
      <c r="W744" s="227"/>
      <c r="X744" s="227"/>
      <c r="Y744" s="227"/>
      <c r="Z744" s="227"/>
      <c r="AA744" s="227"/>
      <c r="AB744" s="227"/>
      <c r="AC744" s="227"/>
      <c r="AD744" s="227"/>
      <c r="AE744" s="227"/>
    </row>
    <row r="745" ht="15.75" customHeight="1">
      <c r="A745" s="227"/>
      <c r="B745" s="227"/>
      <c r="C745" s="227"/>
      <c r="D745" s="227"/>
      <c r="E745" s="227"/>
      <c r="F745" s="227"/>
      <c r="G745" s="227"/>
      <c r="H745" s="227"/>
      <c r="I745" s="227"/>
      <c r="J745" s="227"/>
      <c r="K745" s="227"/>
      <c r="L745" s="227"/>
      <c r="M745" s="227"/>
      <c r="N745" s="227"/>
      <c r="O745" s="227"/>
      <c r="P745" s="227"/>
      <c r="Q745" s="227"/>
      <c r="R745" s="227"/>
      <c r="S745" s="227"/>
      <c r="T745" s="227"/>
      <c r="U745" s="227"/>
      <c r="V745" s="227"/>
      <c r="W745" s="227"/>
      <c r="X745" s="227"/>
      <c r="Y745" s="227"/>
      <c r="Z745" s="227"/>
      <c r="AA745" s="227"/>
      <c r="AB745" s="227"/>
      <c r="AC745" s="227"/>
      <c r="AD745" s="227"/>
      <c r="AE745" s="227"/>
    </row>
    <row r="746" ht="15.75" customHeight="1">
      <c r="A746" s="227"/>
      <c r="B746" s="227"/>
      <c r="C746" s="227"/>
      <c r="D746" s="227"/>
      <c r="E746" s="227"/>
      <c r="F746" s="227"/>
      <c r="G746" s="227"/>
      <c r="H746" s="227"/>
      <c r="I746" s="227"/>
      <c r="J746" s="227"/>
      <c r="K746" s="227"/>
      <c r="L746" s="227"/>
      <c r="M746" s="227"/>
      <c r="N746" s="227"/>
      <c r="O746" s="227"/>
      <c r="P746" s="227"/>
      <c r="Q746" s="227"/>
      <c r="R746" s="227"/>
      <c r="S746" s="227"/>
      <c r="T746" s="227"/>
      <c r="U746" s="227"/>
      <c r="V746" s="227"/>
      <c r="W746" s="227"/>
      <c r="X746" s="227"/>
      <c r="Y746" s="227"/>
      <c r="Z746" s="227"/>
      <c r="AA746" s="227"/>
      <c r="AB746" s="227"/>
      <c r="AC746" s="227"/>
      <c r="AD746" s="227"/>
      <c r="AE746" s="227"/>
    </row>
    <row r="747" ht="15.75" customHeight="1">
      <c r="A747" s="227"/>
      <c r="B747" s="227"/>
      <c r="C747" s="227"/>
      <c r="D747" s="227"/>
      <c r="E747" s="227"/>
      <c r="F747" s="227"/>
      <c r="G747" s="227"/>
      <c r="H747" s="227"/>
      <c r="I747" s="227"/>
      <c r="J747" s="227"/>
      <c r="K747" s="227"/>
      <c r="L747" s="227"/>
      <c r="M747" s="227"/>
      <c r="N747" s="227"/>
      <c r="O747" s="227"/>
      <c r="P747" s="227"/>
      <c r="Q747" s="227"/>
      <c r="R747" s="227"/>
      <c r="S747" s="227"/>
      <c r="T747" s="227"/>
      <c r="U747" s="227"/>
      <c r="V747" s="227"/>
      <c r="W747" s="227"/>
      <c r="X747" s="227"/>
      <c r="Y747" s="227"/>
      <c r="Z747" s="227"/>
      <c r="AA747" s="227"/>
      <c r="AB747" s="227"/>
      <c r="AC747" s="227"/>
      <c r="AD747" s="227"/>
      <c r="AE747" s="227"/>
    </row>
    <row r="748" ht="15.75" customHeight="1">
      <c r="A748" s="227"/>
      <c r="B748" s="227"/>
      <c r="C748" s="227"/>
      <c r="D748" s="227"/>
      <c r="E748" s="227"/>
      <c r="F748" s="227"/>
      <c r="G748" s="227"/>
      <c r="H748" s="227"/>
      <c r="I748" s="227"/>
      <c r="J748" s="227"/>
      <c r="K748" s="227"/>
      <c r="L748" s="227"/>
      <c r="M748" s="227"/>
      <c r="N748" s="227"/>
      <c r="O748" s="227"/>
      <c r="P748" s="227"/>
      <c r="Q748" s="227"/>
      <c r="R748" s="227"/>
      <c r="S748" s="227"/>
      <c r="T748" s="227"/>
      <c r="U748" s="227"/>
      <c r="V748" s="227"/>
      <c r="W748" s="227"/>
      <c r="X748" s="227"/>
      <c r="Y748" s="227"/>
      <c r="Z748" s="227"/>
      <c r="AA748" s="227"/>
      <c r="AB748" s="227"/>
      <c r="AC748" s="227"/>
      <c r="AD748" s="227"/>
      <c r="AE748" s="227"/>
    </row>
    <row r="749" ht="15.75" customHeight="1">
      <c r="A749" s="227"/>
      <c r="B749" s="227"/>
      <c r="C749" s="227"/>
      <c r="D749" s="227"/>
      <c r="E749" s="227"/>
      <c r="F749" s="227"/>
      <c r="G749" s="227"/>
      <c r="H749" s="227"/>
      <c r="I749" s="227"/>
      <c r="J749" s="227"/>
      <c r="K749" s="227"/>
      <c r="L749" s="227"/>
      <c r="M749" s="227"/>
      <c r="N749" s="227"/>
      <c r="O749" s="227"/>
      <c r="P749" s="227"/>
      <c r="Q749" s="227"/>
      <c r="R749" s="227"/>
      <c r="S749" s="227"/>
      <c r="T749" s="227"/>
      <c r="U749" s="227"/>
      <c r="V749" s="227"/>
      <c r="W749" s="227"/>
      <c r="X749" s="227"/>
      <c r="Y749" s="227"/>
      <c r="Z749" s="227"/>
      <c r="AA749" s="227"/>
      <c r="AB749" s="227"/>
      <c r="AC749" s="227"/>
      <c r="AD749" s="227"/>
      <c r="AE749" s="227"/>
    </row>
    <row r="750" ht="15.75" customHeight="1">
      <c r="A750" s="227"/>
      <c r="B750" s="227"/>
      <c r="C750" s="227"/>
      <c r="D750" s="227"/>
      <c r="E750" s="227"/>
      <c r="F750" s="227"/>
      <c r="G750" s="227"/>
      <c r="H750" s="227"/>
      <c r="I750" s="227"/>
      <c r="J750" s="227"/>
      <c r="K750" s="227"/>
      <c r="L750" s="227"/>
      <c r="M750" s="227"/>
      <c r="N750" s="227"/>
      <c r="O750" s="227"/>
      <c r="P750" s="227"/>
      <c r="Q750" s="227"/>
      <c r="R750" s="227"/>
      <c r="S750" s="227"/>
      <c r="T750" s="227"/>
      <c r="U750" s="227"/>
      <c r="V750" s="227"/>
      <c r="W750" s="227"/>
      <c r="X750" s="227"/>
      <c r="Y750" s="227"/>
      <c r="Z750" s="227"/>
      <c r="AA750" s="227"/>
      <c r="AB750" s="227"/>
      <c r="AC750" s="227"/>
      <c r="AD750" s="227"/>
      <c r="AE750" s="227"/>
    </row>
    <row r="751" ht="15.75" customHeight="1">
      <c r="A751" s="227"/>
      <c r="B751" s="227"/>
      <c r="C751" s="227"/>
      <c r="D751" s="227"/>
      <c r="E751" s="227"/>
      <c r="F751" s="227"/>
      <c r="G751" s="227"/>
      <c r="H751" s="227"/>
      <c r="I751" s="227"/>
      <c r="J751" s="227"/>
      <c r="K751" s="227"/>
      <c r="L751" s="227"/>
      <c r="M751" s="227"/>
      <c r="N751" s="227"/>
      <c r="O751" s="227"/>
      <c r="P751" s="227"/>
      <c r="Q751" s="227"/>
      <c r="R751" s="227"/>
      <c r="S751" s="227"/>
      <c r="T751" s="227"/>
      <c r="U751" s="227"/>
      <c r="V751" s="227"/>
      <c r="W751" s="227"/>
      <c r="X751" s="227"/>
      <c r="Y751" s="227"/>
      <c r="Z751" s="227"/>
      <c r="AA751" s="227"/>
      <c r="AB751" s="227"/>
      <c r="AC751" s="227"/>
      <c r="AD751" s="227"/>
      <c r="AE751" s="227"/>
    </row>
    <row r="752" ht="15.75" customHeight="1">
      <c r="A752" s="227"/>
      <c r="B752" s="227"/>
      <c r="C752" s="227"/>
      <c r="D752" s="227"/>
      <c r="E752" s="227"/>
      <c r="F752" s="227"/>
      <c r="G752" s="227"/>
      <c r="H752" s="227"/>
      <c r="I752" s="227"/>
      <c r="J752" s="227"/>
      <c r="K752" s="227"/>
      <c r="L752" s="227"/>
      <c r="M752" s="227"/>
      <c r="N752" s="227"/>
      <c r="O752" s="227"/>
      <c r="P752" s="227"/>
      <c r="Q752" s="227"/>
      <c r="R752" s="227"/>
      <c r="S752" s="227"/>
      <c r="T752" s="227"/>
      <c r="U752" s="227"/>
      <c r="V752" s="227"/>
      <c r="W752" s="227"/>
      <c r="X752" s="227"/>
      <c r="Y752" s="227"/>
      <c r="Z752" s="227"/>
      <c r="AA752" s="227"/>
      <c r="AB752" s="227"/>
      <c r="AC752" s="227"/>
      <c r="AD752" s="227"/>
      <c r="AE752" s="227"/>
    </row>
    <row r="753" ht="15.75" customHeight="1">
      <c r="A753" s="227"/>
      <c r="B753" s="227"/>
      <c r="C753" s="227"/>
      <c r="D753" s="227"/>
      <c r="E753" s="227"/>
      <c r="F753" s="227"/>
      <c r="G753" s="227"/>
      <c r="H753" s="227"/>
      <c r="I753" s="227"/>
      <c r="J753" s="227"/>
      <c r="K753" s="227"/>
      <c r="L753" s="227"/>
      <c r="M753" s="227"/>
      <c r="N753" s="227"/>
      <c r="O753" s="227"/>
      <c r="P753" s="227"/>
      <c r="Q753" s="227"/>
      <c r="R753" s="227"/>
      <c r="S753" s="227"/>
      <c r="T753" s="227"/>
      <c r="U753" s="227"/>
      <c r="V753" s="227"/>
      <c r="W753" s="227"/>
      <c r="X753" s="227"/>
      <c r="Y753" s="227"/>
      <c r="Z753" s="227"/>
      <c r="AA753" s="227"/>
      <c r="AB753" s="227"/>
      <c r="AC753" s="227"/>
      <c r="AD753" s="227"/>
      <c r="AE753" s="227"/>
    </row>
    <row r="754" ht="15.75" customHeight="1">
      <c r="A754" s="227"/>
      <c r="B754" s="227"/>
      <c r="C754" s="227"/>
      <c r="D754" s="227"/>
      <c r="E754" s="227"/>
      <c r="F754" s="227"/>
      <c r="G754" s="227"/>
      <c r="H754" s="227"/>
      <c r="I754" s="227"/>
      <c r="J754" s="227"/>
      <c r="K754" s="227"/>
      <c r="L754" s="227"/>
      <c r="M754" s="227"/>
      <c r="N754" s="227"/>
      <c r="O754" s="227"/>
      <c r="P754" s="227"/>
      <c r="Q754" s="227"/>
      <c r="R754" s="227"/>
      <c r="S754" s="227"/>
      <c r="T754" s="227"/>
      <c r="U754" s="227"/>
      <c r="V754" s="227"/>
      <c r="W754" s="227"/>
      <c r="X754" s="227"/>
      <c r="Y754" s="227"/>
      <c r="Z754" s="227"/>
      <c r="AA754" s="227"/>
      <c r="AB754" s="227"/>
      <c r="AC754" s="227"/>
      <c r="AD754" s="227"/>
      <c r="AE754" s="227"/>
    </row>
    <row r="755" ht="15.75" customHeight="1">
      <c r="A755" s="227"/>
      <c r="B755" s="227"/>
      <c r="C755" s="227"/>
      <c r="D755" s="227"/>
      <c r="E755" s="227"/>
      <c r="F755" s="227"/>
      <c r="G755" s="227"/>
      <c r="H755" s="227"/>
      <c r="I755" s="227"/>
      <c r="J755" s="227"/>
      <c r="K755" s="227"/>
      <c r="L755" s="227"/>
      <c r="M755" s="227"/>
      <c r="N755" s="227"/>
      <c r="O755" s="227"/>
      <c r="P755" s="227"/>
      <c r="Q755" s="227"/>
      <c r="R755" s="227"/>
      <c r="S755" s="227"/>
      <c r="T755" s="227"/>
      <c r="U755" s="227"/>
      <c r="V755" s="227"/>
      <c r="W755" s="227"/>
      <c r="X755" s="227"/>
      <c r="Y755" s="227"/>
      <c r="Z755" s="227"/>
      <c r="AA755" s="227"/>
      <c r="AB755" s="227"/>
      <c r="AC755" s="227"/>
      <c r="AD755" s="227"/>
      <c r="AE755" s="227"/>
    </row>
    <row r="756" ht="15.75" customHeight="1">
      <c r="A756" s="227"/>
      <c r="B756" s="227"/>
      <c r="C756" s="227"/>
      <c r="D756" s="227"/>
      <c r="E756" s="227"/>
      <c r="F756" s="227"/>
      <c r="G756" s="227"/>
      <c r="H756" s="227"/>
      <c r="I756" s="227"/>
      <c r="J756" s="227"/>
      <c r="K756" s="227"/>
      <c r="L756" s="227"/>
      <c r="M756" s="227"/>
      <c r="N756" s="227"/>
      <c r="O756" s="227"/>
      <c r="P756" s="227"/>
      <c r="Q756" s="227"/>
      <c r="R756" s="227"/>
      <c r="S756" s="227"/>
      <c r="T756" s="227"/>
      <c r="U756" s="227"/>
      <c r="V756" s="227"/>
      <c r="W756" s="227"/>
      <c r="X756" s="227"/>
      <c r="Y756" s="227"/>
      <c r="Z756" s="227"/>
      <c r="AA756" s="227"/>
      <c r="AB756" s="227"/>
      <c r="AC756" s="227"/>
      <c r="AD756" s="227"/>
      <c r="AE756" s="227"/>
    </row>
    <row r="757" ht="15.75" customHeight="1">
      <c r="A757" s="227"/>
      <c r="B757" s="227"/>
      <c r="C757" s="227"/>
      <c r="D757" s="227"/>
      <c r="E757" s="227"/>
      <c r="F757" s="227"/>
      <c r="G757" s="227"/>
      <c r="H757" s="227"/>
      <c r="I757" s="227"/>
      <c r="J757" s="227"/>
      <c r="K757" s="227"/>
      <c r="L757" s="227"/>
      <c r="M757" s="227"/>
      <c r="N757" s="227"/>
      <c r="O757" s="227"/>
      <c r="P757" s="227"/>
      <c r="Q757" s="227"/>
      <c r="R757" s="227"/>
      <c r="S757" s="227"/>
      <c r="T757" s="227"/>
      <c r="U757" s="227"/>
      <c r="V757" s="227"/>
      <c r="W757" s="227"/>
      <c r="X757" s="227"/>
      <c r="Y757" s="227"/>
      <c r="Z757" s="227"/>
      <c r="AA757" s="227"/>
      <c r="AB757" s="227"/>
      <c r="AC757" s="227"/>
      <c r="AD757" s="227"/>
      <c r="AE757" s="227"/>
    </row>
    <row r="758" ht="15.75" customHeight="1">
      <c r="A758" s="227"/>
      <c r="B758" s="227"/>
      <c r="C758" s="227"/>
      <c r="D758" s="227"/>
      <c r="E758" s="227"/>
      <c r="F758" s="227"/>
      <c r="G758" s="227"/>
      <c r="H758" s="227"/>
      <c r="I758" s="227"/>
      <c r="J758" s="227"/>
      <c r="K758" s="227"/>
      <c r="L758" s="227"/>
      <c r="M758" s="227"/>
      <c r="N758" s="227"/>
      <c r="O758" s="227"/>
      <c r="P758" s="227"/>
      <c r="Q758" s="227"/>
      <c r="R758" s="227"/>
      <c r="S758" s="227"/>
      <c r="T758" s="227"/>
      <c r="U758" s="227"/>
      <c r="V758" s="227"/>
      <c r="W758" s="227"/>
      <c r="X758" s="227"/>
      <c r="Y758" s="227"/>
      <c r="Z758" s="227"/>
      <c r="AA758" s="227"/>
      <c r="AB758" s="227"/>
      <c r="AC758" s="227"/>
      <c r="AD758" s="227"/>
      <c r="AE758" s="227"/>
    </row>
    <row r="759" ht="15.75" customHeight="1">
      <c r="A759" s="227"/>
      <c r="B759" s="227"/>
      <c r="C759" s="227"/>
      <c r="D759" s="227"/>
      <c r="E759" s="227"/>
      <c r="F759" s="227"/>
      <c r="G759" s="227"/>
      <c r="H759" s="227"/>
      <c r="I759" s="227"/>
      <c r="J759" s="227"/>
      <c r="K759" s="227"/>
      <c r="L759" s="227"/>
      <c r="M759" s="227"/>
      <c r="N759" s="227"/>
      <c r="O759" s="227"/>
      <c r="P759" s="227"/>
      <c r="Q759" s="227"/>
      <c r="R759" s="227"/>
      <c r="S759" s="227"/>
      <c r="T759" s="227"/>
      <c r="U759" s="227"/>
      <c r="V759" s="227"/>
      <c r="W759" s="227"/>
      <c r="X759" s="227"/>
      <c r="Y759" s="227"/>
      <c r="Z759" s="227"/>
      <c r="AA759" s="227"/>
      <c r="AB759" s="227"/>
      <c r="AC759" s="227"/>
      <c r="AD759" s="227"/>
      <c r="AE759" s="227"/>
    </row>
    <row r="760" ht="15.75" customHeight="1">
      <c r="A760" s="227"/>
      <c r="B760" s="227"/>
      <c r="C760" s="227"/>
      <c r="D760" s="227"/>
      <c r="E760" s="227"/>
      <c r="F760" s="227"/>
      <c r="G760" s="227"/>
      <c r="H760" s="227"/>
      <c r="I760" s="227"/>
      <c r="J760" s="227"/>
      <c r="K760" s="227"/>
      <c r="L760" s="227"/>
      <c r="M760" s="227"/>
      <c r="N760" s="227"/>
      <c r="O760" s="227"/>
      <c r="P760" s="227"/>
      <c r="Q760" s="227"/>
      <c r="R760" s="227"/>
      <c r="S760" s="227"/>
      <c r="T760" s="227"/>
      <c r="U760" s="227"/>
      <c r="V760" s="227"/>
      <c r="W760" s="227"/>
      <c r="X760" s="227"/>
      <c r="Y760" s="227"/>
      <c r="Z760" s="227"/>
      <c r="AA760" s="227"/>
      <c r="AB760" s="227"/>
      <c r="AC760" s="227"/>
      <c r="AD760" s="227"/>
      <c r="AE760" s="227"/>
    </row>
    <row r="761" ht="15.75" customHeight="1">
      <c r="A761" s="227"/>
      <c r="B761" s="227"/>
      <c r="C761" s="227"/>
      <c r="D761" s="227"/>
      <c r="E761" s="227"/>
      <c r="F761" s="227"/>
      <c r="G761" s="227"/>
      <c r="H761" s="227"/>
      <c r="I761" s="227"/>
      <c r="J761" s="227"/>
      <c r="K761" s="227"/>
      <c r="L761" s="227"/>
      <c r="M761" s="227"/>
      <c r="N761" s="227"/>
      <c r="O761" s="227"/>
      <c r="P761" s="227"/>
      <c r="Q761" s="227"/>
      <c r="R761" s="227"/>
      <c r="S761" s="227"/>
      <c r="T761" s="227"/>
      <c r="U761" s="227"/>
      <c r="V761" s="227"/>
      <c r="W761" s="227"/>
      <c r="X761" s="227"/>
      <c r="Y761" s="227"/>
      <c r="Z761" s="227"/>
      <c r="AA761" s="227"/>
      <c r="AB761" s="227"/>
      <c r="AC761" s="227"/>
      <c r="AD761" s="227"/>
      <c r="AE761" s="227"/>
    </row>
    <row r="762" ht="15.75" customHeight="1">
      <c r="A762" s="227"/>
      <c r="B762" s="227"/>
      <c r="C762" s="227"/>
      <c r="D762" s="227"/>
      <c r="E762" s="227"/>
      <c r="F762" s="227"/>
      <c r="G762" s="227"/>
      <c r="H762" s="227"/>
      <c r="I762" s="227"/>
      <c r="J762" s="227"/>
      <c r="K762" s="227"/>
      <c r="L762" s="227"/>
      <c r="M762" s="227"/>
      <c r="N762" s="227"/>
      <c r="O762" s="227"/>
      <c r="P762" s="227"/>
      <c r="Q762" s="227"/>
      <c r="R762" s="227"/>
      <c r="S762" s="227"/>
      <c r="T762" s="227"/>
      <c r="U762" s="227"/>
      <c r="V762" s="227"/>
      <c r="W762" s="227"/>
      <c r="X762" s="227"/>
      <c r="Y762" s="227"/>
      <c r="Z762" s="227"/>
      <c r="AA762" s="227"/>
      <c r="AB762" s="227"/>
      <c r="AC762" s="227"/>
      <c r="AD762" s="227"/>
      <c r="AE762" s="227"/>
    </row>
    <row r="763" ht="15.75" customHeight="1">
      <c r="A763" s="227"/>
      <c r="B763" s="227"/>
      <c r="C763" s="227"/>
      <c r="D763" s="227"/>
      <c r="E763" s="227"/>
      <c r="F763" s="227"/>
      <c r="G763" s="227"/>
      <c r="H763" s="227"/>
      <c r="I763" s="227"/>
      <c r="J763" s="227"/>
      <c r="K763" s="227"/>
      <c r="L763" s="227"/>
      <c r="M763" s="227"/>
      <c r="N763" s="227"/>
      <c r="O763" s="227"/>
      <c r="P763" s="227"/>
      <c r="Q763" s="227"/>
      <c r="R763" s="227"/>
      <c r="S763" s="227"/>
      <c r="T763" s="227"/>
      <c r="U763" s="227"/>
      <c r="V763" s="227"/>
      <c r="W763" s="227"/>
      <c r="X763" s="227"/>
      <c r="Y763" s="227"/>
      <c r="Z763" s="227"/>
      <c r="AA763" s="227"/>
      <c r="AB763" s="227"/>
      <c r="AC763" s="227"/>
      <c r="AD763" s="227"/>
      <c r="AE763" s="227"/>
    </row>
    <row r="764" ht="15.75" customHeight="1">
      <c r="A764" s="227"/>
      <c r="B764" s="227"/>
      <c r="C764" s="227"/>
      <c r="D764" s="227"/>
      <c r="E764" s="227"/>
      <c r="F764" s="227"/>
      <c r="G764" s="227"/>
      <c r="H764" s="227"/>
      <c r="I764" s="227"/>
      <c r="J764" s="227"/>
      <c r="K764" s="227"/>
      <c r="L764" s="227"/>
      <c r="M764" s="227"/>
      <c r="N764" s="227"/>
      <c r="O764" s="227"/>
      <c r="P764" s="227"/>
      <c r="Q764" s="227"/>
      <c r="R764" s="227"/>
      <c r="S764" s="227"/>
      <c r="T764" s="227"/>
      <c r="U764" s="227"/>
      <c r="V764" s="227"/>
      <c r="W764" s="227"/>
      <c r="X764" s="227"/>
      <c r="Y764" s="227"/>
      <c r="Z764" s="227"/>
      <c r="AA764" s="227"/>
      <c r="AB764" s="227"/>
      <c r="AC764" s="227"/>
      <c r="AD764" s="227"/>
      <c r="AE764" s="227"/>
    </row>
    <row r="765" ht="15.75" customHeight="1">
      <c r="A765" s="227"/>
      <c r="B765" s="227"/>
      <c r="C765" s="227"/>
      <c r="D765" s="227"/>
      <c r="E765" s="227"/>
      <c r="F765" s="227"/>
      <c r="G765" s="227"/>
      <c r="H765" s="227"/>
      <c r="I765" s="227"/>
      <c r="J765" s="227"/>
      <c r="K765" s="227"/>
      <c r="L765" s="227"/>
      <c r="M765" s="227"/>
      <c r="N765" s="227"/>
      <c r="O765" s="227"/>
      <c r="P765" s="227"/>
      <c r="Q765" s="227"/>
      <c r="R765" s="227"/>
      <c r="S765" s="227"/>
      <c r="T765" s="227"/>
      <c r="U765" s="227"/>
      <c r="V765" s="227"/>
      <c r="W765" s="227"/>
      <c r="X765" s="227"/>
      <c r="Y765" s="227"/>
      <c r="Z765" s="227"/>
      <c r="AA765" s="227"/>
      <c r="AB765" s="227"/>
      <c r="AC765" s="227"/>
      <c r="AD765" s="227"/>
      <c r="AE765" s="227"/>
    </row>
    <row r="766" ht="15.75" customHeight="1">
      <c r="A766" s="227"/>
      <c r="B766" s="227"/>
      <c r="C766" s="227"/>
      <c r="D766" s="227"/>
      <c r="E766" s="227"/>
      <c r="F766" s="227"/>
      <c r="G766" s="227"/>
      <c r="H766" s="227"/>
      <c r="I766" s="227"/>
      <c r="J766" s="227"/>
      <c r="K766" s="227"/>
      <c r="L766" s="227"/>
      <c r="M766" s="227"/>
      <c r="N766" s="227"/>
      <c r="O766" s="227"/>
      <c r="P766" s="227"/>
      <c r="Q766" s="227"/>
      <c r="R766" s="227"/>
      <c r="S766" s="227"/>
      <c r="T766" s="227"/>
      <c r="U766" s="227"/>
      <c r="V766" s="227"/>
      <c r="W766" s="227"/>
      <c r="X766" s="227"/>
      <c r="Y766" s="227"/>
      <c r="Z766" s="227"/>
      <c r="AA766" s="227"/>
      <c r="AB766" s="227"/>
      <c r="AC766" s="227"/>
      <c r="AD766" s="227"/>
      <c r="AE766" s="227"/>
    </row>
    <row r="767" ht="15.75" customHeight="1">
      <c r="A767" s="227"/>
      <c r="B767" s="227"/>
      <c r="C767" s="227"/>
      <c r="D767" s="227"/>
      <c r="E767" s="227"/>
      <c r="F767" s="227"/>
      <c r="G767" s="227"/>
      <c r="H767" s="227"/>
      <c r="I767" s="227"/>
      <c r="J767" s="227"/>
      <c r="K767" s="227"/>
      <c r="L767" s="227"/>
      <c r="M767" s="227"/>
      <c r="N767" s="227"/>
      <c r="O767" s="227"/>
      <c r="P767" s="227"/>
      <c r="Q767" s="227"/>
      <c r="R767" s="227"/>
      <c r="S767" s="227"/>
      <c r="T767" s="227"/>
      <c r="U767" s="227"/>
      <c r="V767" s="227"/>
      <c r="W767" s="227"/>
      <c r="X767" s="227"/>
      <c r="Y767" s="227"/>
      <c r="Z767" s="227"/>
      <c r="AA767" s="227"/>
      <c r="AB767" s="227"/>
      <c r="AC767" s="227"/>
      <c r="AD767" s="227"/>
      <c r="AE767" s="227"/>
    </row>
    <row r="768" ht="15.75" customHeight="1">
      <c r="A768" s="227"/>
      <c r="B768" s="227"/>
      <c r="C768" s="227"/>
      <c r="D768" s="227"/>
      <c r="E768" s="227"/>
      <c r="F768" s="227"/>
      <c r="G768" s="227"/>
      <c r="H768" s="227"/>
      <c r="I768" s="227"/>
      <c r="J768" s="227"/>
      <c r="K768" s="227"/>
      <c r="L768" s="227"/>
      <c r="M768" s="227"/>
      <c r="N768" s="227"/>
      <c r="O768" s="227"/>
      <c r="P768" s="227"/>
      <c r="Q768" s="227"/>
      <c r="R768" s="227"/>
      <c r="S768" s="227"/>
      <c r="T768" s="227"/>
      <c r="U768" s="227"/>
      <c r="V768" s="227"/>
      <c r="W768" s="227"/>
      <c r="X768" s="227"/>
      <c r="Y768" s="227"/>
      <c r="Z768" s="227"/>
      <c r="AA768" s="227"/>
      <c r="AB768" s="227"/>
      <c r="AC768" s="227"/>
      <c r="AD768" s="227"/>
      <c r="AE768" s="227"/>
    </row>
    <row r="769" ht="15.75" customHeight="1">
      <c r="A769" s="227"/>
      <c r="B769" s="227"/>
      <c r="C769" s="227"/>
      <c r="D769" s="227"/>
      <c r="E769" s="227"/>
      <c r="F769" s="227"/>
      <c r="G769" s="227"/>
      <c r="H769" s="227"/>
      <c r="I769" s="227"/>
      <c r="J769" s="227"/>
      <c r="K769" s="227"/>
      <c r="L769" s="227"/>
      <c r="M769" s="227"/>
      <c r="N769" s="227"/>
      <c r="O769" s="227"/>
      <c r="P769" s="227"/>
      <c r="Q769" s="227"/>
      <c r="R769" s="227"/>
      <c r="S769" s="227"/>
      <c r="T769" s="227"/>
      <c r="U769" s="227"/>
      <c r="V769" s="227"/>
      <c r="W769" s="227"/>
      <c r="X769" s="227"/>
      <c r="Y769" s="227"/>
      <c r="Z769" s="227"/>
      <c r="AA769" s="227"/>
      <c r="AB769" s="227"/>
      <c r="AC769" s="227"/>
      <c r="AD769" s="227"/>
      <c r="AE769" s="227"/>
    </row>
    <row r="770" ht="15.75" customHeight="1">
      <c r="A770" s="227"/>
      <c r="B770" s="227"/>
      <c r="C770" s="227"/>
      <c r="D770" s="227"/>
      <c r="E770" s="227"/>
      <c r="F770" s="227"/>
      <c r="G770" s="227"/>
      <c r="H770" s="227"/>
      <c r="I770" s="227"/>
      <c r="J770" s="227"/>
      <c r="K770" s="227"/>
      <c r="L770" s="227"/>
      <c r="M770" s="227"/>
      <c r="N770" s="227"/>
      <c r="O770" s="227"/>
      <c r="P770" s="227"/>
      <c r="Q770" s="227"/>
      <c r="R770" s="227"/>
      <c r="S770" s="227"/>
      <c r="T770" s="227"/>
      <c r="U770" s="227"/>
      <c r="V770" s="227"/>
      <c r="W770" s="227"/>
      <c r="X770" s="227"/>
      <c r="Y770" s="227"/>
      <c r="Z770" s="227"/>
      <c r="AA770" s="227"/>
      <c r="AB770" s="227"/>
      <c r="AC770" s="227"/>
      <c r="AD770" s="227"/>
      <c r="AE770" s="227"/>
    </row>
    <row r="771" ht="15.75" customHeight="1">
      <c r="A771" s="227"/>
      <c r="B771" s="227"/>
      <c r="C771" s="227"/>
      <c r="D771" s="227"/>
      <c r="E771" s="227"/>
      <c r="F771" s="227"/>
      <c r="G771" s="227"/>
      <c r="H771" s="227"/>
      <c r="I771" s="227"/>
      <c r="J771" s="227"/>
      <c r="K771" s="227"/>
      <c r="L771" s="227"/>
      <c r="M771" s="227"/>
      <c r="N771" s="227"/>
      <c r="O771" s="227"/>
      <c r="P771" s="227"/>
      <c r="Q771" s="227"/>
      <c r="R771" s="227"/>
      <c r="S771" s="227"/>
      <c r="T771" s="227"/>
      <c r="U771" s="227"/>
      <c r="V771" s="227"/>
      <c r="W771" s="227"/>
      <c r="X771" s="227"/>
      <c r="Y771" s="227"/>
      <c r="Z771" s="227"/>
      <c r="AA771" s="227"/>
      <c r="AB771" s="227"/>
      <c r="AC771" s="227"/>
      <c r="AD771" s="227"/>
      <c r="AE771" s="227"/>
    </row>
    <row r="772" ht="15.75" customHeight="1">
      <c r="A772" s="227"/>
      <c r="B772" s="227"/>
      <c r="C772" s="227"/>
      <c r="D772" s="227"/>
      <c r="E772" s="227"/>
      <c r="F772" s="227"/>
      <c r="G772" s="227"/>
      <c r="H772" s="227"/>
      <c r="I772" s="227"/>
      <c r="J772" s="227"/>
      <c r="K772" s="227"/>
      <c r="L772" s="227"/>
      <c r="M772" s="227"/>
      <c r="N772" s="227"/>
      <c r="O772" s="227"/>
      <c r="P772" s="227"/>
      <c r="Q772" s="227"/>
      <c r="R772" s="227"/>
      <c r="S772" s="227"/>
      <c r="T772" s="227"/>
      <c r="U772" s="227"/>
      <c r="V772" s="227"/>
      <c r="W772" s="227"/>
      <c r="X772" s="227"/>
      <c r="Y772" s="227"/>
      <c r="Z772" s="227"/>
      <c r="AA772" s="227"/>
      <c r="AB772" s="227"/>
      <c r="AC772" s="227"/>
      <c r="AD772" s="227"/>
      <c r="AE772" s="227"/>
    </row>
    <row r="773" ht="15.75" customHeight="1">
      <c r="A773" s="227"/>
      <c r="B773" s="227"/>
      <c r="C773" s="227"/>
      <c r="D773" s="227"/>
      <c r="E773" s="227"/>
      <c r="F773" s="227"/>
      <c r="G773" s="227"/>
      <c r="H773" s="227"/>
      <c r="I773" s="227"/>
      <c r="J773" s="227"/>
      <c r="K773" s="227"/>
      <c r="L773" s="227"/>
      <c r="M773" s="227"/>
      <c r="N773" s="227"/>
      <c r="O773" s="227"/>
      <c r="P773" s="227"/>
      <c r="Q773" s="227"/>
      <c r="R773" s="227"/>
      <c r="S773" s="227"/>
      <c r="T773" s="227"/>
      <c r="U773" s="227"/>
      <c r="V773" s="227"/>
      <c r="W773" s="227"/>
      <c r="X773" s="227"/>
      <c r="Y773" s="227"/>
      <c r="Z773" s="227"/>
      <c r="AA773" s="227"/>
      <c r="AB773" s="227"/>
      <c r="AC773" s="227"/>
      <c r="AD773" s="227"/>
      <c r="AE773" s="227"/>
    </row>
    <row r="774" ht="15.75" customHeight="1">
      <c r="A774" s="227"/>
      <c r="B774" s="227"/>
      <c r="C774" s="227"/>
      <c r="D774" s="227"/>
      <c r="E774" s="227"/>
      <c r="F774" s="227"/>
      <c r="G774" s="227"/>
      <c r="H774" s="227"/>
      <c r="I774" s="227"/>
      <c r="J774" s="227"/>
      <c r="K774" s="227"/>
      <c r="L774" s="227"/>
      <c r="M774" s="227"/>
      <c r="N774" s="227"/>
      <c r="O774" s="227"/>
      <c r="P774" s="227"/>
      <c r="Q774" s="227"/>
      <c r="R774" s="227"/>
      <c r="S774" s="227"/>
      <c r="T774" s="227"/>
      <c r="U774" s="227"/>
      <c r="V774" s="227"/>
      <c r="W774" s="227"/>
      <c r="X774" s="227"/>
      <c r="Y774" s="227"/>
      <c r="Z774" s="227"/>
      <c r="AA774" s="227"/>
      <c r="AB774" s="227"/>
      <c r="AC774" s="227"/>
      <c r="AD774" s="227"/>
      <c r="AE774" s="227"/>
    </row>
    <row r="775" ht="15.75" customHeight="1">
      <c r="A775" s="227"/>
      <c r="B775" s="227"/>
      <c r="C775" s="227"/>
      <c r="D775" s="227"/>
      <c r="E775" s="227"/>
      <c r="F775" s="227"/>
      <c r="G775" s="227"/>
      <c r="H775" s="227"/>
      <c r="I775" s="227"/>
      <c r="J775" s="227"/>
      <c r="K775" s="227"/>
      <c r="L775" s="227"/>
      <c r="M775" s="227"/>
      <c r="N775" s="227"/>
      <c r="O775" s="227"/>
      <c r="P775" s="227"/>
      <c r="Q775" s="227"/>
      <c r="R775" s="227"/>
      <c r="S775" s="227"/>
      <c r="T775" s="227"/>
      <c r="U775" s="227"/>
      <c r="V775" s="227"/>
      <c r="W775" s="227"/>
      <c r="X775" s="227"/>
      <c r="Y775" s="227"/>
      <c r="Z775" s="227"/>
      <c r="AA775" s="227"/>
      <c r="AB775" s="227"/>
      <c r="AC775" s="227"/>
      <c r="AD775" s="227"/>
      <c r="AE775" s="227"/>
    </row>
    <row r="776" ht="15.75" customHeight="1">
      <c r="A776" s="227"/>
      <c r="B776" s="227"/>
      <c r="C776" s="227"/>
      <c r="D776" s="227"/>
      <c r="E776" s="227"/>
      <c r="F776" s="227"/>
      <c r="G776" s="227"/>
      <c r="H776" s="227"/>
      <c r="I776" s="227"/>
      <c r="J776" s="227"/>
      <c r="K776" s="227"/>
      <c r="L776" s="227"/>
      <c r="M776" s="227"/>
      <c r="N776" s="227"/>
      <c r="O776" s="227"/>
      <c r="P776" s="227"/>
      <c r="Q776" s="227"/>
      <c r="R776" s="227"/>
      <c r="S776" s="227"/>
      <c r="T776" s="227"/>
      <c r="U776" s="227"/>
      <c r="V776" s="227"/>
      <c r="W776" s="227"/>
      <c r="X776" s="227"/>
      <c r="Y776" s="227"/>
      <c r="Z776" s="227"/>
      <c r="AA776" s="227"/>
      <c r="AB776" s="227"/>
      <c r="AC776" s="227"/>
      <c r="AD776" s="227"/>
      <c r="AE776" s="227"/>
    </row>
    <row r="777" ht="15.75" customHeight="1">
      <c r="A777" s="227"/>
      <c r="B777" s="227"/>
      <c r="C777" s="227"/>
      <c r="D777" s="227"/>
      <c r="E777" s="227"/>
      <c r="F777" s="227"/>
      <c r="G777" s="227"/>
      <c r="H777" s="227"/>
      <c r="I777" s="227"/>
      <c r="J777" s="227"/>
      <c r="K777" s="227"/>
      <c r="L777" s="227"/>
      <c r="M777" s="227"/>
      <c r="N777" s="227"/>
      <c r="O777" s="227"/>
      <c r="P777" s="227"/>
      <c r="Q777" s="227"/>
      <c r="R777" s="227"/>
      <c r="S777" s="227"/>
      <c r="T777" s="227"/>
      <c r="U777" s="227"/>
      <c r="V777" s="227"/>
      <c r="W777" s="227"/>
      <c r="X777" s="227"/>
      <c r="Y777" s="227"/>
      <c r="Z777" s="227"/>
      <c r="AA777" s="227"/>
      <c r="AB777" s="227"/>
      <c r="AC777" s="227"/>
      <c r="AD777" s="227"/>
      <c r="AE777" s="227"/>
    </row>
    <row r="778" ht="15.75" customHeight="1">
      <c r="A778" s="227"/>
      <c r="B778" s="227"/>
      <c r="C778" s="227"/>
      <c r="D778" s="227"/>
      <c r="E778" s="227"/>
      <c r="F778" s="227"/>
      <c r="G778" s="227"/>
      <c r="H778" s="227"/>
      <c r="I778" s="227"/>
      <c r="J778" s="227"/>
      <c r="K778" s="227"/>
      <c r="L778" s="227"/>
      <c r="M778" s="227"/>
      <c r="N778" s="227"/>
      <c r="O778" s="227"/>
      <c r="P778" s="227"/>
      <c r="Q778" s="227"/>
      <c r="R778" s="227"/>
      <c r="S778" s="227"/>
      <c r="T778" s="227"/>
      <c r="U778" s="227"/>
      <c r="V778" s="227"/>
      <c r="W778" s="227"/>
      <c r="X778" s="227"/>
      <c r="Y778" s="227"/>
      <c r="Z778" s="227"/>
      <c r="AA778" s="227"/>
      <c r="AB778" s="227"/>
      <c r="AC778" s="227"/>
      <c r="AD778" s="227"/>
      <c r="AE778" s="227"/>
    </row>
    <row r="779" ht="15.75" customHeight="1">
      <c r="A779" s="227"/>
      <c r="B779" s="227"/>
      <c r="C779" s="227"/>
      <c r="D779" s="227"/>
      <c r="E779" s="227"/>
      <c r="F779" s="227"/>
      <c r="G779" s="227"/>
      <c r="H779" s="227"/>
      <c r="I779" s="227"/>
      <c r="J779" s="227"/>
      <c r="K779" s="227"/>
      <c r="L779" s="227"/>
      <c r="M779" s="227"/>
      <c r="N779" s="227"/>
      <c r="O779" s="227"/>
      <c r="P779" s="227"/>
      <c r="Q779" s="227"/>
      <c r="R779" s="227"/>
      <c r="S779" s="227"/>
      <c r="T779" s="227"/>
      <c r="U779" s="227"/>
      <c r="V779" s="227"/>
      <c r="W779" s="227"/>
      <c r="X779" s="227"/>
      <c r="Y779" s="227"/>
      <c r="Z779" s="227"/>
      <c r="AA779" s="227"/>
      <c r="AB779" s="227"/>
      <c r="AC779" s="227"/>
      <c r="AD779" s="227"/>
      <c r="AE779" s="227"/>
    </row>
    <row r="780" ht="15.75" customHeight="1">
      <c r="A780" s="227"/>
      <c r="B780" s="227"/>
      <c r="C780" s="227"/>
      <c r="D780" s="227"/>
      <c r="E780" s="227"/>
      <c r="F780" s="227"/>
      <c r="G780" s="227"/>
      <c r="H780" s="227"/>
      <c r="I780" s="227"/>
      <c r="J780" s="227"/>
      <c r="K780" s="227"/>
      <c r="L780" s="227"/>
      <c r="M780" s="227"/>
      <c r="N780" s="227"/>
      <c r="O780" s="227"/>
      <c r="P780" s="227"/>
      <c r="Q780" s="227"/>
      <c r="R780" s="227"/>
      <c r="S780" s="227"/>
      <c r="T780" s="227"/>
      <c r="U780" s="227"/>
      <c r="V780" s="227"/>
      <c r="W780" s="227"/>
      <c r="X780" s="227"/>
      <c r="Y780" s="227"/>
      <c r="Z780" s="227"/>
      <c r="AA780" s="227"/>
      <c r="AB780" s="227"/>
      <c r="AC780" s="227"/>
      <c r="AD780" s="227"/>
      <c r="AE780" s="227"/>
    </row>
    <row r="781" ht="15.75" customHeight="1">
      <c r="A781" s="227"/>
      <c r="B781" s="227"/>
      <c r="C781" s="227"/>
      <c r="D781" s="227"/>
      <c r="E781" s="227"/>
      <c r="F781" s="227"/>
      <c r="G781" s="227"/>
      <c r="H781" s="227"/>
      <c r="I781" s="227"/>
      <c r="J781" s="227"/>
      <c r="K781" s="227"/>
      <c r="L781" s="227"/>
      <c r="M781" s="227"/>
      <c r="N781" s="227"/>
      <c r="O781" s="227"/>
      <c r="P781" s="227"/>
      <c r="Q781" s="227"/>
      <c r="R781" s="227"/>
      <c r="S781" s="227"/>
      <c r="T781" s="227"/>
      <c r="U781" s="227"/>
      <c r="V781" s="227"/>
      <c r="W781" s="227"/>
      <c r="X781" s="227"/>
      <c r="Y781" s="227"/>
      <c r="Z781" s="227"/>
      <c r="AA781" s="227"/>
      <c r="AB781" s="227"/>
      <c r="AC781" s="227"/>
      <c r="AD781" s="227"/>
      <c r="AE781" s="227"/>
    </row>
    <row r="782" ht="15.75" customHeight="1">
      <c r="A782" s="227"/>
      <c r="B782" s="227"/>
      <c r="C782" s="227"/>
      <c r="D782" s="227"/>
      <c r="E782" s="227"/>
      <c r="F782" s="227"/>
      <c r="G782" s="227"/>
      <c r="H782" s="227"/>
      <c r="I782" s="227"/>
      <c r="J782" s="227"/>
      <c r="K782" s="227"/>
      <c r="L782" s="227"/>
      <c r="M782" s="227"/>
      <c r="N782" s="227"/>
      <c r="O782" s="227"/>
      <c r="P782" s="227"/>
      <c r="Q782" s="227"/>
      <c r="R782" s="227"/>
      <c r="S782" s="227"/>
      <c r="T782" s="227"/>
      <c r="U782" s="227"/>
      <c r="V782" s="227"/>
      <c r="W782" s="227"/>
      <c r="X782" s="227"/>
      <c r="Y782" s="227"/>
      <c r="Z782" s="227"/>
      <c r="AA782" s="227"/>
      <c r="AB782" s="227"/>
      <c r="AC782" s="227"/>
      <c r="AD782" s="227"/>
      <c r="AE782" s="227"/>
    </row>
    <row r="783" ht="15.75" customHeight="1">
      <c r="A783" s="227"/>
      <c r="B783" s="227"/>
      <c r="C783" s="227"/>
      <c r="D783" s="227"/>
      <c r="E783" s="227"/>
      <c r="F783" s="227"/>
      <c r="G783" s="227"/>
      <c r="H783" s="227"/>
      <c r="I783" s="227"/>
      <c r="J783" s="227"/>
      <c r="K783" s="227"/>
      <c r="L783" s="227"/>
      <c r="M783" s="227"/>
      <c r="N783" s="227"/>
      <c r="O783" s="227"/>
      <c r="P783" s="227"/>
      <c r="Q783" s="227"/>
      <c r="R783" s="227"/>
      <c r="S783" s="227"/>
      <c r="T783" s="227"/>
      <c r="U783" s="227"/>
      <c r="V783" s="227"/>
      <c r="W783" s="227"/>
      <c r="X783" s="227"/>
      <c r="Y783" s="227"/>
      <c r="Z783" s="227"/>
      <c r="AA783" s="227"/>
      <c r="AB783" s="227"/>
      <c r="AC783" s="227"/>
      <c r="AD783" s="227"/>
      <c r="AE783" s="227"/>
    </row>
    <row r="784" ht="15.75" customHeight="1">
      <c r="A784" s="227"/>
      <c r="B784" s="227"/>
      <c r="C784" s="227"/>
      <c r="D784" s="227"/>
      <c r="E784" s="227"/>
      <c r="F784" s="227"/>
      <c r="G784" s="227"/>
      <c r="H784" s="227"/>
      <c r="I784" s="227"/>
      <c r="J784" s="227"/>
      <c r="K784" s="227"/>
      <c r="L784" s="227"/>
      <c r="M784" s="227"/>
      <c r="N784" s="227"/>
      <c r="O784" s="227"/>
      <c r="P784" s="227"/>
      <c r="Q784" s="227"/>
      <c r="R784" s="227"/>
      <c r="S784" s="227"/>
      <c r="T784" s="227"/>
      <c r="U784" s="227"/>
      <c r="V784" s="227"/>
      <c r="W784" s="227"/>
      <c r="X784" s="227"/>
      <c r="Y784" s="227"/>
      <c r="Z784" s="227"/>
      <c r="AA784" s="227"/>
      <c r="AB784" s="227"/>
      <c r="AC784" s="227"/>
      <c r="AD784" s="227"/>
      <c r="AE784" s="227"/>
    </row>
    <row r="785" ht="15.75" customHeight="1">
      <c r="A785" s="227"/>
      <c r="B785" s="227"/>
      <c r="C785" s="227"/>
      <c r="D785" s="227"/>
      <c r="E785" s="227"/>
      <c r="F785" s="227"/>
      <c r="G785" s="227"/>
      <c r="H785" s="227"/>
      <c r="I785" s="227"/>
      <c r="J785" s="227"/>
      <c r="K785" s="227"/>
      <c r="L785" s="227"/>
      <c r="M785" s="227"/>
      <c r="N785" s="227"/>
      <c r="O785" s="227"/>
      <c r="P785" s="227"/>
      <c r="Q785" s="227"/>
      <c r="R785" s="227"/>
      <c r="S785" s="227"/>
      <c r="T785" s="227"/>
      <c r="U785" s="227"/>
      <c r="V785" s="227"/>
      <c r="W785" s="227"/>
      <c r="X785" s="227"/>
      <c r="Y785" s="227"/>
      <c r="Z785" s="227"/>
      <c r="AA785" s="227"/>
      <c r="AB785" s="227"/>
      <c r="AC785" s="227"/>
      <c r="AD785" s="227"/>
      <c r="AE785" s="227"/>
    </row>
    <row r="786" ht="15.75" customHeight="1">
      <c r="A786" s="227"/>
      <c r="B786" s="227"/>
      <c r="C786" s="227"/>
      <c r="D786" s="227"/>
      <c r="E786" s="227"/>
      <c r="F786" s="227"/>
      <c r="G786" s="227"/>
      <c r="H786" s="227"/>
      <c r="I786" s="227"/>
      <c r="J786" s="227"/>
      <c r="K786" s="227"/>
      <c r="L786" s="227"/>
      <c r="M786" s="227"/>
      <c r="N786" s="227"/>
      <c r="O786" s="227"/>
      <c r="P786" s="227"/>
      <c r="Q786" s="227"/>
      <c r="R786" s="227"/>
      <c r="S786" s="227"/>
      <c r="T786" s="227"/>
      <c r="U786" s="227"/>
      <c r="V786" s="227"/>
      <c r="W786" s="227"/>
      <c r="X786" s="227"/>
      <c r="Y786" s="227"/>
      <c r="Z786" s="227"/>
      <c r="AA786" s="227"/>
      <c r="AB786" s="227"/>
      <c r="AC786" s="227"/>
      <c r="AD786" s="227"/>
      <c r="AE786" s="227"/>
    </row>
    <row r="787" ht="15.75" customHeight="1">
      <c r="A787" s="227"/>
      <c r="B787" s="227"/>
      <c r="C787" s="227"/>
      <c r="D787" s="227"/>
      <c r="E787" s="227"/>
      <c r="F787" s="227"/>
      <c r="G787" s="227"/>
      <c r="H787" s="227"/>
      <c r="I787" s="227"/>
      <c r="J787" s="227"/>
      <c r="K787" s="227"/>
      <c r="L787" s="227"/>
      <c r="M787" s="227"/>
      <c r="N787" s="227"/>
      <c r="O787" s="227"/>
      <c r="P787" s="227"/>
      <c r="Q787" s="227"/>
      <c r="R787" s="227"/>
      <c r="S787" s="227"/>
      <c r="T787" s="227"/>
      <c r="U787" s="227"/>
      <c r="V787" s="227"/>
      <c r="W787" s="227"/>
      <c r="X787" s="227"/>
      <c r="Y787" s="227"/>
      <c r="Z787" s="227"/>
      <c r="AA787" s="227"/>
      <c r="AB787" s="227"/>
      <c r="AC787" s="227"/>
      <c r="AD787" s="227"/>
      <c r="AE787" s="227"/>
    </row>
    <row r="788" ht="15.75" customHeight="1">
      <c r="A788" s="227"/>
      <c r="B788" s="227"/>
      <c r="C788" s="227"/>
      <c r="D788" s="227"/>
      <c r="E788" s="227"/>
      <c r="F788" s="227"/>
      <c r="G788" s="227"/>
      <c r="H788" s="227"/>
      <c r="I788" s="227"/>
      <c r="J788" s="227"/>
      <c r="K788" s="227"/>
      <c r="L788" s="227"/>
      <c r="M788" s="227"/>
      <c r="N788" s="227"/>
      <c r="O788" s="227"/>
      <c r="P788" s="227"/>
      <c r="Q788" s="227"/>
      <c r="R788" s="227"/>
      <c r="S788" s="227"/>
      <c r="T788" s="227"/>
      <c r="U788" s="227"/>
      <c r="V788" s="227"/>
      <c r="W788" s="227"/>
      <c r="X788" s="227"/>
      <c r="Y788" s="227"/>
      <c r="Z788" s="227"/>
      <c r="AA788" s="227"/>
      <c r="AB788" s="227"/>
      <c r="AC788" s="227"/>
      <c r="AD788" s="227"/>
      <c r="AE788" s="227"/>
    </row>
    <row r="789" ht="15.75" customHeight="1">
      <c r="A789" s="227"/>
      <c r="B789" s="227"/>
      <c r="C789" s="227"/>
      <c r="D789" s="227"/>
      <c r="E789" s="227"/>
      <c r="F789" s="227"/>
      <c r="G789" s="227"/>
      <c r="H789" s="227"/>
      <c r="I789" s="227"/>
      <c r="J789" s="227"/>
      <c r="K789" s="227"/>
      <c r="L789" s="227"/>
      <c r="M789" s="227"/>
      <c r="N789" s="227"/>
      <c r="O789" s="227"/>
      <c r="P789" s="227"/>
      <c r="Q789" s="227"/>
      <c r="R789" s="227"/>
      <c r="S789" s="227"/>
      <c r="T789" s="227"/>
      <c r="U789" s="227"/>
      <c r="V789" s="227"/>
      <c r="W789" s="227"/>
      <c r="X789" s="227"/>
      <c r="Y789" s="227"/>
      <c r="Z789" s="227"/>
      <c r="AA789" s="227"/>
      <c r="AB789" s="227"/>
      <c r="AC789" s="227"/>
      <c r="AD789" s="227"/>
      <c r="AE789" s="227"/>
    </row>
    <row r="790" ht="15.75" customHeight="1">
      <c r="A790" s="227"/>
      <c r="B790" s="227"/>
      <c r="C790" s="227"/>
      <c r="D790" s="227"/>
      <c r="E790" s="227"/>
      <c r="F790" s="227"/>
      <c r="G790" s="227"/>
      <c r="H790" s="227"/>
      <c r="I790" s="227"/>
      <c r="J790" s="227"/>
      <c r="K790" s="227"/>
      <c r="L790" s="227"/>
      <c r="M790" s="227"/>
      <c r="N790" s="227"/>
      <c r="O790" s="227"/>
      <c r="P790" s="227"/>
      <c r="Q790" s="227"/>
      <c r="R790" s="227"/>
      <c r="S790" s="227"/>
      <c r="T790" s="227"/>
      <c r="U790" s="227"/>
      <c r="V790" s="227"/>
      <c r="W790" s="227"/>
      <c r="X790" s="227"/>
      <c r="Y790" s="227"/>
      <c r="Z790" s="227"/>
      <c r="AA790" s="227"/>
      <c r="AB790" s="227"/>
      <c r="AC790" s="227"/>
      <c r="AD790" s="227"/>
      <c r="AE790" s="227"/>
    </row>
    <row r="791" ht="15.75" customHeight="1">
      <c r="A791" s="227"/>
      <c r="B791" s="227"/>
      <c r="C791" s="227"/>
      <c r="D791" s="227"/>
      <c r="E791" s="227"/>
      <c r="F791" s="227"/>
      <c r="G791" s="227"/>
      <c r="H791" s="227"/>
      <c r="I791" s="227"/>
      <c r="J791" s="227"/>
      <c r="K791" s="227"/>
      <c r="L791" s="227"/>
      <c r="M791" s="227"/>
      <c r="N791" s="227"/>
      <c r="O791" s="227"/>
      <c r="P791" s="227"/>
      <c r="Q791" s="227"/>
      <c r="R791" s="227"/>
      <c r="S791" s="227"/>
      <c r="T791" s="227"/>
      <c r="U791" s="227"/>
      <c r="V791" s="227"/>
      <c r="W791" s="227"/>
      <c r="X791" s="227"/>
      <c r="Y791" s="227"/>
      <c r="Z791" s="227"/>
      <c r="AA791" s="227"/>
      <c r="AB791" s="227"/>
      <c r="AC791" s="227"/>
      <c r="AD791" s="227"/>
      <c r="AE791" s="227"/>
    </row>
    <row r="792" ht="15.75" customHeight="1">
      <c r="A792" s="227"/>
      <c r="B792" s="227"/>
      <c r="C792" s="227"/>
      <c r="D792" s="227"/>
      <c r="E792" s="227"/>
      <c r="F792" s="227"/>
      <c r="G792" s="227"/>
      <c r="H792" s="227"/>
      <c r="I792" s="227"/>
      <c r="J792" s="227"/>
      <c r="K792" s="227"/>
      <c r="L792" s="227"/>
      <c r="M792" s="227"/>
      <c r="N792" s="227"/>
      <c r="O792" s="227"/>
      <c r="P792" s="227"/>
      <c r="Q792" s="227"/>
      <c r="R792" s="227"/>
      <c r="S792" s="227"/>
      <c r="T792" s="227"/>
      <c r="U792" s="227"/>
      <c r="V792" s="227"/>
      <c r="W792" s="227"/>
      <c r="X792" s="227"/>
      <c r="Y792" s="227"/>
      <c r="Z792" s="227"/>
      <c r="AA792" s="227"/>
      <c r="AB792" s="227"/>
      <c r="AC792" s="227"/>
      <c r="AD792" s="227"/>
      <c r="AE792" s="227"/>
    </row>
    <row r="793" ht="15.75" customHeight="1">
      <c r="A793" s="227"/>
      <c r="B793" s="227"/>
      <c r="C793" s="227"/>
      <c r="D793" s="227"/>
      <c r="E793" s="227"/>
      <c r="F793" s="227"/>
      <c r="G793" s="227"/>
      <c r="H793" s="227"/>
      <c r="I793" s="227"/>
      <c r="J793" s="227"/>
      <c r="K793" s="227"/>
      <c r="L793" s="227"/>
      <c r="M793" s="227"/>
      <c r="N793" s="227"/>
      <c r="O793" s="227"/>
      <c r="P793" s="227"/>
      <c r="Q793" s="227"/>
      <c r="R793" s="227"/>
      <c r="S793" s="227"/>
      <c r="T793" s="227"/>
      <c r="U793" s="227"/>
      <c r="V793" s="227"/>
      <c r="W793" s="227"/>
      <c r="X793" s="227"/>
      <c r="Y793" s="227"/>
      <c r="Z793" s="227"/>
      <c r="AA793" s="227"/>
      <c r="AB793" s="227"/>
      <c r="AC793" s="227"/>
      <c r="AD793" s="227"/>
      <c r="AE793" s="227"/>
    </row>
    <row r="794" ht="15.75" customHeight="1">
      <c r="A794" s="227"/>
      <c r="B794" s="227"/>
      <c r="C794" s="227"/>
      <c r="D794" s="227"/>
      <c r="E794" s="227"/>
      <c r="F794" s="227"/>
      <c r="G794" s="227"/>
      <c r="H794" s="227"/>
      <c r="I794" s="227"/>
      <c r="J794" s="227"/>
      <c r="K794" s="227"/>
      <c r="L794" s="227"/>
      <c r="M794" s="227"/>
      <c r="N794" s="227"/>
      <c r="O794" s="227"/>
      <c r="P794" s="227"/>
      <c r="Q794" s="227"/>
      <c r="R794" s="227"/>
      <c r="S794" s="227"/>
      <c r="T794" s="227"/>
      <c r="U794" s="227"/>
      <c r="V794" s="227"/>
      <c r="W794" s="227"/>
      <c r="X794" s="227"/>
      <c r="Y794" s="227"/>
      <c r="Z794" s="227"/>
      <c r="AA794" s="227"/>
      <c r="AB794" s="227"/>
      <c r="AC794" s="227"/>
      <c r="AD794" s="227"/>
      <c r="AE794" s="227"/>
    </row>
    <row r="795" ht="15.75" customHeight="1">
      <c r="A795" s="227"/>
      <c r="B795" s="227"/>
      <c r="C795" s="227"/>
      <c r="D795" s="227"/>
      <c r="E795" s="227"/>
      <c r="F795" s="227"/>
      <c r="G795" s="227"/>
      <c r="H795" s="227"/>
      <c r="I795" s="227"/>
      <c r="J795" s="227"/>
      <c r="K795" s="227"/>
      <c r="L795" s="227"/>
      <c r="M795" s="227"/>
      <c r="N795" s="227"/>
      <c r="O795" s="227"/>
      <c r="P795" s="227"/>
      <c r="Q795" s="227"/>
      <c r="R795" s="227"/>
      <c r="S795" s="227"/>
      <c r="T795" s="227"/>
      <c r="U795" s="227"/>
      <c r="V795" s="227"/>
      <c r="W795" s="227"/>
      <c r="X795" s="227"/>
      <c r="Y795" s="227"/>
      <c r="Z795" s="227"/>
      <c r="AA795" s="227"/>
      <c r="AB795" s="227"/>
      <c r="AC795" s="227"/>
      <c r="AD795" s="227"/>
      <c r="AE795" s="227"/>
    </row>
    <row r="796" ht="15.75" customHeight="1">
      <c r="A796" s="227"/>
      <c r="B796" s="227"/>
      <c r="C796" s="227"/>
      <c r="D796" s="227"/>
      <c r="E796" s="227"/>
      <c r="F796" s="227"/>
      <c r="G796" s="227"/>
      <c r="H796" s="227"/>
      <c r="I796" s="227"/>
      <c r="J796" s="227"/>
      <c r="K796" s="227"/>
      <c r="L796" s="227"/>
      <c r="M796" s="227"/>
      <c r="N796" s="227"/>
      <c r="O796" s="227"/>
      <c r="P796" s="227"/>
      <c r="Q796" s="227"/>
      <c r="R796" s="227"/>
      <c r="S796" s="227"/>
      <c r="T796" s="227"/>
      <c r="U796" s="227"/>
      <c r="V796" s="227"/>
      <c r="W796" s="227"/>
      <c r="X796" s="227"/>
      <c r="Y796" s="227"/>
      <c r="Z796" s="227"/>
      <c r="AA796" s="227"/>
      <c r="AB796" s="227"/>
      <c r="AC796" s="227"/>
      <c r="AD796" s="227"/>
      <c r="AE796" s="227"/>
    </row>
    <row r="797" ht="15.75" customHeight="1">
      <c r="A797" s="227"/>
      <c r="B797" s="227"/>
      <c r="C797" s="227"/>
      <c r="D797" s="227"/>
      <c r="E797" s="227"/>
      <c r="F797" s="227"/>
      <c r="G797" s="227"/>
      <c r="H797" s="227"/>
      <c r="I797" s="227"/>
      <c r="J797" s="227"/>
      <c r="K797" s="227"/>
      <c r="L797" s="227"/>
      <c r="M797" s="227"/>
      <c r="N797" s="227"/>
      <c r="O797" s="227"/>
      <c r="P797" s="227"/>
      <c r="Q797" s="227"/>
      <c r="R797" s="227"/>
      <c r="S797" s="227"/>
      <c r="T797" s="227"/>
      <c r="U797" s="227"/>
      <c r="V797" s="227"/>
      <c r="W797" s="227"/>
      <c r="X797" s="227"/>
      <c r="Y797" s="227"/>
      <c r="Z797" s="227"/>
      <c r="AA797" s="227"/>
      <c r="AB797" s="227"/>
      <c r="AC797" s="227"/>
      <c r="AD797" s="227"/>
      <c r="AE797" s="227"/>
    </row>
    <row r="798" ht="15.75" customHeight="1">
      <c r="A798" s="227"/>
      <c r="B798" s="227"/>
      <c r="C798" s="227"/>
      <c r="D798" s="227"/>
      <c r="E798" s="227"/>
      <c r="F798" s="227"/>
      <c r="G798" s="227"/>
      <c r="H798" s="227"/>
      <c r="I798" s="227"/>
      <c r="J798" s="227"/>
      <c r="K798" s="227"/>
      <c r="L798" s="227"/>
      <c r="M798" s="227"/>
      <c r="N798" s="227"/>
      <c r="O798" s="227"/>
      <c r="P798" s="227"/>
      <c r="Q798" s="227"/>
      <c r="R798" s="227"/>
      <c r="S798" s="227"/>
      <c r="T798" s="227"/>
      <c r="U798" s="227"/>
      <c r="V798" s="227"/>
      <c r="W798" s="227"/>
      <c r="X798" s="227"/>
      <c r="Y798" s="227"/>
      <c r="Z798" s="227"/>
      <c r="AA798" s="227"/>
      <c r="AB798" s="227"/>
      <c r="AC798" s="227"/>
      <c r="AD798" s="227"/>
      <c r="AE798" s="227"/>
    </row>
    <row r="799" ht="15.75" customHeight="1">
      <c r="A799" s="227"/>
      <c r="B799" s="227"/>
      <c r="C799" s="227"/>
      <c r="D799" s="227"/>
      <c r="E799" s="227"/>
      <c r="F799" s="227"/>
      <c r="G799" s="227"/>
      <c r="H799" s="227"/>
      <c r="I799" s="227"/>
      <c r="J799" s="227"/>
      <c r="K799" s="227"/>
      <c r="L799" s="227"/>
      <c r="M799" s="227"/>
      <c r="N799" s="227"/>
      <c r="O799" s="227"/>
      <c r="P799" s="227"/>
      <c r="Q799" s="227"/>
      <c r="R799" s="227"/>
      <c r="S799" s="227"/>
      <c r="T799" s="227"/>
      <c r="U799" s="227"/>
      <c r="V799" s="227"/>
      <c r="W799" s="227"/>
      <c r="X799" s="227"/>
      <c r="Y799" s="227"/>
      <c r="Z799" s="227"/>
      <c r="AA799" s="227"/>
      <c r="AB799" s="227"/>
      <c r="AC799" s="227"/>
      <c r="AD799" s="227"/>
      <c r="AE799" s="227"/>
    </row>
    <row r="800" ht="15.75" customHeight="1">
      <c r="A800" s="227"/>
      <c r="B800" s="227"/>
      <c r="C800" s="227"/>
      <c r="D800" s="227"/>
      <c r="E800" s="227"/>
      <c r="F800" s="227"/>
      <c r="G800" s="227"/>
      <c r="H800" s="227"/>
      <c r="I800" s="227"/>
      <c r="J800" s="227"/>
      <c r="K800" s="227"/>
      <c r="L800" s="227"/>
      <c r="M800" s="227"/>
      <c r="N800" s="227"/>
      <c r="O800" s="227"/>
      <c r="P800" s="227"/>
      <c r="Q800" s="227"/>
      <c r="R800" s="227"/>
      <c r="S800" s="227"/>
      <c r="T800" s="227"/>
      <c r="U800" s="227"/>
      <c r="V800" s="227"/>
      <c r="W800" s="227"/>
      <c r="X800" s="227"/>
      <c r="Y800" s="227"/>
      <c r="Z800" s="227"/>
      <c r="AA800" s="227"/>
      <c r="AB800" s="227"/>
      <c r="AC800" s="227"/>
      <c r="AD800" s="227"/>
      <c r="AE800" s="227"/>
    </row>
    <row r="801" ht="15.75" customHeight="1">
      <c r="A801" s="227"/>
      <c r="B801" s="227"/>
      <c r="C801" s="227"/>
      <c r="D801" s="227"/>
      <c r="E801" s="227"/>
      <c r="F801" s="227"/>
      <c r="G801" s="227"/>
      <c r="H801" s="227"/>
      <c r="I801" s="227"/>
      <c r="J801" s="227"/>
      <c r="K801" s="227"/>
      <c r="L801" s="227"/>
      <c r="M801" s="227"/>
      <c r="N801" s="227"/>
      <c r="O801" s="227"/>
      <c r="P801" s="227"/>
      <c r="Q801" s="227"/>
      <c r="R801" s="227"/>
      <c r="S801" s="227"/>
      <c r="T801" s="227"/>
      <c r="U801" s="227"/>
      <c r="V801" s="227"/>
      <c r="W801" s="227"/>
      <c r="X801" s="227"/>
      <c r="Y801" s="227"/>
      <c r="Z801" s="227"/>
      <c r="AA801" s="227"/>
      <c r="AB801" s="227"/>
      <c r="AC801" s="227"/>
      <c r="AD801" s="227"/>
      <c r="AE801" s="227"/>
    </row>
    <row r="802" ht="15.75" customHeight="1">
      <c r="A802" s="227"/>
      <c r="B802" s="227"/>
      <c r="C802" s="227"/>
      <c r="D802" s="227"/>
      <c r="E802" s="227"/>
      <c r="F802" s="227"/>
      <c r="G802" s="227"/>
      <c r="H802" s="227"/>
      <c r="I802" s="227"/>
      <c r="J802" s="227"/>
      <c r="K802" s="227"/>
      <c r="L802" s="227"/>
      <c r="M802" s="227"/>
      <c r="N802" s="227"/>
      <c r="O802" s="227"/>
      <c r="P802" s="227"/>
      <c r="Q802" s="227"/>
      <c r="R802" s="227"/>
      <c r="S802" s="227"/>
      <c r="T802" s="227"/>
      <c r="U802" s="227"/>
      <c r="V802" s="227"/>
      <c r="W802" s="227"/>
      <c r="X802" s="227"/>
      <c r="Y802" s="227"/>
      <c r="Z802" s="227"/>
      <c r="AA802" s="227"/>
      <c r="AB802" s="227"/>
      <c r="AC802" s="227"/>
      <c r="AD802" s="227"/>
      <c r="AE802" s="227"/>
    </row>
    <row r="803" ht="15.75" customHeight="1">
      <c r="A803" s="227"/>
      <c r="B803" s="227"/>
      <c r="C803" s="227"/>
      <c r="D803" s="227"/>
      <c r="E803" s="227"/>
      <c r="F803" s="227"/>
      <c r="G803" s="227"/>
      <c r="H803" s="227"/>
      <c r="I803" s="227"/>
      <c r="J803" s="227"/>
      <c r="K803" s="227"/>
      <c r="L803" s="227"/>
      <c r="M803" s="227"/>
      <c r="N803" s="227"/>
      <c r="O803" s="227"/>
      <c r="P803" s="227"/>
      <c r="Q803" s="227"/>
      <c r="R803" s="227"/>
      <c r="S803" s="227"/>
      <c r="T803" s="227"/>
      <c r="U803" s="227"/>
      <c r="V803" s="227"/>
      <c r="W803" s="227"/>
      <c r="X803" s="227"/>
      <c r="Y803" s="227"/>
      <c r="Z803" s="227"/>
      <c r="AA803" s="227"/>
      <c r="AB803" s="227"/>
      <c r="AC803" s="227"/>
      <c r="AD803" s="227"/>
      <c r="AE803" s="227"/>
    </row>
    <row r="804" ht="15.75" customHeight="1">
      <c r="A804" s="227"/>
      <c r="B804" s="227"/>
      <c r="C804" s="227"/>
      <c r="D804" s="227"/>
      <c r="E804" s="227"/>
      <c r="F804" s="227"/>
      <c r="G804" s="227"/>
      <c r="H804" s="227"/>
      <c r="I804" s="227"/>
      <c r="J804" s="227"/>
      <c r="K804" s="227"/>
      <c r="L804" s="227"/>
      <c r="M804" s="227"/>
      <c r="N804" s="227"/>
      <c r="O804" s="227"/>
      <c r="P804" s="227"/>
      <c r="Q804" s="227"/>
      <c r="R804" s="227"/>
      <c r="S804" s="227"/>
      <c r="T804" s="227"/>
      <c r="U804" s="227"/>
      <c r="V804" s="227"/>
      <c r="W804" s="227"/>
      <c r="X804" s="227"/>
      <c r="Y804" s="227"/>
      <c r="Z804" s="227"/>
      <c r="AA804" s="227"/>
      <c r="AB804" s="227"/>
      <c r="AC804" s="227"/>
      <c r="AD804" s="227"/>
      <c r="AE804" s="227"/>
    </row>
    <row r="805" ht="15.75" customHeight="1">
      <c r="A805" s="227"/>
      <c r="B805" s="227"/>
      <c r="C805" s="227"/>
      <c r="D805" s="227"/>
      <c r="E805" s="227"/>
      <c r="F805" s="227"/>
      <c r="G805" s="227"/>
      <c r="H805" s="227"/>
      <c r="I805" s="227"/>
      <c r="J805" s="227"/>
      <c r="K805" s="227"/>
      <c r="L805" s="227"/>
      <c r="M805" s="227"/>
      <c r="N805" s="227"/>
      <c r="O805" s="227"/>
      <c r="P805" s="227"/>
      <c r="Q805" s="227"/>
      <c r="R805" s="227"/>
      <c r="S805" s="227"/>
      <c r="T805" s="227"/>
      <c r="U805" s="227"/>
      <c r="V805" s="227"/>
      <c r="W805" s="227"/>
      <c r="X805" s="227"/>
      <c r="Y805" s="227"/>
      <c r="Z805" s="227"/>
      <c r="AA805" s="227"/>
      <c r="AB805" s="227"/>
      <c r="AC805" s="227"/>
      <c r="AD805" s="227"/>
      <c r="AE805" s="227"/>
    </row>
    <row r="806" ht="15.75" customHeight="1">
      <c r="A806" s="227"/>
      <c r="B806" s="227"/>
      <c r="C806" s="227"/>
      <c r="D806" s="227"/>
      <c r="E806" s="227"/>
      <c r="F806" s="227"/>
      <c r="G806" s="227"/>
      <c r="H806" s="227"/>
      <c r="I806" s="227"/>
      <c r="J806" s="227"/>
      <c r="K806" s="227"/>
      <c r="L806" s="227"/>
      <c r="M806" s="227"/>
      <c r="N806" s="227"/>
      <c r="O806" s="227"/>
      <c r="P806" s="227"/>
      <c r="Q806" s="227"/>
      <c r="R806" s="227"/>
      <c r="S806" s="227"/>
      <c r="T806" s="227"/>
      <c r="U806" s="227"/>
      <c r="V806" s="227"/>
      <c r="W806" s="227"/>
      <c r="X806" s="227"/>
      <c r="Y806" s="227"/>
      <c r="Z806" s="227"/>
      <c r="AA806" s="227"/>
      <c r="AB806" s="227"/>
      <c r="AC806" s="227"/>
      <c r="AD806" s="227"/>
      <c r="AE806" s="227"/>
    </row>
    <row r="807" ht="15.75" customHeight="1">
      <c r="A807" s="227"/>
      <c r="B807" s="227"/>
      <c r="C807" s="227"/>
      <c r="D807" s="227"/>
      <c r="E807" s="227"/>
      <c r="F807" s="227"/>
      <c r="G807" s="227"/>
      <c r="H807" s="227"/>
      <c r="I807" s="227"/>
      <c r="J807" s="227"/>
      <c r="K807" s="227"/>
      <c r="L807" s="227"/>
      <c r="M807" s="227"/>
      <c r="N807" s="227"/>
      <c r="O807" s="227"/>
      <c r="P807" s="227"/>
      <c r="Q807" s="227"/>
      <c r="R807" s="227"/>
      <c r="S807" s="227"/>
      <c r="T807" s="227"/>
      <c r="U807" s="227"/>
      <c r="V807" s="227"/>
      <c r="W807" s="227"/>
      <c r="X807" s="227"/>
      <c r="Y807" s="227"/>
      <c r="Z807" s="227"/>
      <c r="AA807" s="227"/>
      <c r="AB807" s="227"/>
      <c r="AC807" s="227"/>
      <c r="AD807" s="227"/>
      <c r="AE807" s="227"/>
    </row>
    <row r="808" ht="15.75" customHeight="1">
      <c r="A808" s="227"/>
      <c r="B808" s="227"/>
      <c r="C808" s="227"/>
      <c r="D808" s="227"/>
      <c r="E808" s="227"/>
      <c r="F808" s="227"/>
      <c r="G808" s="227"/>
      <c r="H808" s="227"/>
      <c r="I808" s="227"/>
      <c r="J808" s="227"/>
      <c r="K808" s="227"/>
      <c r="L808" s="227"/>
      <c r="M808" s="227"/>
      <c r="N808" s="227"/>
      <c r="O808" s="227"/>
      <c r="P808" s="227"/>
      <c r="Q808" s="227"/>
      <c r="R808" s="227"/>
      <c r="S808" s="227"/>
      <c r="T808" s="227"/>
      <c r="U808" s="227"/>
      <c r="V808" s="227"/>
      <c r="W808" s="227"/>
      <c r="X808" s="227"/>
      <c r="Y808" s="227"/>
      <c r="Z808" s="227"/>
      <c r="AA808" s="227"/>
      <c r="AB808" s="227"/>
      <c r="AC808" s="227"/>
      <c r="AD808" s="227"/>
      <c r="AE808" s="227"/>
    </row>
    <row r="809" ht="15.75" customHeight="1">
      <c r="A809" s="227"/>
      <c r="B809" s="227"/>
      <c r="C809" s="227"/>
      <c r="D809" s="227"/>
      <c r="E809" s="227"/>
      <c r="F809" s="227"/>
      <c r="G809" s="227"/>
      <c r="H809" s="227"/>
      <c r="I809" s="227"/>
      <c r="J809" s="227"/>
      <c r="K809" s="227"/>
      <c r="L809" s="227"/>
      <c r="M809" s="227"/>
      <c r="N809" s="227"/>
      <c r="O809" s="227"/>
      <c r="P809" s="227"/>
      <c r="Q809" s="227"/>
      <c r="R809" s="227"/>
      <c r="S809" s="227"/>
      <c r="T809" s="227"/>
      <c r="U809" s="227"/>
      <c r="V809" s="227"/>
      <c r="W809" s="227"/>
      <c r="X809" s="227"/>
      <c r="Y809" s="227"/>
      <c r="Z809" s="227"/>
      <c r="AA809" s="227"/>
      <c r="AB809" s="227"/>
      <c r="AC809" s="227"/>
      <c r="AD809" s="227"/>
      <c r="AE809" s="227"/>
    </row>
    <row r="810" ht="15.75" customHeight="1">
      <c r="A810" s="227"/>
      <c r="B810" s="227"/>
      <c r="C810" s="227"/>
      <c r="D810" s="227"/>
      <c r="E810" s="227"/>
      <c r="F810" s="227"/>
      <c r="G810" s="227"/>
      <c r="H810" s="227"/>
      <c r="I810" s="227"/>
      <c r="J810" s="227"/>
      <c r="K810" s="227"/>
      <c r="L810" s="227"/>
      <c r="M810" s="227"/>
      <c r="N810" s="227"/>
      <c r="O810" s="227"/>
      <c r="P810" s="227"/>
      <c r="Q810" s="227"/>
      <c r="R810" s="227"/>
      <c r="S810" s="227"/>
      <c r="T810" s="227"/>
      <c r="U810" s="227"/>
      <c r="V810" s="227"/>
      <c r="W810" s="227"/>
      <c r="X810" s="227"/>
      <c r="Y810" s="227"/>
      <c r="Z810" s="227"/>
      <c r="AA810" s="227"/>
      <c r="AB810" s="227"/>
      <c r="AC810" s="227"/>
      <c r="AD810" s="227"/>
      <c r="AE810" s="227"/>
    </row>
    <row r="811" ht="15.75" customHeight="1">
      <c r="A811" s="227"/>
      <c r="B811" s="227"/>
      <c r="C811" s="227"/>
      <c r="D811" s="227"/>
      <c r="E811" s="227"/>
      <c r="F811" s="227"/>
      <c r="G811" s="227"/>
      <c r="H811" s="227"/>
      <c r="I811" s="227"/>
      <c r="J811" s="227"/>
      <c r="K811" s="227"/>
      <c r="L811" s="227"/>
      <c r="M811" s="227"/>
      <c r="N811" s="227"/>
      <c r="O811" s="227"/>
      <c r="P811" s="227"/>
      <c r="Q811" s="227"/>
      <c r="R811" s="227"/>
      <c r="S811" s="227"/>
      <c r="T811" s="227"/>
      <c r="U811" s="227"/>
      <c r="V811" s="227"/>
      <c r="W811" s="227"/>
      <c r="X811" s="227"/>
      <c r="Y811" s="227"/>
      <c r="Z811" s="227"/>
      <c r="AA811" s="227"/>
      <c r="AB811" s="227"/>
      <c r="AC811" s="227"/>
      <c r="AD811" s="227"/>
      <c r="AE811" s="227"/>
    </row>
    <row r="812" ht="15.75" customHeight="1">
      <c r="A812" s="227"/>
      <c r="B812" s="227"/>
      <c r="C812" s="227"/>
      <c r="D812" s="227"/>
      <c r="E812" s="227"/>
      <c r="F812" s="227"/>
      <c r="G812" s="227"/>
      <c r="H812" s="227"/>
      <c r="I812" s="227"/>
      <c r="J812" s="227"/>
      <c r="K812" s="227"/>
      <c r="L812" s="227"/>
      <c r="M812" s="227"/>
      <c r="N812" s="227"/>
      <c r="O812" s="227"/>
      <c r="P812" s="227"/>
      <c r="Q812" s="227"/>
      <c r="R812" s="227"/>
      <c r="S812" s="227"/>
      <c r="T812" s="227"/>
      <c r="U812" s="227"/>
      <c r="V812" s="227"/>
      <c r="W812" s="227"/>
      <c r="X812" s="227"/>
      <c r="Y812" s="227"/>
      <c r="Z812" s="227"/>
      <c r="AA812" s="227"/>
      <c r="AB812" s="227"/>
      <c r="AC812" s="227"/>
      <c r="AD812" s="227"/>
      <c r="AE812" s="227"/>
    </row>
    <row r="813" ht="15.75" customHeight="1">
      <c r="A813" s="227"/>
      <c r="B813" s="227"/>
      <c r="C813" s="227"/>
      <c r="D813" s="227"/>
      <c r="E813" s="227"/>
      <c r="F813" s="227"/>
      <c r="G813" s="227"/>
      <c r="H813" s="227"/>
      <c r="I813" s="227"/>
      <c r="J813" s="227"/>
      <c r="K813" s="227"/>
      <c r="L813" s="227"/>
      <c r="M813" s="227"/>
      <c r="N813" s="227"/>
      <c r="O813" s="227"/>
      <c r="P813" s="227"/>
      <c r="Q813" s="227"/>
      <c r="R813" s="227"/>
      <c r="S813" s="227"/>
      <c r="T813" s="227"/>
      <c r="U813" s="227"/>
      <c r="V813" s="227"/>
      <c r="W813" s="227"/>
      <c r="X813" s="227"/>
      <c r="Y813" s="227"/>
      <c r="Z813" s="227"/>
      <c r="AA813" s="227"/>
      <c r="AB813" s="227"/>
      <c r="AC813" s="227"/>
      <c r="AD813" s="227"/>
      <c r="AE813" s="227"/>
    </row>
    <row r="814" ht="15.75" customHeight="1">
      <c r="A814" s="227"/>
      <c r="B814" s="227"/>
      <c r="C814" s="227"/>
      <c r="D814" s="227"/>
      <c r="E814" s="227"/>
      <c r="F814" s="227"/>
      <c r="G814" s="227"/>
      <c r="H814" s="227"/>
      <c r="I814" s="227"/>
      <c r="J814" s="227"/>
      <c r="K814" s="227"/>
      <c r="L814" s="227"/>
      <c r="M814" s="227"/>
      <c r="N814" s="227"/>
      <c r="O814" s="227"/>
      <c r="P814" s="227"/>
      <c r="Q814" s="227"/>
      <c r="R814" s="227"/>
      <c r="S814" s="227"/>
      <c r="T814" s="227"/>
      <c r="U814" s="227"/>
      <c r="V814" s="227"/>
      <c r="W814" s="227"/>
      <c r="X814" s="227"/>
      <c r="Y814" s="227"/>
      <c r="Z814" s="227"/>
      <c r="AA814" s="227"/>
      <c r="AB814" s="227"/>
      <c r="AC814" s="227"/>
      <c r="AD814" s="227"/>
      <c r="AE814" s="227"/>
    </row>
    <row r="815" ht="15.75" customHeight="1">
      <c r="A815" s="227"/>
      <c r="B815" s="227"/>
      <c r="C815" s="227"/>
      <c r="D815" s="227"/>
      <c r="E815" s="227"/>
      <c r="F815" s="227"/>
      <c r="G815" s="227"/>
      <c r="H815" s="227"/>
      <c r="I815" s="227"/>
      <c r="J815" s="227"/>
      <c r="K815" s="227"/>
      <c r="L815" s="227"/>
      <c r="M815" s="227"/>
      <c r="N815" s="227"/>
      <c r="O815" s="227"/>
      <c r="P815" s="227"/>
      <c r="Q815" s="227"/>
      <c r="R815" s="227"/>
      <c r="S815" s="227"/>
      <c r="T815" s="227"/>
      <c r="U815" s="227"/>
      <c r="V815" s="227"/>
      <c r="W815" s="227"/>
      <c r="X815" s="227"/>
      <c r="Y815" s="227"/>
      <c r="Z815" s="227"/>
      <c r="AA815" s="227"/>
      <c r="AB815" s="227"/>
      <c r="AC815" s="227"/>
      <c r="AD815" s="227"/>
      <c r="AE815" s="227"/>
    </row>
    <row r="816" ht="15.75" customHeight="1">
      <c r="A816" s="227"/>
      <c r="B816" s="227"/>
      <c r="C816" s="227"/>
      <c r="D816" s="227"/>
      <c r="E816" s="227"/>
      <c r="F816" s="227"/>
      <c r="G816" s="227"/>
      <c r="H816" s="227"/>
      <c r="I816" s="227"/>
      <c r="J816" s="227"/>
      <c r="K816" s="227"/>
      <c r="L816" s="227"/>
      <c r="M816" s="227"/>
      <c r="N816" s="227"/>
      <c r="O816" s="227"/>
      <c r="P816" s="227"/>
      <c r="Q816" s="227"/>
      <c r="R816" s="227"/>
      <c r="S816" s="227"/>
      <c r="T816" s="227"/>
      <c r="U816" s="227"/>
      <c r="V816" s="227"/>
      <c r="W816" s="227"/>
      <c r="X816" s="227"/>
      <c r="Y816" s="227"/>
      <c r="Z816" s="227"/>
      <c r="AA816" s="227"/>
      <c r="AB816" s="227"/>
      <c r="AC816" s="227"/>
      <c r="AD816" s="227"/>
      <c r="AE816" s="227"/>
    </row>
    <row r="817" ht="15.75" customHeight="1">
      <c r="A817" s="227"/>
      <c r="B817" s="227"/>
      <c r="C817" s="227"/>
      <c r="D817" s="227"/>
      <c r="E817" s="227"/>
      <c r="F817" s="227"/>
      <c r="G817" s="227"/>
      <c r="H817" s="227"/>
      <c r="I817" s="227"/>
      <c r="J817" s="227"/>
      <c r="K817" s="227"/>
      <c r="L817" s="227"/>
      <c r="M817" s="227"/>
      <c r="N817" s="227"/>
      <c r="O817" s="227"/>
      <c r="P817" s="227"/>
      <c r="Q817" s="227"/>
      <c r="R817" s="227"/>
      <c r="S817" s="227"/>
      <c r="T817" s="227"/>
      <c r="U817" s="227"/>
      <c r="V817" s="227"/>
      <c r="W817" s="227"/>
      <c r="X817" s="227"/>
      <c r="Y817" s="227"/>
      <c r="Z817" s="227"/>
      <c r="AA817" s="227"/>
      <c r="AB817" s="227"/>
      <c r="AC817" s="227"/>
      <c r="AD817" s="227"/>
      <c r="AE817" s="227"/>
    </row>
    <row r="818" ht="15.75" customHeight="1">
      <c r="A818" s="227"/>
      <c r="B818" s="227"/>
      <c r="C818" s="227"/>
      <c r="D818" s="227"/>
      <c r="E818" s="227"/>
      <c r="F818" s="227"/>
      <c r="G818" s="227"/>
      <c r="H818" s="227"/>
      <c r="I818" s="227"/>
      <c r="J818" s="227"/>
      <c r="K818" s="227"/>
      <c r="L818" s="227"/>
      <c r="M818" s="227"/>
      <c r="N818" s="227"/>
      <c r="O818" s="227"/>
      <c r="P818" s="227"/>
      <c r="Q818" s="227"/>
      <c r="R818" s="227"/>
      <c r="S818" s="227"/>
      <c r="T818" s="227"/>
      <c r="U818" s="227"/>
      <c r="V818" s="227"/>
      <c r="W818" s="227"/>
      <c r="X818" s="227"/>
      <c r="Y818" s="227"/>
      <c r="Z818" s="227"/>
      <c r="AA818" s="227"/>
      <c r="AB818" s="227"/>
      <c r="AC818" s="227"/>
      <c r="AD818" s="227"/>
      <c r="AE818" s="227"/>
    </row>
    <row r="819" ht="15.75" customHeight="1">
      <c r="A819" s="227"/>
      <c r="B819" s="227"/>
      <c r="C819" s="227"/>
      <c r="D819" s="227"/>
      <c r="E819" s="227"/>
      <c r="F819" s="227"/>
      <c r="G819" s="227"/>
      <c r="H819" s="227"/>
      <c r="I819" s="227"/>
      <c r="J819" s="227"/>
      <c r="K819" s="227"/>
      <c r="L819" s="227"/>
      <c r="M819" s="227"/>
      <c r="N819" s="227"/>
      <c r="O819" s="227"/>
      <c r="P819" s="227"/>
      <c r="Q819" s="227"/>
      <c r="R819" s="227"/>
      <c r="S819" s="227"/>
      <c r="T819" s="227"/>
      <c r="U819" s="227"/>
      <c r="V819" s="227"/>
      <c r="W819" s="227"/>
      <c r="X819" s="227"/>
      <c r="Y819" s="227"/>
      <c r="Z819" s="227"/>
      <c r="AA819" s="227"/>
      <c r="AB819" s="227"/>
      <c r="AC819" s="227"/>
      <c r="AD819" s="227"/>
      <c r="AE819" s="227"/>
    </row>
    <row r="820" ht="15.75" customHeight="1">
      <c r="A820" s="227"/>
      <c r="B820" s="227"/>
      <c r="C820" s="227"/>
      <c r="D820" s="227"/>
      <c r="E820" s="227"/>
      <c r="F820" s="227"/>
      <c r="G820" s="227"/>
      <c r="H820" s="227"/>
      <c r="I820" s="227"/>
      <c r="J820" s="227"/>
      <c r="K820" s="227"/>
      <c r="L820" s="227"/>
      <c r="M820" s="227"/>
      <c r="N820" s="227"/>
      <c r="O820" s="227"/>
      <c r="P820" s="227"/>
      <c r="Q820" s="227"/>
      <c r="R820" s="227"/>
      <c r="S820" s="227"/>
      <c r="T820" s="227"/>
      <c r="U820" s="227"/>
      <c r="V820" s="227"/>
      <c r="W820" s="227"/>
      <c r="X820" s="227"/>
      <c r="Y820" s="227"/>
      <c r="Z820" s="227"/>
      <c r="AA820" s="227"/>
      <c r="AB820" s="227"/>
      <c r="AC820" s="227"/>
      <c r="AD820" s="227"/>
      <c r="AE820" s="227"/>
    </row>
    <row r="821" ht="15.75" customHeight="1">
      <c r="A821" s="227"/>
      <c r="B821" s="227"/>
      <c r="C821" s="227"/>
      <c r="D821" s="227"/>
      <c r="E821" s="227"/>
      <c r="F821" s="227"/>
      <c r="G821" s="227"/>
      <c r="H821" s="227"/>
      <c r="I821" s="227"/>
      <c r="J821" s="227"/>
      <c r="K821" s="227"/>
      <c r="L821" s="227"/>
      <c r="M821" s="227"/>
      <c r="N821" s="227"/>
      <c r="O821" s="227"/>
      <c r="P821" s="227"/>
      <c r="Q821" s="227"/>
      <c r="R821" s="227"/>
      <c r="S821" s="227"/>
      <c r="T821" s="227"/>
      <c r="U821" s="227"/>
      <c r="V821" s="227"/>
      <c r="W821" s="227"/>
      <c r="X821" s="227"/>
      <c r="Y821" s="227"/>
      <c r="Z821" s="227"/>
      <c r="AA821" s="227"/>
      <c r="AB821" s="227"/>
      <c r="AC821" s="227"/>
      <c r="AD821" s="227"/>
      <c r="AE821" s="227"/>
    </row>
    <row r="822" ht="15.75" customHeight="1">
      <c r="A822" s="227"/>
      <c r="B822" s="227"/>
      <c r="C822" s="227"/>
      <c r="D822" s="227"/>
      <c r="E822" s="227"/>
      <c r="F822" s="227"/>
      <c r="G822" s="227"/>
      <c r="H822" s="227"/>
      <c r="I822" s="227"/>
      <c r="J822" s="227"/>
      <c r="K822" s="227"/>
      <c r="L822" s="227"/>
      <c r="M822" s="227"/>
      <c r="N822" s="227"/>
      <c r="O822" s="227"/>
      <c r="P822" s="227"/>
      <c r="Q822" s="227"/>
      <c r="R822" s="227"/>
      <c r="S822" s="227"/>
      <c r="T822" s="227"/>
      <c r="U822" s="227"/>
      <c r="V822" s="227"/>
      <c r="W822" s="227"/>
      <c r="X822" s="227"/>
      <c r="Y822" s="227"/>
      <c r="Z822" s="227"/>
      <c r="AA822" s="227"/>
      <c r="AB822" s="227"/>
      <c r="AC822" s="227"/>
      <c r="AD822" s="227"/>
      <c r="AE822" s="227"/>
    </row>
    <row r="823" ht="15.75" customHeight="1">
      <c r="A823" s="227"/>
      <c r="B823" s="227"/>
      <c r="C823" s="227"/>
      <c r="D823" s="227"/>
      <c r="E823" s="227"/>
      <c r="F823" s="227"/>
      <c r="G823" s="227"/>
      <c r="H823" s="227"/>
      <c r="I823" s="227"/>
      <c r="J823" s="227"/>
      <c r="K823" s="227"/>
      <c r="L823" s="227"/>
      <c r="M823" s="227"/>
      <c r="N823" s="227"/>
      <c r="O823" s="227"/>
      <c r="P823" s="227"/>
      <c r="Q823" s="227"/>
      <c r="R823" s="227"/>
      <c r="S823" s="227"/>
      <c r="T823" s="227"/>
      <c r="U823" s="227"/>
      <c r="V823" s="227"/>
      <c r="W823" s="227"/>
      <c r="X823" s="227"/>
      <c r="Y823" s="227"/>
      <c r="Z823" s="227"/>
      <c r="AA823" s="227"/>
      <c r="AB823" s="227"/>
      <c r="AC823" s="227"/>
      <c r="AD823" s="227"/>
      <c r="AE823" s="227"/>
    </row>
    <row r="824" ht="15.75" customHeight="1">
      <c r="A824" s="227"/>
      <c r="B824" s="227"/>
      <c r="C824" s="227"/>
      <c r="D824" s="227"/>
      <c r="E824" s="227"/>
      <c r="F824" s="227"/>
      <c r="G824" s="227"/>
      <c r="H824" s="227"/>
      <c r="I824" s="227"/>
      <c r="J824" s="227"/>
      <c r="K824" s="227"/>
      <c r="L824" s="227"/>
      <c r="M824" s="227"/>
      <c r="N824" s="227"/>
      <c r="O824" s="227"/>
      <c r="P824" s="227"/>
      <c r="Q824" s="227"/>
      <c r="R824" s="227"/>
      <c r="S824" s="227"/>
      <c r="T824" s="227"/>
      <c r="U824" s="227"/>
      <c r="V824" s="227"/>
      <c r="W824" s="227"/>
      <c r="X824" s="227"/>
      <c r="Y824" s="227"/>
      <c r="Z824" s="227"/>
      <c r="AA824" s="227"/>
      <c r="AB824" s="227"/>
      <c r="AC824" s="227"/>
      <c r="AD824" s="227"/>
      <c r="AE824" s="227"/>
    </row>
    <row r="825" ht="15.75" customHeight="1">
      <c r="A825" s="227"/>
      <c r="B825" s="227"/>
      <c r="C825" s="227"/>
      <c r="D825" s="227"/>
      <c r="E825" s="227"/>
      <c r="F825" s="227"/>
      <c r="G825" s="227"/>
      <c r="H825" s="227"/>
      <c r="I825" s="227"/>
      <c r="J825" s="227"/>
      <c r="K825" s="227"/>
      <c r="L825" s="227"/>
      <c r="M825" s="227"/>
      <c r="N825" s="227"/>
      <c r="O825" s="227"/>
      <c r="P825" s="227"/>
      <c r="Q825" s="227"/>
      <c r="R825" s="227"/>
      <c r="S825" s="227"/>
      <c r="T825" s="227"/>
      <c r="U825" s="227"/>
      <c r="V825" s="227"/>
      <c r="W825" s="227"/>
      <c r="X825" s="227"/>
      <c r="Y825" s="227"/>
      <c r="Z825" s="227"/>
      <c r="AA825" s="227"/>
      <c r="AB825" s="227"/>
      <c r="AC825" s="227"/>
      <c r="AD825" s="227"/>
      <c r="AE825" s="227"/>
    </row>
    <row r="826" ht="15.75" customHeight="1">
      <c r="A826" s="227"/>
      <c r="B826" s="227"/>
      <c r="C826" s="227"/>
      <c r="D826" s="227"/>
      <c r="E826" s="227"/>
      <c r="F826" s="227"/>
      <c r="G826" s="227"/>
      <c r="H826" s="227"/>
      <c r="I826" s="227"/>
      <c r="J826" s="227"/>
      <c r="K826" s="227"/>
      <c r="L826" s="227"/>
      <c r="M826" s="227"/>
      <c r="N826" s="227"/>
      <c r="O826" s="227"/>
      <c r="P826" s="227"/>
      <c r="Q826" s="227"/>
      <c r="R826" s="227"/>
      <c r="S826" s="227"/>
      <c r="T826" s="227"/>
      <c r="U826" s="227"/>
      <c r="V826" s="227"/>
      <c r="W826" s="227"/>
      <c r="X826" s="227"/>
      <c r="Y826" s="227"/>
      <c r="Z826" s="227"/>
      <c r="AA826" s="227"/>
      <c r="AB826" s="227"/>
      <c r="AC826" s="227"/>
      <c r="AD826" s="227"/>
      <c r="AE826" s="227"/>
    </row>
    <row r="827" ht="15.75" customHeight="1">
      <c r="A827" s="227"/>
      <c r="B827" s="227"/>
      <c r="C827" s="227"/>
      <c r="D827" s="227"/>
      <c r="E827" s="227"/>
      <c r="F827" s="227"/>
      <c r="G827" s="227"/>
      <c r="H827" s="227"/>
      <c r="I827" s="227"/>
      <c r="J827" s="227"/>
      <c r="K827" s="227"/>
      <c r="L827" s="227"/>
      <c r="M827" s="227"/>
      <c r="N827" s="227"/>
      <c r="O827" s="227"/>
      <c r="P827" s="227"/>
      <c r="Q827" s="227"/>
      <c r="R827" s="227"/>
      <c r="S827" s="227"/>
      <c r="T827" s="227"/>
      <c r="U827" s="227"/>
      <c r="V827" s="227"/>
      <c r="W827" s="227"/>
      <c r="X827" s="227"/>
      <c r="Y827" s="227"/>
      <c r="Z827" s="227"/>
      <c r="AA827" s="227"/>
      <c r="AB827" s="227"/>
      <c r="AC827" s="227"/>
      <c r="AD827" s="227"/>
      <c r="AE827" s="227"/>
    </row>
    <row r="828" ht="15.75" customHeight="1">
      <c r="A828" s="227"/>
      <c r="B828" s="227"/>
      <c r="C828" s="227"/>
      <c r="D828" s="227"/>
      <c r="E828" s="227"/>
      <c r="F828" s="227"/>
      <c r="G828" s="227"/>
      <c r="H828" s="227"/>
      <c r="I828" s="227"/>
      <c r="J828" s="227"/>
      <c r="K828" s="227"/>
      <c r="L828" s="227"/>
      <c r="M828" s="227"/>
      <c r="N828" s="227"/>
      <c r="O828" s="227"/>
      <c r="P828" s="227"/>
      <c r="Q828" s="227"/>
      <c r="R828" s="227"/>
      <c r="S828" s="227"/>
      <c r="T828" s="227"/>
      <c r="U828" s="227"/>
      <c r="V828" s="227"/>
      <c r="W828" s="227"/>
      <c r="X828" s="227"/>
      <c r="Y828" s="227"/>
      <c r="Z828" s="227"/>
      <c r="AA828" s="227"/>
      <c r="AB828" s="227"/>
      <c r="AC828" s="227"/>
      <c r="AD828" s="227"/>
      <c r="AE828" s="227"/>
    </row>
    <row r="829" ht="15.75" customHeight="1">
      <c r="A829" s="227"/>
      <c r="B829" s="227"/>
      <c r="C829" s="227"/>
      <c r="D829" s="227"/>
      <c r="E829" s="227"/>
      <c r="F829" s="227"/>
      <c r="G829" s="227"/>
      <c r="H829" s="227"/>
      <c r="I829" s="227"/>
      <c r="J829" s="227"/>
      <c r="K829" s="227"/>
      <c r="L829" s="227"/>
      <c r="M829" s="227"/>
      <c r="N829" s="227"/>
      <c r="O829" s="227"/>
      <c r="P829" s="227"/>
      <c r="Q829" s="227"/>
      <c r="R829" s="227"/>
      <c r="S829" s="227"/>
      <c r="T829" s="227"/>
      <c r="U829" s="227"/>
      <c r="V829" s="227"/>
      <c r="W829" s="227"/>
      <c r="X829" s="227"/>
      <c r="Y829" s="227"/>
      <c r="Z829" s="227"/>
      <c r="AA829" s="227"/>
      <c r="AB829" s="227"/>
      <c r="AC829" s="227"/>
      <c r="AD829" s="227"/>
      <c r="AE829" s="227"/>
    </row>
    <row r="830" ht="15.75" customHeight="1">
      <c r="A830" s="227"/>
      <c r="B830" s="227"/>
      <c r="C830" s="227"/>
      <c r="D830" s="227"/>
      <c r="E830" s="227"/>
      <c r="F830" s="227"/>
      <c r="G830" s="227"/>
      <c r="H830" s="227"/>
      <c r="I830" s="227"/>
      <c r="J830" s="227"/>
      <c r="K830" s="227"/>
      <c r="L830" s="227"/>
      <c r="M830" s="227"/>
      <c r="N830" s="227"/>
      <c r="O830" s="227"/>
      <c r="P830" s="227"/>
      <c r="Q830" s="227"/>
      <c r="R830" s="227"/>
      <c r="S830" s="227"/>
      <c r="T830" s="227"/>
      <c r="U830" s="227"/>
      <c r="V830" s="227"/>
      <c r="W830" s="227"/>
      <c r="X830" s="227"/>
      <c r="Y830" s="227"/>
      <c r="Z830" s="227"/>
      <c r="AA830" s="227"/>
      <c r="AB830" s="227"/>
      <c r="AC830" s="227"/>
      <c r="AD830" s="227"/>
      <c r="AE830" s="227"/>
    </row>
    <row r="831" ht="15.75" customHeight="1">
      <c r="A831" s="227"/>
      <c r="B831" s="227"/>
      <c r="C831" s="227"/>
      <c r="D831" s="227"/>
      <c r="E831" s="227"/>
      <c r="F831" s="227"/>
      <c r="G831" s="227"/>
      <c r="H831" s="227"/>
      <c r="I831" s="227"/>
      <c r="J831" s="227"/>
      <c r="K831" s="227"/>
      <c r="L831" s="227"/>
      <c r="M831" s="227"/>
      <c r="N831" s="227"/>
      <c r="O831" s="227"/>
      <c r="P831" s="227"/>
      <c r="Q831" s="227"/>
      <c r="R831" s="227"/>
      <c r="S831" s="227"/>
      <c r="T831" s="227"/>
      <c r="U831" s="227"/>
      <c r="V831" s="227"/>
      <c r="W831" s="227"/>
      <c r="X831" s="227"/>
      <c r="Y831" s="227"/>
      <c r="Z831" s="227"/>
      <c r="AA831" s="227"/>
      <c r="AB831" s="227"/>
      <c r="AC831" s="227"/>
      <c r="AD831" s="227"/>
      <c r="AE831" s="227"/>
    </row>
    <row r="832" ht="15.75" customHeight="1">
      <c r="A832" s="227"/>
      <c r="B832" s="227"/>
      <c r="C832" s="227"/>
      <c r="D832" s="227"/>
      <c r="E832" s="227"/>
      <c r="F832" s="227"/>
      <c r="G832" s="227"/>
      <c r="H832" s="227"/>
      <c r="I832" s="227"/>
      <c r="J832" s="227"/>
      <c r="K832" s="227"/>
      <c r="L832" s="227"/>
      <c r="M832" s="227"/>
      <c r="N832" s="227"/>
      <c r="O832" s="227"/>
      <c r="P832" s="227"/>
      <c r="Q832" s="227"/>
      <c r="R832" s="227"/>
      <c r="S832" s="227"/>
      <c r="T832" s="227"/>
      <c r="U832" s="227"/>
      <c r="V832" s="227"/>
      <c r="W832" s="227"/>
      <c r="X832" s="227"/>
      <c r="Y832" s="227"/>
      <c r="Z832" s="227"/>
      <c r="AA832" s="227"/>
      <c r="AB832" s="227"/>
      <c r="AC832" s="227"/>
      <c r="AD832" s="227"/>
      <c r="AE832" s="227"/>
    </row>
    <row r="833" ht="15.75" customHeight="1">
      <c r="A833" s="227"/>
      <c r="B833" s="227"/>
      <c r="C833" s="227"/>
      <c r="D833" s="227"/>
      <c r="E833" s="227"/>
      <c r="F833" s="227"/>
      <c r="G833" s="227"/>
      <c r="H833" s="227"/>
      <c r="I833" s="227"/>
      <c r="J833" s="227"/>
      <c r="K833" s="227"/>
      <c r="L833" s="227"/>
      <c r="M833" s="227"/>
      <c r="N833" s="227"/>
      <c r="O833" s="227"/>
      <c r="P833" s="227"/>
      <c r="Q833" s="227"/>
      <c r="R833" s="227"/>
      <c r="S833" s="227"/>
      <c r="T833" s="227"/>
      <c r="U833" s="227"/>
      <c r="V833" s="227"/>
      <c r="W833" s="227"/>
      <c r="X833" s="227"/>
      <c r="Y833" s="227"/>
      <c r="Z833" s="227"/>
      <c r="AA833" s="227"/>
      <c r="AB833" s="227"/>
      <c r="AC833" s="227"/>
      <c r="AD833" s="227"/>
      <c r="AE833" s="227"/>
    </row>
    <row r="834" ht="15.75" customHeight="1">
      <c r="A834" s="227"/>
      <c r="B834" s="227"/>
      <c r="C834" s="227"/>
      <c r="D834" s="227"/>
      <c r="E834" s="227"/>
      <c r="F834" s="227"/>
      <c r="G834" s="227"/>
      <c r="H834" s="227"/>
      <c r="I834" s="227"/>
      <c r="J834" s="227"/>
      <c r="K834" s="227"/>
      <c r="L834" s="227"/>
      <c r="M834" s="227"/>
      <c r="N834" s="227"/>
      <c r="O834" s="227"/>
      <c r="P834" s="227"/>
      <c r="Q834" s="227"/>
      <c r="R834" s="227"/>
      <c r="S834" s="227"/>
      <c r="T834" s="227"/>
      <c r="U834" s="227"/>
      <c r="V834" s="227"/>
      <c r="W834" s="227"/>
      <c r="X834" s="227"/>
      <c r="Y834" s="227"/>
      <c r="Z834" s="227"/>
      <c r="AA834" s="227"/>
      <c r="AB834" s="227"/>
      <c r="AC834" s="227"/>
      <c r="AD834" s="227"/>
      <c r="AE834" s="227"/>
    </row>
    <row r="835" ht="15.75" customHeight="1">
      <c r="A835" s="227"/>
      <c r="B835" s="227"/>
      <c r="C835" s="227"/>
      <c r="D835" s="227"/>
      <c r="E835" s="227"/>
      <c r="F835" s="227"/>
      <c r="G835" s="227"/>
      <c r="H835" s="227"/>
      <c r="I835" s="227"/>
      <c r="J835" s="227"/>
      <c r="K835" s="227"/>
      <c r="L835" s="227"/>
      <c r="M835" s="227"/>
      <c r="N835" s="227"/>
      <c r="O835" s="227"/>
      <c r="P835" s="227"/>
      <c r="Q835" s="227"/>
      <c r="R835" s="227"/>
      <c r="S835" s="227"/>
      <c r="T835" s="227"/>
      <c r="U835" s="227"/>
      <c r="V835" s="227"/>
      <c r="W835" s="227"/>
      <c r="X835" s="227"/>
      <c r="Y835" s="227"/>
      <c r="Z835" s="227"/>
      <c r="AA835" s="227"/>
      <c r="AB835" s="227"/>
      <c r="AC835" s="227"/>
      <c r="AD835" s="227"/>
      <c r="AE835" s="227"/>
    </row>
    <row r="836" ht="15.75" customHeight="1">
      <c r="A836" s="227"/>
      <c r="B836" s="227"/>
      <c r="C836" s="227"/>
      <c r="D836" s="227"/>
      <c r="E836" s="227"/>
      <c r="F836" s="227"/>
      <c r="G836" s="227"/>
      <c r="H836" s="227"/>
      <c r="I836" s="227"/>
      <c r="J836" s="227"/>
      <c r="K836" s="227"/>
      <c r="L836" s="227"/>
      <c r="M836" s="227"/>
      <c r="N836" s="227"/>
      <c r="O836" s="227"/>
      <c r="P836" s="227"/>
      <c r="Q836" s="227"/>
      <c r="R836" s="227"/>
      <c r="S836" s="227"/>
      <c r="T836" s="227"/>
      <c r="U836" s="227"/>
      <c r="V836" s="227"/>
      <c r="W836" s="227"/>
      <c r="X836" s="227"/>
      <c r="Y836" s="227"/>
      <c r="Z836" s="227"/>
      <c r="AA836" s="227"/>
      <c r="AB836" s="227"/>
      <c r="AC836" s="227"/>
      <c r="AD836" s="227"/>
      <c r="AE836" s="227"/>
    </row>
    <row r="837" ht="15.75" customHeight="1">
      <c r="A837" s="227"/>
      <c r="B837" s="227"/>
      <c r="C837" s="227"/>
      <c r="D837" s="227"/>
      <c r="E837" s="227"/>
      <c r="F837" s="227"/>
      <c r="G837" s="227"/>
      <c r="H837" s="227"/>
      <c r="I837" s="227"/>
      <c r="J837" s="227"/>
      <c r="K837" s="227"/>
      <c r="L837" s="227"/>
      <c r="M837" s="227"/>
      <c r="N837" s="227"/>
      <c r="O837" s="227"/>
      <c r="P837" s="227"/>
      <c r="Q837" s="227"/>
      <c r="R837" s="227"/>
      <c r="S837" s="227"/>
      <c r="T837" s="227"/>
      <c r="U837" s="227"/>
      <c r="V837" s="227"/>
      <c r="W837" s="227"/>
      <c r="X837" s="227"/>
      <c r="Y837" s="227"/>
      <c r="Z837" s="227"/>
      <c r="AA837" s="227"/>
      <c r="AB837" s="227"/>
      <c r="AC837" s="227"/>
      <c r="AD837" s="227"/>
      <c r="AE837" s="227"/>
    </row>
    <row r="838" ht="15.75" customHeight="1">
      <c r="A838" s="227"/>
      <c r="B838" s="227"/>
      <c r="C838" s="227"/>
      <c r="D838" s="227"/>
      <c r="E838" s="227"/>
      <c r="F838" s="227"/>
      <c r="G838" s="227"/>
      <c r="H838" s="227"/>
      <c r="I838" s="227"/>
      <c r="J838" s="227"/>
      <c r="K838" s="227"/>
      <c r="L838" s="227"/>
      <c r="M838" s="227"/>
      <c r="N838" s="227"/>
      <c r="O838" s="227"/>
      <c r="P838" s="227"/>
      <c r="Q838" s="227"/>
      <c r="R838" s="227"/>
      <c r="S838" s="227"/>
      <c r="T838" s="227"/>
      <c r="U838" s="227"/>
      <c r="V838" s="227"/>
      <c r="W838" s="227"/>
      <c r="X838" s="227"/>
      <c r="Y838" s="227"/>
      <c r="Z838" s="227"/>
      <c r="AA838" s="227"/>
      <c r="AB838" s="227"/>
      <c r="AC838" s="227"/>
      <c r="AD838" s="227"/>
      <c r="AE838" s="227"/>
    </row>
    <row r="839" ht="15.75" customHeight="1">
      <c r="A839" s="227"/>
      <c r="B839" s="227"/>
      <c r="C839" s="227"/>
      <c r="D839" s="227"/>
      <c r="E839" s="227"/>
      <c r="F839" s="227"/>
      <c r="G839" s="227"/>
      <c r="H839" s="227"/>
      <c r="I839" s="227"/>
      <c r="J839" s="227"/>
      <c r="K839" s="227"/>
      <c r="L839" s="227"/>
      <c r="M839" s="227"/>
      <c r="N839" s="227"/>
      <c r="O839" s="227"/>
      <c r="P839" s="227"/>
      <c r="Q839" s="227"/>
      <c r="R839" s="227"/>
      <c r="S839" s="227"/>
      <c r="T839" s="227"/>
      <c r="U839" s="227"/>
      <c r="V839" s="227"/>
      <c r="W839" s="227"/>
      <c r="X839" s="227"/>
      <c r="Y839" s="227"/>
      <c r="Z839" s="227"/>
      <c r="AA839" s="227"/>
      <c r="AB839" s="227"/>
      <c r="AC839" s="227"/>
      <c r="AD839" s="227"/>
      <c r="AE839" s="227"/>
    </row>
    <row r="840" ht="15.75" customHeight="1">
      <c r="A840" s="227"/>
      <c r="B840" s="227"/>
      <c r="C840" s="227"/>
      <c r="D840" s="227"/>
      <c r="E840" s="227"/>
      <c r="F840" s="227"/>
      <c r="G840" s="227"/>
      <c r="H840" s="227"/>
      <c r="I840" s="227"/>
      <c r="J840" s="227"/>
      <c r="K840" s="227"/>
      <c r="L840" s="227"/>
      <c r="M840" s="227"/>
      <c r="N840" s="227"/>
      <c r="O840" s="227"/>
      <c r="P840" s="227"/>
      <c r="Q840" s="227"/>
      <c r="R840" s="227"/>
      <c r="S840" s="227"/>
      <c r="T840" s="227"/>
      <c r="U840" s="227"/>
      <c r="V840" s="227"/>
      <c r="W840" s="227"/>
      <c r="X840" s="227"/>
      <c r="Y840" s="227"/>
      <c r="Z840" s="227"/>
      <c r="AA840" s="227"/>
      <c r="AB840" s="227"/>
      <c r="AC840" s="227"/>
      <c r="AD840" s="227"/>
      <c r="AE840" s="227"/>
    </row>
    <row r="841" ht="15.75" customHeight="1">
      <c r="A841" s="227"/>
      <c r="B841" s="227"/>
      <c r="C841" s="227"/>
      <c r="D841" s="227"/>
      <c r="E841" s="227"/>
      <c r="F841" s="227"/>
      <c r="G841" s="227"/>
      <c r="H841" s="227"/>
      <c r="I841" s="227"/>
      <c r="J841" s="227"/>
      <c r="K841" s="227"/>
      <c r="L841" s="227"/>
      <c r="M841" s="227"/>
      <c r="N841" s="227"/>
      <c r="O841" s="227"/>
      <c r="P841" s="227"/>
      <c r="Q841" s="227"/>
      <c r="R841" s="227"/>
      <c r="S841" s="227"/>
      <c r="T841" s="227"/>
      <c r="U841" s="227"/>
      <c r="V841" s="227"/>
      <c r="W841" s="227"/>
      <c r="X841" s="227"/>
      <c r="Y841" s="227"/>
      <c r="Z841" s="227"/>
      <c r="AA841" s="227"/>
      <c r="AB841" s="227"/>
      <c r="AC841" s="227"/>
      <c r="AD841" s="227"/>
      <c r="AE841" s="227"/>
    </row>
    <row r="842" ht="15.75" customHeight="1">
      <c r="A842" s="227"/>
      <c r="B842" s="227"/>
      <c r="C842" s="227"/>
      <c r="D842" s="227"/>
      <c r="E842" s="227"/>
      <c r="F842" s="227"/>
      <c r="G842" s="227"/>
      <c r="H842" s="227"/>
      <c r="I842" s="227"/>
      <c r="J842" s="227"/>
      <c r="K842" s="227"/>
      <c r="L842" s="227"/>
      <c r="M842" s="227"/>
      <c r="N842" s="227"/>
      <c r="O842" s="227"/>
      <c r="P842" s="227"/>
      <c r="Q842" s="227"/>
      <c r="R842" s="227"/>
      <c r="S842" s="227"/>
      <c r="T842" s="227"/>
      <c r="U842" s="227"/>
      <c r="V842" s="227"/>
      <c r="W842" s="227"/>
      <c r="X842" s="227"/>
      <c r="Y842" s="227"/>
      <c r="Z842" s="227"/>
      <c r="AA842" s="227"/>
      <c r="AB842" s="227"/>
      <c r="AC842" s="227"/>
      <c r="AD842" s="227"/>
      <c r="AE842" s="227"/>
    </row>
    <row r="843" ht="15.75" customHeight="1">
      <c r="A843" s="227"/>
      <c r="B843" s="227"/>
      <c r="C843" s="227"/>
      <c r="D843" s="227"/>
      <c r="E843" s="227"/>
      <c r="F843" s="227"/>
      <c r="G843" s="227"/>
      <c r="H843" s="227"/>
      <c r="I843" s="227"/>
      <c r="J843" s="227"/>
      <c r="K843" s="227"/>
      <c r="L843" s="227"/>
      <c r="M843" s="227"/>
      <c r="N843" s="227"/>
      <c r="O843" s="227"/>
      <c r="P843" s="227"/>
      <c r="Q843" s="227"/>
      <c r="R843" s="227"/>
      <c r="S843" s="227"/>
      <c r="T843" s="227"/>
      <c r="U843" s="227"/>
      <c r="V843" s="227"/>
      <c r="W843" s="227"/>
      <c r="X843" s="227"/>
      <c r="Y843" s="227"/>
      <c r="Z843" s="227"/>
      <c r="AA843" s="227"/>
      <c r="AB843" s="227"/>
      <c r="AC843" s="227"/>
      <c r="AD843" s="227"/>
      <c r="AE843" s="227"/>
    </row>
    <row r="844" ht="15.75" customHeight="1">
      <c r="A844" s="227"/>
      <c r="B844" s="227"/>
      <c r="C844" s="227"/>
      <c r="D844" s="227"/>
      <c r="E844" s="227"/>
      <c r="F844" s="227"/>
      <c r="G844" s="227"/>
      <c r="H844" s="227"/>
      <c r="I844" s="227"/>
      <c r="J844" s="227"/>
      <c r="K844" s="227"/>
      <c r="L844" s="227"/>
      <c r="M844" s="227"/>
      <c r="N844" s="227"/>
      <c r="O844" s="227"/>
      <c r="P844" s="227"/>
      <c r="Q844" s="227"/>
      <c r="R844" s="227"/>
      <c r="S844" s="227"/>
      <c r="T844" s="227"/>
      <c r="U844" s="227"/>
      <c r="V844" s="227"/>
      <c r="W844" s="227"/>
      <c r="X844" s="227"/>
      <c r="Y844" s="227"/>
      <c r="Z844" s="227"/>
      <c r="AA844" s="227"/>
      <c r="AB844" s="227"/>
      <c r="AC844" s="227"/>
      <c r="AD844" s="227"/>
      <c r="AE844" s="227"/>
    </row>
    <row r="845" ht="15.75" customHeight="1">
      <c r="A845" s="227"/>
      <c r="B845" s="227"/>
      <c r="C845" s="227"/>
      <c r="D845" s="227"/>
      <c r="E845" s="227"/>
      <c r="F845" s="227"/>
      <c r="G845" s="227"/>
      <c r="H845" s="227"/>
      <c r="I845" s="227"/>
      <c r="J845" s="227"/>
      <c r="K845" s="227"/>
      <c r="L845" s="227"/>
      <c r="M845" s="227"/>
      <c r="N845" s="227"/>
      <c r="O845" s="227"/>
      <c r="P845" s="227"/>
      <c r="Q845" s="227"/>
      <c r="R845" s="227"/>
      <c r="S845" s="227"/>
      <c r="T845" s="227"/>
      <c r="U845" s="227"/>
      <c r="V845" s="227"/>
      <c r="W845" s="227"/>
      <c r="X845" s="227"/>
      <c r="Y845" s="227"/>
      <c r="Z845" s="227"/>
      <c r="AA845" s="227"/>
      <c r="AB845" s="227"/>
      <c r="AC845" s="227"/>
      <c r="AD845" s="227"/>
      <c r="AE845" s="227"/>
    </row>
    <row r="846" ht="15.75" customHeight="1">
      <c r="A846" s="227"/>
      <c r="B846" s="227"/>
      <c r="C846" s="227"/>
      <c r="D846" s="227"/>
      <c r="E846" s="227"/>
      <c r="F846" s="227"/>
      <c r="G846" s="227"/>
      <c r="H846" s="227"/>
      <c r="I846" s="227"/>
      <c r="J846" s="227"/>
      <c r="K846" s="227"/>
      <c r="L846" s="227"/>
      <c r="M846" s="227"/>
      <c r="N846" s="227"/>
      <c r="O846" s="227"/>
      <c r="P846" s="227"/>
      <c r="Q846" s="227"/>
      <c r="R846" s="227"/>
      <c r="S846" s="227"/>
      <c r="T846" s="227"/>
      <c r="U846" s="227"/>
      <c r="V846" s="227"/>
      <c r="W846" s="227"/>
      <c r="X846" s="227"/>
      <c r="Y846" s="227"/>
      <c r="Z846" s="227"/>
      <c r="AA846" s="227"/>
      <c r="AB846" s="227"/>
      <c r="AC846" s="227"/>
      <c r="AD846" s="227"/>
      <c r="AE846" s="227"/>
    </row>
    <row r="847" ht="15.75" customHeight="1">
      <c r="A847" s="227"/>
      <c r="B847" s="227"/>
      <c r="C847" s="227"/>
      <c r="D847" s="227"/>
      <c r="E847" s="227"/>
      <c r="F847" s="227"/>
      <c r="G847" s="227"/>
      <c r="H847" s="227"/>
      <c r="I847" s="227"/>
      <c r="J847" s="227"/>
      <c r="K847" s="227"/>
      <c r="L847" s="227"/>
      <c r="M847" s="227"/>
      <c r="N847" s="227"/>
      <c r="O847" s="227"/>
      <c r="P847" s="227"/>
      <c r="Q847" s="227"/>
      <c r="R847" s="227"/>
      <c r="S847" s="227"/>
      <c r="T847" s="227"/>
      <c r="U847" s="227"/>
      <c r="V847" s="227"/>
      <c r="W847" s="227"/>
      <c r="X847" s="227"/>
      <c r="Y847" s="227"/>
      <c r="Z847" s="227"/>
      <c r="AA847" s="227"/>
      <c r="AB847" s="227"/>
      <c r="AC847" s="227"/>
      <c r="AD847" s="227"/>
      <c r="AE847" s="227"/>
    </row>
    <row r="848" ht="15.75" customHeight="1">
      <c r="A848" s="227"/>
      <c r="B848" s="227"/>
      <c r="C848" s="227"/>
      <c r="D848" s="227"/>
      <c r="E848" s="227"/>
      <c r="F848" s="227"/>
      <c r="G848" s="227"/>
      <c r="H848" s="227"/>
      <c r="I848" s="227"/>
      <c r="J848" s="227"/>
      <c r="K848" s="227"/>
      <c r="L848" s="227"/>
      <c r="M848" s="227"/>
      <c r="N848" s="227"/>
      <c r="O848" s="227"/>
      <c r="P848" s="227"/>
      <c r="Q848" s="227"/>
      <c r="R848" s="227"/>
      <c r="S848" s="227"/>
      <c r="T848" s="227"/>
      <c r="U848" s="227"/>
      <c r="V848" s="227"/>
      <c r="W848" s="227"/>
      <c r="X848" s="227"/>
      <c r="Y848" s="227"/>
      <c r="Z848" s="227"/>
      <c r="AA848" s="227"/>
      <c r="AB848" s="227"/>
      <c r="AC848" s="227"/>
      <c r="AD848" s="227"/>
      <c r="AE848" s="227"/>
    </row>
    <row r="849" ht="15.75" customHeight="1">
      <c r="A849" s="227"/>
      <c r="B849" s="227"/>
      <c r="C849" s="227"/>
      <c r="D849" s="227"/>
      <c r="E849" s="227"/>
      <c r="F849" s="227"/>
      <c r="G849" s="227"/>
      <c r="H849" s="227"/>
      <c r="I849" s="227"/>
      <c r="J849" s="227"/>
      <c r="K849" s="227"/>
      <c r="L849" s="227"/>
      <c r="M849" s="227"/>
      <c r="N849" s="227"/>
      <c r="O849" s="227"/>
      <c r="P849" s="227"/>
      <c r="Q849" s="227"/>
      <c r="R849" s="227"/>
      <c r="S849" s="227"/>
      <c r="T849" s="227"/>
      <c r="U849" s="227"/>
      <c r="V849" s="227"/>
      <c r="W849" s="227"/>
      <c r="X849" s="227"/>
      <c r="Y849" s="227"/>
      <c r="Z849" s="227"/>
      <c r="AA849" s="227"/>
      <c r="AB849" s="227"/>
      <c r="AC849" s="227"/>
      <c r="AD849" s="227"/>
      <c r="AE849" s="227"/>
    </row>
    <row r="850" ht="15.75" customHeight="1">
      <c r="A850" s="227"/>
      <c r="B850" s="227"/>
      <c r="C850" s="227"/>
      <c r="D850" s="227"/>
      <c r="E850" s="227"/>
      <c r="F850" s="227"/>
      <c r="G850" s="227"/>
      <c r="H850" s="227"/>
      <c r="I850" s="227"/>
      <c r="J850" s="227"/>
      <c r="K850" s="227"/>
      <c r="L850" s="227"/>
      <c r="M850" s="227"/>
      <c r="N850" s="227"/>
      <c r="O850" s="227"/>
      <c r="P850" s="227"/>
      <c r="Q850" s="227"/>
      <c r="R850" s="227"/>
      <c r="S850" s="227"/>
      <c r="T850" s="227"/>
      <c r="U850" s="227"/>
      <c r="V850" s="227"/>
      <c r="W850" s="227"/>
      <c r="X850" s="227"/>
      <c r="Y850" s="227"/>
      <c r="Z850" s="227"/>
      <c r="AA850" s="227"/>
      <c r="AB850" s="227"/>
      <c r="AC850" s="227"/>
      <c r="AD850" s="227"/>
      <c r="AE850" s="227"/>
    </row>
    <row r="851" ht="15.75" customHeight="1">
      <c r="A851" s="227"/>
      <c r="B851" s="227"/>
      <c r="C851" s="227"/>
      <c r="D851" s="227"/>
      <c r="E851" s="227"/>
      <c r="F851" s="227"/>
      <c r="G851" s="227"/>
      <c r="H851" s="227"/>
      <c r="I851" s="227"/>
      <c r="J851" s="227"/>
      <c r="K851" s="227"/>
      <c r="L851" s="227"/>
      <c r="M851" s="227"/>
      <c r="N851" s="227"/>
      <c r="O851" s="227"/>
      <c r="P851" s="227"/>
      <c r="Q851" s="227"/>
      <c r="R851" s="227"/>
      <c r="S851" s="227"/>
      <c r="T851" s="227"/>
      <c r="U851" s="227"/>
      <c r="V851" s="227"/>
      <c r="W851" s="227"/>
      <c r="X851" s="227"/>
      <c r="Y851" s="227"/>
      <c r="Z851" s="227"/>
      <c r="AA851" s="227"/>
      <c r="AB851" s="227"/>
      <c r="AC851" s="227"/>
      <c r="AD851" s="227"/>
      <c r="AE851" s="227"/>
    </row>
    <row r="852" ht="15.75" customHeight="1">
      <c r="A852" s="227"/>
      <c r="B852" s="227"/>
      <c r="C852" s="227"/>
      <c r="D852" s="227"/>
      <c r="E852" s="227"/>
      <c r="F852" s="227"/>
      <c r="G852" s="227"/>
      <c r="H852" s="227"/>
      <c r="I852" s="227"/>
      <c r="J852" s="227"/>
      <c r="K852" s="227"/>
      <c r="L852" s="227"/>
      <c r="M852" s="227"/>
      <c r="N852" s="227"/>
      <c r="O852" s="227"/>
      <c r="P852" s="227"/>
      <c r="Q852" s="227"/>
      <c r="R852" s="227"/>
      <c r="S852" s="227"/>
      <c r="T852" s="227"/>
      <c r="U852" s="227"/>
      <c r="V852" s="227"/>
      <c r="W852" s="227"/>
      <c r="X852" s="227"/>
      <c r="Y852" s="227"/>
      <c r="Z852" s="227"/>
      <c r="AA852" s="227"/>
      <c r="AB852" s="227"/>
      <c r="AC852" s="227"/>
      <c r="AD852" s="227"/>
      <c r="AE852" s="227"/>
    </row>
    <row r="853" ht="15.75" customHeight="1">
      <c r="A853" s="227"/>
      <c r="B853" s="227"/>
      <c r="C853" s="227"/>
      <c r="D853" s="227"/>
      <c r="E853" s="227"/>
      <c r="F853" s="227"/>
      <c r="G853" s="227"/>
      <c r="H853" s="227"/>
      <c r="I853" s="227"/>
      <c r="J853" s="227"/>
      <c r="K853" s="227"/>
      <c r="L853" s="227"/>
      <c r="M853" s="227"/>
      <c r="N853" s="227"/>
      <c r="O853" s="227"/>
      <c r="P853" s="227"/>
      <c r="Q853" s="227"/>
      <c r="R853" s="227"/>
      <c r="S853" s="227"/>
      <c r="T853" s="227"/>
      <c r="U853" s="227"/>
      <c r="V853" s="227"/>
      <c r="W853" s="227"/>
      <c r="X853" s="227"/>
      <c r="Y853" s="227"/>
      <c r="Z853" s="227"/>
      <c r="AA853" s="227"/>
      <c r="AB853" s="227"/>
      <c r="AC853" s="227"/>
      <c r="AD853" s="227"/>
      <c r="AE853" s="227"/>
    </row>
    <row r="854" ht="15.75" customHeight="1">
      <c r="A854" s="227"/>
      <c r="B854" s="227"/>
      <c r="C854" s="227"/>
      <c r="D854" s="227"/>
      <c r="E854" s="227"/>
      <c r="F854" s="227"/>
      <c r="G854" s="227"/>
      <c r="H854" s="227"/>
      <c r="I854" s="227"/>
      <c r="J854" s="227"/>
      <c r="K854" s="227"/>
      <c r="L854" s="227"/>
      <c r="M854" s="227"/>
      <c r="N854" s="227"/>
      <c r="O854" s="227"/>
      <c r="P854" s="227"/>
      <c r="Q854" s="227"/>
      <c r="R854" s="227"/>
      <c r="S854" s="227"/>
      <c r="T854" s="227"/>
      <c r="U854" s="227"/>
      <c r="V854" s="227"/>
      <c r="W854" s="227"/>
      <c r="X854" s="227"/>
      <c r="Y854" s="227"/>
      <c r="Z854" s="227"/>
      <c r="AA854" s="227"/>
      <c r="AB854" s="227"/>
      <c r="AC854" s="227"/>
      <c r="AD854" s="227"/>
      <c r="AE854" s="227"/>
    </row>
    <row r="855" ht="15.75" customHeight="1">
      <c r="A855" s="227"/>
      <c r="B855" s="227"/>
      <c r="C855" s="227"/>
      <c r="D855" s="227"/>
      <c r="E855" s="227"/>
      <c r="F855" s="227"/>
      <c r="G855" s="227"/>
      <c r="H855" s="227"/>
      <c r="I855" s="227"/>
      <c r="J855" s="227"/>
      <c r="K855" s="227"/>
      <c r="L855" s="227"/>
      <c r="M855" s="227"/>
      <c r="N855" s="227"/>
      <c r="O855" s="227"/>
      <c r="P855" s="227"/>
      <c r="Q855" s="227"/>
      <c r="R855" s="227"/>
      <c r="S855" s="227"/>
      <c r="T855" s="227"/>
      <c r="U855" s="227"/>
      <c r="V855" s="227"/>
      <c r="W855" s="227"/>
      <c r="X855" s="227"/>
      <c r="Y855" s="227"/>
      <c r="Z855" s="227"/>
      <c r="AA855" s="227"/>
      <c r="AB855" s="227"/>
      <c r="AC855" s="227"/>
      <c r="AD855" s="227"/>
      <c r="AE855" s="227"/>
    </row>
    <row r="856" ht="15.75" customHeight="1">
      <c r="A856" s="227"/>
      <c r="B856" s="227"/>
      <c r="C856" s="227"/>
      <c r="D856" s="227"/>
      <c r="E856" s="227"/>
      <c r="F856" s="227"/>
      <c r="G856" s="227"/>
      <c r="H856" s="227"/>
      <c r="I856" s="227"/>
      <c r="J856" s="227"/>
      <c r="K856" s="227"/>
      <c r="L856" s="227"/>
      <c r="M856" s="227"/>
      <c r="N856" s="227"/>
      <c r="O856" s="227"/>
      <c r="P856" s="227"/>
      <c r="Q856" s="227"/>
      <c r="R856" s="227"/>
      <c r="S856" s="227"/>
      <c r="T856" s="227"/>
      <c r="U856" s="227"/>
      <c r="V856" s="227"/>
      <c r="W856" s="227"/>
      <c r="X856" s="227"/>
      <c r="Y856" s="227"/>
      <c r="Z856" s="227"/>
      <c r="AA856" s="227"/>
      <c r="AB856" s="227"/>
      <c r="AC856" s="227"/>
      <c r="AD856" s="227"/>
      <c r="AE856" s="227"/>
    </row>
    <row r="857" ht="15.75" customHeight="1">
      <c r="A857" s="227"/>
      <c r="B857" s="227"/>
      <c r="C857" s="227"/>
      <c r="D857" s="227"/>
      <c r="E857" s="227"/>
      <c r="F857" s="227"/>
      <c r="G857" s="227"/>
      <c r="H857" s="227"/>
      <c r="I857" s="227"/>
      <c r="J857" s="227"/>
      <c r="K857" s="227"/>
      <c r="L857" s="227"/>
      <c r="M857" s="227"/>
      <c r="N857" s="227"/>
      <c r="O857" s="227"/>
      <c r="P857" s="227"/>
      <c r="Q857" s="227"/>
      <c r="R857" s="227"/>
      <c r="S857" s="227"/>
      <c r="T857" s="227"/>
      <c r="U857" s="227"/>
      <c r="V857" s="227"/>
      <c r="W857" s="227"/>
      <c r="X857" s="227"/>
      <c r="Y857" s="227"/>
      <c r="Z857" s="227"/>
      <c r="AA857" s="227"/>
      <c r="AB857" s="227"/>
      <c r="AC857" s="227"/>
      <c r="AD857" s="227"/>
      <c r="AE857" s="227"/>
    </row>
    <row r="858" ht="15.75" customHeight="1">
      <c r="A858" s="227"/>
      <c r="B858" s="227"/>
      <c r="C858" s="227"/>
      <c r="D858" s="227"/>
      <c r="E858" s="227"/>
      <c r="F858" s="227"/>
      <c r="G858" s="227"/>
      <c r="H858" s="227"/>
      <c r="I858" s="227"/>
      <c r="J858" s="227"/>
      <c r="K858" s="227"/>
      <c r="L858" s="227"/>
      <c r="M858" s="227"/>
      <c r="N858" s="227"/>
      <c r="O858" s="227"/>
      <c r="P858" s="227"/>
      <c r="Q858" s="227"/>
      <c r="R858" s="227"/>
      <c r="S858" s="227"/>
      <c r="T858" s="227"/>
      <c r="U858" s="227"/>
      <c r="V858" s="227"/>
      <c r="W858" s="227"/>
      <c r="X858" s="227"/>
      <c r="Y858" s="227"/>
      <c r="Z858" s="227"/>
      <c r="AA858" s="227"/>
      <c r="AB858" s="227"/>
      <c r="AC858" s="227"/>
      <c r="AD858" s="227"/>
      <c r="AE858" s="227"/>
    </row>
    <row r="859" ht="15.75" customHeight="1">
      <c r="A859" s="227"/>
      <c r="B859" s="227"/>
      <c r="C859" s="227"/>
      <c r="D859" s="227"/>
      <c r="E859" s="227"/>
      <c r="F859" s="227"/>
      <c r="G859" s="227"/>
      <c r="H859" s="227"/>
      <c r="I859" s="227"/>
      <c r="J859" s="227"/>
      <c r="K859" s="227"/>
      <c r="L859" s="227"/>
      <c r="M859" s="227"/>
      <c r="N859" s="227"/>
      <c r="O859" s="227"/>
      <c r="P859" s="227"/>
      <c r="Q859" s="227"/>
      <c r="R859" s="227"/>
      <c r="S859" s="227"/>
      <c r="T859" s="227"/>
      <c r="U859" s="227"/>
      <c r="V859" s="227"/>
      <c r="W859" s="227"/>
      <c r="X859" s="227"/>
      <c r="Y859" s="227"/>
      <c r="Z859" s="227"/>
      <c r="AA859" s="227"/>
      <c r="AB859" s="227"/>
      <c r="AC859" s="227"/>
      <c r="AD859" s="227"/>
      <c r="AE859" s="227"/>
    </row>
    <row r="860" ht="15.75" customHeight="1">
      <c r="A860" s="227"/>
      <c r="B860" s="227"/>
      <c r="C860" s="227"/>
      <c r="D860" s="227"/>
      <c r="E860" s="227"/>
      <c r="F860" s="227"/>
      <c r="G860" s="227"/>
      <c r="H860" s="227"/>
      <c r="I860" s="227"/>
      <c r="J860" s="227"/>
      <c r="K860" s="227"/>
      <c r="L860" s="227"/>
      <c r="M860" s="227"/>
      <c r="N860" s="227"/>
      <c r="O860" s="227"/>
      <c r="P860" s="227"/>
      <c r="Q860" s="227"/>
      <c r="R860" s="227"/>
      <c r="S860" s="227"/>
      <c r="T860" s="227"/>
      <c r="U860" s="227"/>
      <c r="V860" s="227"/>
      <c r="W860" s="227"/>
      <c r="X860" s="227"/>
      <c r="Y860" s="227"/>
      <c r="Z860" s="227"/>
      <c r="AA860" s="227"/>
      <c r="AB860" s="227"/>
      <c r="AC860" s="227"/>
      <c r="AD860" s="227"/>
      <c r="AE860" s="227"/>
    </row>
    <row r="861" ht="15.75" customHeight="1">
      <c r="A861" s="227"/>
      <c r="B861" s="227"/>
      <c r="C861" s="227"/>
      <c r="D861" s="227"/>
      <c r="E861" s="227"/>
      <c r="F861" s="227"/>
      <c r="G861" s="227"/>
      <c r="H861" s="227"/>
      <c r="I861" s="227"/>
      <c r="J861" s="227"/>
      <c r="K861" s="227"/>
      <c r="L861" s="227"/>
      <c r="M861" s="227"/>
      <c r="N861" s="227"/>
      <c r="O861" s="227"/>
      <c r="P861" s="227"/>
      <c r="Q861" s="227"/>
      <c r="R861" s="227"/>
      <c r="S861" s="227"/>
      <c r="T861" s="227"/>
      <c r="U861" s="227"/>
      <c r="V861" s="227"/>
      <c r="W861" s="227"/>
      <c r="X861" s="227"/>
      <c r="Y861" s="227"/>
      <c r="Z861" s="227"/>
      <c r="AA861" s="227"/>
      <c r="AB861" s="227"/>
      <c r="AC861" s="227"/>
      <c r="AD861" s="227"/>
      <c r="AE861" s="227"/>
    </row>
    <row r="862" ht="15.75" customHeight="1">
      <c r="A862" s="227"/>
      <c r="B862" s="227"/>
      <c r="C862" s="227"/>
      <c r="D862" s="227"/>
      <c r="E862" s="227"/>
      <c r="F862" s="227"/>
      <c r="G862" s="227"/>
      <c r="H862" s="227"/>
      <c r="I862" s="227"/>
      <c r="J862" s="227"/>
      <c r="K862" s="227"/>
      <c r="L862" s="227"/>
      <c r="M862" s="227"/>
      <c r="N862" s="227"/>
      <c r="O862" s="227"/>
      <c r="P862" s="227"/>
      <c r="Q862" s="227"/>
      <c r="R862" s="227"/>
      <c r="S862" s="227"/>
      <c r="T862" s="227"/>
      <c r="U862" s="227"/>
      <c r="V862" s="227"/>
      <c r="W862" s="227"/>
      <c r="X862" s="227"/>
      <c r="Y862" s="227"/>
      <c r="Z862" s="227"/>
      <c r="AA862" s="227"/>
      <c r="AB862" s="227"/>
      <c r="AC862" s="227"/>
      <c r="AD862" s="227"/>
      <c r="AE862" s="227"/>
    </row>
    <row r="863" ht="15.75" customHeight="1">
      <c r="A863" s="227"/>
      <c r="B863" s="227"/>
      <c r="C863" s="227"/>
      <c r="D863" s="227"/>
      <c r="E863" s="227"/>
      <c r="F863" s="227"/>
      <c r="G863" s="227"/>
      <c r="H863" s="227"/>
      <c r="I863" s="227"/>
      <c r="J863" s="227"/>
      <c r="K863" s="227"/>
      <c r="L863" s="227"/>
      <c r="M863" s="227"/>
      <c r="N863" s="227"/>
      <c r="O863" s="227"/>
      <c r="P863" s="227"/>
      <c r="Q863" s="227"/>
      <c r="R863" s="227"/>
      <c r="S863" s="227"/>
      <c r="T863" s="227"/>
      <c r="U863" s="227"/>
      <c r="V863" s="227"/>
      <c r="W863" s="227"/>
      <c r="X863" s="227"/>
      <c r="Y863" s="227"/>
      <c r="Z863" s="227"/>
      <c r="AA863" s="227"/>
      <c r="AB863" s="227"/>
      <c r="AC863" s="227"/>
      <c r="AD863" s="227"/>
      <c r="AE863" s="227"/>
    </row>
    <row r="864" ht="15.75" customHeight="1">
      <c r="A864" s="227"/>
      <c r="B864" s="227"/>
      <c r="C864" s="227"/>
      <c r="D864" s="227"/>
      <c r="E864" s="227"/>
      <c r="F864" s="227"/>
      <c r="G864" s="227"/>
      <c r="H864" s="227"/>
      <c r="I864" s="227"/>
      <c r="J864" s="227"/>
      <c r="K864" s="227"/>
      <c r="L864" s="227"/>
      <c r="M864" s="227"/>
      <c r="N864" s="227"/>
      <c r="O864" s="227"/>
      <c r="P864" s="227"/>
      <c r="Q864" s="227"/>
      <c r="R864" s="227"/>
      <c r="S864" s="227"/>
      <c r="T864" s="227"/>
      <c r="U864" s="227"/>
      <c r="V864" s="227"/>
      <c r="W864" s="227"/>
      <c r="X864" s="227"/>
      <c r="Y864" s="227"/>
      <c r="Z864" s="227"/>
      <c r="AA864" s="227"/>
      <c r="AB864" s="227"/>
      <c r="AC864" s="227"/>
      <c r="AD864" s="227"/>
      <c r="AE864" s="227"/>
    </row>
    <row r="865" ht="15.75" customHeight="1">
      <c r="A865" s="227"/>
      <c r="B865" s="227"/>
      <c r="C865" s="227"/>
      <c r="D865" s="227"/>
      <c r="E865" s="227"/>
      <c r="F865" s="227"/>
      <c r="G865" s="227"/>
      <c r="H865" s="227"/>
      <c r="I865" s="227"/>
      <c r="J865" s="227"/>
      <c r="K865" s="227"/>
      <c r="L865" s="227"/>
      <c r="M865" s="227"/>
      <c r="N865" s="227"/>
      <c r="O865" s="227"/>
      <c r="P865" s="227"/>
      <c r="Q865" s="227"/>
      <c r="R865" s="227"/>
      <c r="S865" s="227"/>
      <c r="T865" s="227"/>
      <c r="U865" s="227"/>
      <c r="V865" s="227"/>
      <c r="W865" s="227"/>
      <c r="X865" s="227"/>
      <c r="Y865" s="227"/>
      <c r="Z865" s="227"/>
      <c r="AA865" s="227"/>
      <c r="AB865" s="227"/>
      <c r="AC865" s="227"/>
      <c r="AD865" s="227"/>
      <c r="AE865" s="227"/>
    </row>
    <row r="866" ht="15.75" customHeight="1">
      <c r="A866" s="227"/>
      <c r="B866" s="227"/>
      <c r="C866" s="227"/>
      <c r="D866" s="227"/>
      <c r="E866" s="227"/>
      <c r="F866" s="227"/>
      <c r="G866" s="227"/>
      <c r="H866" s="227"/>
      <c r="I866" s="227"/>
      <c r="J866" s="227"/>
      <c r="K866" s="227"/>
      <c r="L866" s="227"/>
      <c r="M866" s="227"/>
      <c r="N866" s="227"/>
      <c r="O866" s="227"/>
      <c r="P866" s="227"/>
      <c r="Q866" s="227"/>
      <c r="R866" s="227"/>
      <c r="S866" s="227"/>
      <c r="T866" s="227"/>
      <c r="U866" s="227"/>
      <c r="V866" s="227"/>
      <c r="W866" s="227"/>
      <c r="X866" s="227"/>
      <c r="Y866" s="227"/>
      <c r="Z866" s="227"/>
      <c r="AA866" s="227"/>
      <c r="AB866" s="227"/>
      <c r="AC866" s="227"/>
      <c r="AD866" s="227"/>
      <c r="AE866" s="227"/>
    </row>
    <row r="867" ht="15.75" customHeight="1">
      <c r="A867" s="227"/>
      <c r="B867" s="227"/>
      <c r="C867" s="227"/>
      <c r="D867" s="227"/>
      <c r="E867" s="227"/>
      <c r="F867" s="227"/>
      <c r="G867" s="227"/>
      <c r="H867" s="227"/>
      <c r="I867" s="227"/>
      <c r="J867" s="227"/>
      <c r="K867" s="227"/>
      <c r="L867" s="227"/>
      <c r="M867" s="227"/>
      <c r="N867" s="227"/>
      <c r="O867" s="227"/>
      <c r="P867" s="227"/>
      <c r="Q867" s="227"/>
      <c r="R867" s="227"/>
      <c r="S867" s="227"/>
      <c r="T867" s="227"/>
      <c r="U867" s="227"/>
      <c r="V867" s="227"/>
      <c r="W867" s="227"/>
      <c r="X867" s="227"/>
      <c r="Y867" s="227"/>
      <c r="Z867" s="227"/>
      <c r="AA867" s="227"/>
      <c r="AB867" s="227"/>
      <c r="AC867" s="227"/>
      <c r="AD867" s="227"/>
      <c r="AE867" s="227"/>
    </row>
    <row r="868" ht="15.75" customHeight="1">
      <c r="A868" s="227"/>
      <c r="B868" s="227"/>
      <c r="C868" s="227"/>
      <c r="D868" s="227"/>
      <c r="E868" s="227"/>
      <c r="F868" s="227"/>
      <c r="G868" s="227"/>
      <c r="H868" s="227"/>
      <c r="I868" s="227"/>
      <c r="J868" s="227"/>
      <c r="K868" s="227"/>
      <c r="L868" s="227"/>
      <c r="M868" s="227"/>
      <c r="N868" s="227"/>
      <c r="O868" s="227"/>
      <c r="P868" s="227"/>
      <c r="Q868" s="227"/>
      <c r="R868" s="227"/>
      <c r="S868" s="227"/>
      <c r="T868" s="227"/>
      <c r="U868" s="227"/>
      <c r="V868" s="227"/>
      <c r="W868" s="227"/>
      <c r="X868" s="227"/>
      <c r="Y868" s="227"/>
      <c r="Z868" s="227"/>
      <c r="AA868" s="227"/>
      <c r="AB868" s="227"/>
      <c r="AC868" s="227"/>
      <c r="AD868" s="227"/>
      <c r="AE868" s="227"/>
    </row>
    <row r="869" ht="15.75" customHeight="1">
      <c r="A869" s="227"/>
      <c r="B869" s="227"/>
      <c r="C869" s="227"/>
      <c r="D869" s="227"/>
      <c r="E869" s="227"/>
      <c r="F869" s="227"/>
      <c r="G869" s="227"/>
      <c r="H869" s="227"/>
      <c r="I869" s="227"/>
      <c r="J869" s="227"/>
      <c r="K869" s="227"/>
      <c r="L869" s="227"/>
      <c r="M869" s="227"/>
      <c r="N869" s="227"/>
      <c r="O869" s="227"/>
      <c r="P869" s="227"/>
      <c r="Q869" s="227"/>
      <c r="R869" s="227"/>
      <c r="S869" s="227"/>
      <c r="T869" s="227"/>
      <c r="U869" s="227"/>
      <c r="V869" s="227"/>
      <c r="W869" s="227"/>
      <c r="X869" s="227"/>
      <c r="Y869" s="227"/>
      <c r="Z869" s="227"/>
      <c r="AA869" s="227"/>
      <c r="AB869" s="227"/>
      <c r="AC869" s="227"/>
      <c r="AD869" s="227"/>
      <c r="AE869" s="227"/>
    </row>
    <row r="870" ht="15.75" customHeight="1">
      <c r="A870" s="227"/>
      <c r="B870" s="227"/>
      <c r="C870" s="227"/>
      <c r="D870" s="227"/>
      <c r="E870" s="227"/>
      <c r="F870" s="227"/>
      <c r="G870" s="227"/>
      <c r="H870" s="227"/>
      <c r="I870" s="227"/>
      <c r="J870" s="227"/>
      <c r="K870" s="227"/>
      <c r="L870" s="227"/>
      <c r="M870" s="227"/>
      <c r="N870" s="227"/>
      <c r="O870" s="227"/>
      <c r="P870" s="227"/>
      <c r="Q870" s="227"/>
      <c r="R870" s="227"/>
      <c r="S870" s="227"/>
      <c r="T870" s="227"/>
      <c r="U870" s="227"/>
      <c r="V870" s="227"/>
      <c r="W870" s="227"/>
      <c r="X870" s="227"/>
      <c r="Y870" s="227"/>
      <c r="Z870" s="227"/>
      <c r="AA870" s="227"/>
      <c r="AB870" s="227"/>
      <c r="AC870" s="227"/>
      <c r="AD870" s="227"/>
      <c r="AE870" s="227"/>
    </row>
    <row r="871" ht="15.75" customHeight="1">
      <c r="A871" s="227"/>
      <c r="B871" s="227"/>
      <c r="C871" s="227"/>
      <c r="D871" s="227"/>
      <c r="E871" s="227"/>
      <c r="F871" s="227"/>
      <c r="G871" s="227"/>
      <c r="H871" s="227"/>
      <c r="I871" s="227"/>
      <c r="J871" s="227"/>
      <c r="K871" s="227"/>
      <c r="L871" s="227"/>
      <c r="M871" s="227"/>
      <c r="N871" s="227"/>
      <c r="O871" s="227"/>
      <c r="P871" s="227"/>
      <c r="Q871" s="227"/>
      <c r="R871" s="227"/>
      <c r="S871" s="227"/>
      <c r="T871" s="227"/>
      <c r="U871" s="227"/>
      <c r="V871" s="227"/>
      <c r="W871" s="227"/>
      <c r="X871" s="227"/>
      <c r="Y871" s="227"/>
      <c r="Z871" s="227"/>
      <c r="AA871" s="227"/>
      <c r="AB871" s="227"/>
      <c r="AC871" s="227"/>
      <c r="AD871" s="227"/>
      <c r="AE871" s="227"/>
    </row>
    <row r="872" ht="15.75" customHeight="1">
      <c r="A872" s="227"/>
      <c r="B872" s="227"/>
      <c r="C872" s="227"/>
      <c r="D872" s="227"/>
      <c r="E872" s="227"/>
      <c r="F872" s="227"/>
      <c r="G872" s="227"/>
      <c r="H872" s="227"/>
      <c r="I872" s="227"/>
      <c r="J872" s="227"/>
      <c r="K872" s="227"/>
      <c r="L872" s="227"/>
      <c r="M872" s="227"/>
      <c r="N872" s="227"/>
      <c r="O872" s="227"/>
      <c r="P872" s="227"/>
      <c r="Q872" s="227"/>
      <c r="R872" s="227"/>
      <c r="S872" s="227"/>
      <c r="T872" s="227"/>
      <c r="U872" s="227"/>
      <c r="V872" s="227"/>
      <c r="W872" s="227"/>
      <c r="X872" s="227"/>
      <c r="Y872" s="227"/>
      <c r="Z872" s="227"/>
      <c r="AA872" s="227"/>
      <c r="AB872" s="227"/>
      <c r="AC872" s="227"/>
      <c r="AD872" s="227"/>
      <c r="AE872" s="227"/>
    </row>
    <row r="873" ht="15.75" customHeight="1">
      <c r="A873" s="227"/>
      <c r="B873" s="227"/>
      <c r="C873" s="227"/>
      <c r="D873" s="227"/>
      <c r="E873" s="227"/>
      <c r="F873" s="227"/>
      <c r="G873" s="227"/>
      <c r="H873" s="227"/>
      <c r="I873" s="227"/>
      <c r="J873" s="227"/>
      <c r="K873" s="227"/>
      <c r="L873" s="227"/>
      <c r="M873" s="227"/>
      <c r="N873" s="227"/>
      <c r="O873" s="227"/>
      <c r="P873" s="227"/>
      <c r="Q873" s="227"/>
      <c r="R873" s="227"/>
      <c r="S873" s="227"/>
      <c r="T873" s="227"/>
      <c r="U873" s="227"/>
      <c r="V873" s="227"/>
      <c r="W873" s="227"/>
      <c r="X873" s="227"/>
      <c r="Y873" s="227"/>
      <c r="Z873" s="227"/>
      <c r="AA873" s="227"/>
      <c r="AB873" s="227"/>
      <c r="AC873" s="227"/>
      <c r="AD873" s="227"/>
      <c r="AE873" s="227"/>
    </row>
    <row r="874" ht="15.75" customHeight="1">
      <c r="A874" s="227"/>
      <c r="B874" s="227"/>
      <c r="C874" s="227"/>
      <c r="D874" s="227"/>
      <c r="E874" s="227"/>
      <c r="F874" s="227"/>
      <c r="G874" s="227"/>
      <c r="H874" s="227"/>
      <c r="I874" s="227"/>
      <c r="J874" s="227"/>
      <c r="K874" s="227"/>
      <c r="L874" s="227"/>
      <c r="M874" s="227"/>
      <c r="N874" s="227"/>
      <c r="O874" s="227"/>
      <c r="P874" s="227"/>
      <c r="Q874" s="227"/>
      <c r="R874" s="227"/>
      <c r="S874" s="227"/>
      <c r="T874" s="227"/>
      <c r="U874" s="227"/>
      <c r="V874" s="227"/>
      <c r="W874" s="227"/>
      <c r="X874" s="227"/>
      <c r="Y874" s="227"/>
      <c r="Z874" s="227"/>
      <c r="AA874" s="227"/>
      <c r="AB874" s="227"/>
      <c r="AC874" s="227"/>
      <c r="AD874" s="227"/>
      <c r="AE874" s="227"/>
    </row>
    <row r="875" ht="15.75" customHeight="1">
      <c r="A875" s="227"/>
      <c r="B875" s="227"/>
      <c r="C875" s="227"/>
      <c r="D875" s="227"/>
      <c r="E875" s="227"/>
      <c r="F875" s="227"/>
      <c r="G875" s="227"/>
      <c r="H875" s="227"/>
      <c r="I875" s="227"/>
      <c r="J875" s="227"/>
      <c r="K875" s="227"/>
      <c r="L875" s="227"/>
      <c r="M875" s="227"/>
      <c r="N875" s="227"/>
      <c r="O875" s="227"/>
      <c r="P875" s="227"/>
      <c r="Q875" s="227"/>
      <c r="R875" s="227"/>
      <c r="S875" s="227"/>
      <c r="T875" s="227"/>
      <c r="U875" s="227"/>
      <c r="V875" s="227"/>
      <c r="W875" s="227"/>
      <c r="X875" s="227"/>
      <c r="Y875" s="227"/>
      <c r="Z875" s="227"/>
      <c r="AA875" s="227"/>
      <c r="AB875" s="227"/>
      <c r="AC875" s="227"/>
      <c r="AD875" s="227"/>
      <c r="AE875" s="227"/>
    </row>
    <row r="876" ht="15.75" customHeight="1">
      <c r="A876" s="227"/>
      <c r="B876" s="227"/>
      <c r="C876" s="227"/>
      <c r="D876" s="227"/>
      <c r="E876" s="227"/>
      <c r="F876" s="227"/>
      <c r="G876" s="227"/>
      <c r="H876" s="227"/>
      <c r="I876" s="227"/>
      <c r="J876" s="227"/>
      <c r="K876" s="227"/>
      <c r="L876" s="227"/>
      <c r="M876" s="227"/>
      <c r="N876" s="227"/>
      <c r="O876" s="227"/>
      <c r="P876" s="227"/>
      <c r="Q876" s="227"/>
      <c r="R876" s="227"/>
      <c r="S876" s="227"/>
      <c r="T876" s="227"/>
      <c r="U876" s="227"/>
      <c r="V876" s="227"/>
      <c r="W876" s="227"/>
      <c r="X876" s="227"/>
      <c r="Y876" s="227"/>
      <c r="Z876" s="227"/>
      <c r="AA876" s="227"/>
      <c r="AB876" s="227"/>
      <c r="AC876" s="227"/>
      <c r="AD876" s="227"/>
      <c r="AE876" s="227"/>
    </row>
    <row r="877" ht="15.75" customHeight="1">
      <c r="A877" s="227"/>
      <c r="B877" s="227"/>
      <c r="C877" s="227"/>
      <c r="D877" s="227"/>
      <c r="E877" s="227"/>
      <c r="F877" s="227"/>
      <c r="G877" s="227"/>
      <c r="H877" s="227"/>
      <c r="I877" s="227"/>
      <c r="J877" s="227"/>
      <c r="K877" s="227"/>
      <c r="L877" s="227"/>
      <c r="M877" s="227"/>
      <c r="N877" s="227"/>
      <c r="O877" s="227"/>
      <c r="P877" s="227"/>
      <c r="Q877" s="227"/>
      <c r="R877" s="227"/>
      <c r="S877" s="227"/>
      <c r="T877" s="227"/>
      <c r="U877" s="227"/>
      <c r="V877" s="227"/>
      <c r="W877" s="227"/>
      <c r="X877" s="227"/>
      <c r="Y877" s="227"/>
      <c r="Z877" s="227"/>
      <c r="AA877" s="227"/>
      <c r="AB877" s="227"/>
      <c r="AC877" s="227"/>
      <c r="AD877" s="227"/>
      <c r="AE877" s="227"/>
    </row>
    <row r="878" ht="15.75" customHeight="1">
      <c r="A878" s="227"/>
      <c r="B878" s="227"/>
      <c r="C878" s="227"/>
      <c r="D878" s="227"/>
      <c r="E878" s="227"/>
      <c r="F878" s="227"/>
      <c r="G878" s="227"/>
      <c r="H878" s="227"/>
      <c r="I878" s="227"/>
      <c r="J878" s="227"/>
      <c r="K878" s="227"/>
      <c r="L878" s="227"/>
      <c r="M878" s="227"/>
      <c r="N878" s="227"/>
      <c r="O878" s="227"/>
      <c r="P878" s="227"/>
      <c r="Q878" s="227"/>
      <c r="R878" s="227"/>
      <c r="S878" s="227"/>
      <c r="T878" s="227"/>
      <c r="U878" s="227"/>
      <c r="V878" s="227"/>
      <c r="W878" s="227"/>
      <c r="X878" s="227"/>
      <c r="Y878" s="227"/>
      <c r="Z878" s="227"/>
      <c r="AA878" s="227"/>
      <c r="AB878" s="227"/>
      <c r="AC878" s="227"/>
      <c r="AD878" s="227"/>
      <c r="AE878" s="227"/>
    </row>
    <row r="879" ht="15.75" customHeight="1">
      <c r="A879" s="227"/>
      <c r="B879" s="227"/>
      <c r="C879" s="227"/>
      <c r="D879" s="227"/>
      <c r="E879" s="227"/>
      <c r="F879" s="227"/>
      <c r="G879" s="227"/>
      <c r="H879" s="227"/>
      <c r="I879" s="227"/>
      <c r="J879" s="227"/>
      <c r="K879" s="227"/>
      <c r="L879" s="227"/>
      <c r="M879" s="227"/>
      <c r="N879" s="227"/>
      <c r="O879" s="227"/>
      <c r="P879" s="227"/>
      <c r="Q879" s="227"/>
      <c r="R879" s="227"/>
      <c r="S879" s="227"/>
      <c r="T879" s="227"/>
      <c r="U879" s="227"/>
      <c r="V879" s="227"/>
      <c r="W879" s="227"/>
      <c r="X879" s="227"/>
      <c r="Y879" s="227"/>
      <c r="Z879" s="227"/>
      <c r="AA879" s="227"/>
      <c r="AB879" s="227"/>
      <c r="AC879" s="227"/>
      <c r="AD879" s="227"/>
      <c r="AE879" s="227"/>
    </row>
    <row r="880" ht="15.75" customHeight="1">
      <c r="A880" s="227"/>
      <c r="B880" s="227"/>
      <c r="C880" s="227"/>
      <c r="D880" s="227"/>
      <c r="E880" s="227"/>
      <c r="F880" s="227"/>
      <c r="G880" s="227"/>
      <c r="H880" s="227"/>
      <c r="I880" s="227"/>
      <c r="J880" s="227"/>
      <c r="K880" s="227"/>
      <c r="L880" s="227"/>
      <c r="M880" s="227"/>
      <c r="N880" s="227"/>
      <c r="O880" s="227"/>
      <c r="P880" s="227"/>
      <c r="Q880" s="227"/>
      <c r="R880" s="227"/>
      <c r="S880" s="227"/>
      <c r="T880" s="227"/>
      <c r="U880" s="227"/>
      <c r="V880" s="227"/>
      <c r="W880" s="227"/>
      <c r="X880" s="227"/>
      <c r="Y880" s="227"/>
      <c r="Z880" s="227"/>
      <c r="AA880" s="227"/>
      <c r="AB880" s="227"/>
      <c r="AC880" s="227"/>
      <c r="AD880" s="227"/>
      <c r="AE880" s="227"/>
    </row>
    <row r="881" ht="15.75" customHeight="1">
      <c r="A881" s="227"/>
      <c r="B881" s="227"/>
      <c r="C881" s="227"/>
      <c r="D881" s="227"/>
      <c r="E881" s="227"/>
      <c r="F881" s="227"/>
      <c r="G881" s="227"/>
      <c r="H881" s="227"/>
      <c r="I881" s="227"/>
      <c r="J881" s="227"/>
      <c r="K881" s="227"/>
      <c r="L881" s="227"/>
      <c r="M881" s="227"/>
      <c r="N881" s="227"/>
      <c r="O881" s="227"/>
      <c r="P881" s="227"/>
      <c r="Q881" s="227"/>
      <c r="R881" s="227"/>
      <c r="S881" s="227"/>
      <c r="T881" s="227"/>
      <c r="U881" s="227"/>
      <c r="V881" s="227"/>
      <c r="W881" s="227"/>
      <c r="X881" s="227"/>
      <c r="Y881" s="227"/>
      <c r="Z881" s="227"/>
      <c r="AA881" s="227"/>
      <c r="AB881" s="227"/>
      <c r="AC881" s="227"/>
      <c r="AD881" s="227"/>
      <c r="AE881" s="227"/>
    </row>
    <row r="882" ht="15.75" customHeight="1">
      <c r="A882" s="227"/>
      <c r="B882" s="227"/>
      <c r="C882" s="227"/>
      <c r="D882" s="227"/>
      <c r="E882" s="227"/>
      <c r="F882" s="227"/>
      <c r="G882" s="227"/>
      <c r="H882" s="227"/>
      <c r="I882" s="227"/>
      <c r="J882" s="227"/>
      <c r="K882" s="227"/>
      <c r="L882" s="227"/>
      <c r="M882" s="227"/>
      <c r="N882" s="227"/>
      <c r="O882" s="227"/>
      <c r="P882" s="227"/>
      <c r="Q882" s="227"/>
      <c r="R882" s="227"/>
      <c r="S882" s="227"/>
      <c r="T882" s="227"/>
      <c r="U882" s="227"/>
      <c r="V882" s="227"/>
      <c r="W882" s="227"/>
      <c r="X882" s="227"/>
      <c r="Y882" s="227"/>
      <c r="Z882" s="227"/>
      <c r="AA882" s="227"/>
      <c r="AB882" s="227"/>
      <c r="AC882" s="227"/>
      <c r="AD882" s="227"/>
      <c r="AE882" s="227"/>
    </row>
    <row r="883" ht="15.75" customHeight="1">
      <c r="A883" s="227"/>
      <c r="B883" s="227"/>
      <c r="C883" s="227"/>
      <c r="D883" s="227"/>
      <c r="E883" s="227"/>
      <c r="F883" s="227"/>
      <c r="G883" s="227"/>
      <c r="H883" s="227"/>
      <c r="I883" s="227"/>
      <c r="J883" s="227"/>
      <c r="K883" s="227"/>
      <c r="L883" s="227"/>
      <c r="M883" s="227"/>
      <c r="N883" s="227"/>
      <c r="O883" s="227"/>
      <c r="P883" s="227"/>
      <c r="Q883" s="227"/>
      <c r="R883" s="227"/>
      <c r="S883" s="227"/>
      <c r="T883" s="227"/>
      <c r="U883" s="227"/>
      <c r="V883" s="227"/>
      <c r="W883" s="227"/>
      <c r="X883" s="227"/>
      <c r="Y883" s="227"/>
      <c r="Z883" s="227"/>
      <c r="AA883" s="227"/>
      <c r="AB883" s="227"/>
      <c r="AC883" s="227"/>
      <c r="AD883" s="227"/>
      <c r="AE883" s="227"/>
    </row>
    <row r="884" ht="15.75" customHeight="1">
      <c r="A884" s="227"/>
      <c r="B884" s="227"/>
      <c r="C884" s="227"/>
      <c r="D884" s="227"/>
      <c r="E884" s="227"/>
      <c r="F884" s="227"/>
      <c r="G884" s="227"/>
      <c r="H884" s="227"/>
      <c r="I884" s="227"/>
      <c r="J884" s="227"/>
      <c r="K884" s="227"/>
      <c r="L884" s="227"/>
      <c r="M884" s="227"/>
      <c r="N884" s="227"/>
      <c r="O884" s="227"/>
      <c r="P884" s="227"/>
      <c r="Q884" s="227"/>
      <c r="R884" s="227"/>
      <c r="S884" s="227"/>
      <c r="T884" s="227"/>
      <c r="U884" s="227"/>
      <c r="V884" s="227"/>
      <c r="W884" s="227"/>
      <c r="X884" s="227"/>
      <c r="Y884" s="227"/>
      <c r="Z884" s="227"/>
      <c r="AA884" s="227"/>
      <c r="AB884" s="227"/>
      <c r="AC884" s="227"/>
      <c r="AD884" s="227"/>
      <c r="AE884" s="227"/>
    </row>
    <row r="885" ht="15.75" customHeight="1">
      <c r="A885" s="227"/>
      <c r="B885" s="227"/>
      <c r="C885" s="227"/>
      <c r="D885" s="227"/>
      <c r="E885" s="227"/>
      <c r="F885" s="227"/>
      <c r="G885" s="227"/>
      <c r="H885" s="227"/>
      <c r="I885" s="227"/>
      <c r="J885" s="227"/>
      <c r="K885" s="227"/>
      <c r="L885" s="227"/>
      <c r="M885" s="227"/>
      <c r="N885" s="227"/>
      <c r="O885" s="227"/>
      <c r="P885" s="227"/>
      <c r="Q885" s="227"/>
      <c r="R885" s="227"/>
      <c r="S885" s="227"/>
      <c r="T885" s="227"/>
      <c r="U885" s="227"/>
      <c r="V885" s="227"/>
      <c r="W885" s="227"/>
      <c r="X885" s="227"/>
      <c r="Y885" s="227"/>
      <c r="Z885" s="227"/>
      <c r="AA885" s="227"/>
      <c r="AB885" s="227"/>
      <c r="AC885" s="227"/>
      <c r="AD885" s="227"/>
      <c r="AE885" s="227"/>
    </row>
    <row r="886" ht="15.75" customHeight="1">
      <c r="A886" s="227"/>
      <c r="B886" s="227"/>
      <c r="C886" s="227"/>
      <c r="D886" s="227"/>
      <c r="E886" s="227"/>
      <c r="F886" s="227"/>
      <c r="G886" s="227"/>
      <c r="H886" s="227"/>
      <c r="I886" s="227"/>
      <c r="J886" s="227"/>
      <c r="K886" s="227"/>
      <c r="L886" s="227"/>
      <c r="M886" s="227"/>
      <c r="N886" s="227"/>
      <c r="O886" s="227"/>
      <c r="P886" s="227"/>
      <c r="Q886" s="227"/>
      <c r="R886" s="227"/>
      <c r="S886" s="227"/>
      <c r="T886" s="227"/>
      <c r="U886" s="227"/>
      <c r="V886" s="227"/>
      <c r="W886" s="227"/>
      <c r="X886" s="227"/>
      <c r="Y886" s="227"/>
      <c r="Z886" s="227"/>
      <c r="AA886" s="227"/>
      <c r="AB886" s="227"/>
      <c r="AC886" s="227"/>
      <c r="AD886" s="227"/>
      <c r="AE886" s="227"/>
    </row>
    <row r="887" ht="15.75" customHeight="1">
      <c r="A887" s="227"/>
      <c r="B887" s="227"/>
      <c r="C887" s="227"/>
      <c r="D887" s="227"/>
      <c r="E887" s="227"/>
      <c r="F887" s="227"/>
      <c r="G887" s="227"/>
      <c r="H887" s="227"/>
      <c r="I887" s="227"/>
      <c r="J887" s="227"/>
      <c r="K887" s="227"/>
      <c r="L887" s="227"/>
      <c r="M887" s="227"/>
      <c r="N887" s="227"/>
      <c r="O887" s="227"/>
      <c r="P887" s="227"/>
      <c r="Q887" s="227"/>
      <c r="R887" s="227"/>
      <c r="S887" s="227"/>
      <c r="T887" s="227"/>
      <c r="U887" s="227"/>
      <c r="V887" s="227"/>
      <c r="W887" s="227"/>
      <c r="X887" s="227"/>
      <c r="Y887" s="227"/>
      <c r="Z887" s="227"/>
      <c r="AA887" s="227"/>
      <c r="AB887" s="227"/>
      <c r="AC887" s="227"/>
      <c r="AD887" s="227"/>
      <c r="AE887" s="227"/>
    </row>
    <row r="888" ht="15.75" customHeight="1">
      <c r="A888" s="227"/>
      <c r="B888" s="227"/>
      <c r="C888" s="227"/>
      <c r="D888" s="227"/>
      <c r="E888" s="227"/>
      <c r="F888" s="227"/>
      <c r="G888" s="227"/>
      <c r="H888" s="227"/>
      <c r="I888" s="227"/>
      <c r="J888" s="227"/>
      <c r="K888" s="227"/>
      <c r="L888" s="227"/>
      <c r="M888" s="227"/>
      <c r="N888" s="227"/>
      <c r="O888" s="227"/>
      <c r="P888" s="227"/>
      <c r="Q888" s="227"/>
      <c r="R888" s="227"/>
      <c r="S888" s="227"/>
      <c r="T888" s="227"/>
      <c r="U888" s="227"/>
      <c r="V888" s="227"/>
      <c r="W888" s="227"/>
      <c r="X888" s="227"/>
      <c r="Y888" s="227"/>
      <c r="Z888" s="227"/>
      <c r="AA888" s="227"/>
      <c r="AB888" s="227"/>
      <c r="AC888" s="227"/>
      <c r="AD888" s="227"/>
      <c r="AE888" s="227"/>
    </row>
    <row r="889" ht="15.75" customHeight="1">
      <c r="A889" s="227"/>
      <c r="B889" s="227"/>
      <c r="C889" s="227"/>
      <c r="D889" s="227"/>
      <c r="E889" s="227"/>
      <c r="F889" s="227"/>
      <c r="G889" s="227"/>
      <c r="H889" s="227"/>
      <c r="I889" s="227"/>
      <c r="J889" s="227"/>
      <c r="K889" s="227"/>
      <c r="L889" s="227"/>
      <c r="M889" s="227"/>
      <c r="N889" s="227"/>
      <c r="O889" s="227"/>
      <c r="P889" s="227"/>
      <c r="Q889" s="227"/>
      <c r="R889" s="227"/>
      <c r="S889" s="227"/>
      <c r="T889" s="227"/>
      <c r="U889" s="227"/>
      <c r="V889" s="227"/>
      <c r="W889" s="227"/>
      <c r="X889" s="227"/>
      <c r="Y889" s="227"/>
      <c r="Z889" s="227"/>
      <c r="AA889" s="227"/>
      <c r="AB889" s="227"/>
      <c r="AC889" s="227"/>
      <c r="AD889" s="227"/>
      <c r="AE889" s="227"/>
    </row>
    <row r="890" ht="15.75" customHeight="1">
      <c r="A890" s="227"/>
      <c r="B890" s="227"/>
      <c r="C890" s="227"/>
      <c r="D890" s="227"/>
      <c r="E890" s="227"/>
      <c r="F890" s="227"/>
      <c r="G890" s="227"/>
      <c r="H890" s="227"/>
      <c r="I890" s="227"/>
      <c r="J890" s="227"/>
      <c r="K890" s="227"/>
      <c r="L890" s="227"/>
      <c r="M890" s="227"/>
      <c r="N890" s="227"/>
      <c r="O890" s="227"/>
      <c r="P890" s="227"/>
      <c r="Q890" s="227"/>
      <c r="R890" s="227"/>
      <c r="S890" s="227"/>
      <c r="T890" s="227"/>
      <c r="U890" s="227"/>
      <c r="V890" s="227"/>
      <c r="W890" s="227"/>
      <c r="X890" s="227"/>
      <c r="Y890" s="227"/>
      <c r="Z890" s="227"/>
      <c r="AA890" s="227"/>
      <c r="AB890" s="227"/>
      <c r="AC890" s="227"/>
      <c r="AD890" s="227"/>
      <c r="AE890" s="227"/>
    </row>
    <row r="891" ht="15.75" customHeight="1">
      <c r="A891" s="227"/>
      <c r="B891" s="227"/>
      <c r="C891" s="227"/>
      <c r="D891" s="227"/>
      <c r="E891" s="227"/>
      <c r="F891" s="227"/>
      <c r="G891" s="227"/>
      <c r="H891" s="227"/>
      <c r="I891" s="227"/>
      <c r="J891" s="227"/>
      <c r="K891" s="227"/>
      <c r="L891" s="227"/>
      <c r="M891" s="227"/>
      <c r="N891" s="227"/>
      <c r="O891" s="227"/>
      <c r="P891" s="227"/>
      <c r="Q891" s="227"/>
      <c r="R891" s="227"/>
      <c r="S891" s="227"/>
      <c r="T891" s="227"/>
      <c r="U891" s="227"/>
      <c r="V891" s="227"/>
      <c r="W891" s="227"/>
      <c r="X891" s="227"/>
      <c r="Y891" s="227"/>
      <c r="Z891" s="227"/>
      <c r="AA891" s="227"/>
      <c r="AB891" s="227"/>
      <c r="AC891" s="227"/>
      <c r="AD891" s="227"/>
      <c r="AE891" s="227"/>
    </row>
    <row r="892" ht="15.75" customHeight="1">
      <c r="A892" s="227"/>
      <c r="B892" s="227"/>
      <c r="C892" s="227"/>
      <c r="D892" s="227"/>
      <c r="E892" s="227"/>
      <c r="F892" s="227"/>
      <c r="G892" s="227"/>
      <c r="H892" s="227"/>
      <c r="I892" s="227"/>
      <c r="J892" s="227"/>
      <c r="K892" s="227"/>
      <c r="L892" s="227"/>
      <c r="M892" s="227"/>
      <c r="N892" s="227"/>
      <c r="O892" s="227"/>
      <c r="P892" s="227"/>
      <c r="Q892" s="227"/>
      <c r="R892" s="227"/>
      <c r="S892" s="227"/>
      <c r="T892" s="227"/>
      <c r="U892" s="227"/>
      <c r="V892" s="227"/>
      <c r="W892" s="227"/>
      <c r="X892" s="227"/>
      <c r="Y892" s="227"/>
      <c r="Z892" s="227"/>
      <c r="AA892" s="227"/>
      <c r="AB892" s="227"/>
      <c r="AC892" s="227"/>
      <c r="AD892" s="227"/>
      <c r="AE892" s="227"/>
    </row>
    <row r="893" ht="15.75" customHeight="1">
      <c r="A893" s="227"/>
      <c r="B893" s="227"/>
      <c r="C893" s="227"/>
      <c r="D893" s="227"/>
      <c r="E893" s="227"/>
      <c r="F893" s="227"/>
      <c r="G893" s="227"/>
      <c r="H893" s="227"/>
      <c r="I893" s="227"/>
      <c r="J893" s="227"/>
      <c r="K893" s="227"/>
      <c r="L893" s="227"/>
      <c r="M893" s="227"/>
      <c r="N893" s="227"/>
      <c r="O893" s="227"/>
      <c r="P893" s="227"/>
      <c r="Q893" s="227"/>
      <c r="R893" s="227"/>
      <c r="S893" s="227"/>
      <c r="T893" s="227"/>
      <c r="U893" s="227"/>
      <c r="V893" s="227"/>
      <c r="W893" s="227"/>
      <c r="X893" s="227"/>
      <c r="Y893" s="227"/>
      <c r="Z893" s="227"/>
      <c r="AA893" s="227"/>
      <c r="AB893" s="227"/>
      <c r="AC893" s="227"/>
      <c r="AD893" s="227"/>
      <c r="AE893" s="227"/>
    </row>
    <row r="894" ht="15.75" customHeight="1">
      <c r="A894" s="227"/>
      <c r="B894" s="227"/>
      <c r="C894" s="227"/>
      <c r="D894" s="227"/>
      <c r="E894" s="227"/>
      <c r="F894" s="227"/>
      <c r="G894" s="227"/>
      <c r="H894" s="227"/>
      <c r="I894" s="227"/>
      <c r="J894" s="227"/>
      <c r="K894" s="227"/>
      <c r="L894" s="227"/>
      <c r="M894" s="227"/>
      <c r="N894" s="227"/>
      <c r="O894" s="227"/>
      <c r="P894" s="227"/>
      <c r="Q894" s="227"/>
      <c r="R894" s="227"/>
      <c r="S894" s="227"/>
      <c r="T894" s="227"/>
      <c r="U894" s="227"/>
      <c r="V894" s="227"/>
      <c r="W894" s="227"/>
      <c r="X894" s="227"/>
      <c r="Y894" s="227"/>
      <c r="Z894" s="227"/>
      <c r="AA894" s="227"/>
      <c r="AB894" s="227"/>
      <c r="AC894" s="227"/>
      <c r="AD894" s="227"/>
      <c r="AE894" s="227"/>
    </row>
    <row r="895" ht="15.75" customHeight="1">
      <c r="A895" s="227"/>
      <c r="B895" s="227"/>
      <c r="C895" s="227"/>
      <c r="D895" s="227"/>
      <c r="E895" s="227"/>
      <c r="F895" s="227"/>
      <c r="G895" s="227"/>
      <c r="H895" s="227"/>
      <c r="I895" s="227"/>
      <c r="J895" s="227"/>
      <c r="K895" s="227"/>
      <c r="L895" s="227"/>
      <c r="M895" s="227"/>
      <c r="N895" s="227"/>
      <c r="O895" s="227"/>
      <c r="P895" s="227"/>
      <c r="Q895" s="227"/>
      <c r="R895" s="227"/>
      <c r="S895" s="227"/>
      <c r="T895" s="227"/>
      <c r="U895" s="227"/>
      <c r="V895" s="227"/>
      <c r="W895" s="227"/>
      <c r="X895" s="227"/>
      <c r="Y895" s="227"/>
      <c r="Z895" s="227"/>
      <c r="AA895" s="227"/>
      <c r="AB895" s="227"/>
      <c r="AC895" s="227"/>
      <c r="AD895" s="227"/>
      <c r="AE895" s="227"/>
    </row>
    <row r="896" ht="15.75" customHeight="1">
      <c r="A896" s="227"/>
      <c r="B896" s="227"/>
      <c r="C896" s="227"/>
      <c r="D896" s="227"/>
      <c r="E896" s="227"/>
      <c r="F896" s="227"/>
      <c r="G896" s="227"/>
      <c r="H896" s="227"/>
      <c r="I896" s="227"/>
      <c r="J896" s="227"/>
      <c r="K896" s="227"/>
      <c r="L896" s="227"/>
      <c r="M896" s="227"/>
      <c r="N896" s="227"/>
      <c r="O896" s="227"/>
      <c r="P896" s="227"/>
      <c r="Q896" s="227"/>
      <c r="R896" s="227"/>
      <c r="S896" s="227"/>
      <c r="T896" s="227"/>
      <c r="U896" s="227"/>
      <c r="V896" s="227"/>
      <c r="W896" s="227"/>
      <c r="X896" s="227"/>
      <c r="Y896" s="227"/>
      <c r="Z896" s="227"/>
      <c r="AA896" s="227"/>
      <c r="AB896" s="227"/>
      <c r="AC896" s="227"/>
      <c r="AD896" s="227"/>
      <c r="AE896" s="227"/>
    </row>
    <row r="897" ht="15.75" customHeight="1">
      <c r="A897" s="227"/>
      <c r="B897" s="227"/>
      <c r="C897" s="227"/>
      <c r="D897" s="227"/>
      <c r="E897" s="227"/>
      <c r="F897" s="227"/>
      <c r="G897" s="227"/>
      <c r="H897" s="227"/>
      <c r="I897" s="227"/>
      <c r="J897" s="227"/>
      <c r="K897" s="227"/>
      <c r="L897" s="227"/>
      <c r="M897" s="227"/>
      <c r="N897" s="227"/>
      <c r="O897" s="227"/>
      <c r="P897" s="227"/>
      <c r="Q897" s="227"/>
      <c r="R897" s="227"/>
      <c r="S897" s="227"/>
      <c r="T897" s="227"/>
      <c r="U897" s="227"/>
      <c r="V897" s="227"/>
      <c r="W897" s="227"/>
      <c r="X897" s="227"/>
      <c r="Y897" s="227"/>
      <c r="Z897" s="227"/>
      <c r="AA897" s="227"/>
      <c r="AB897" s="227"/>
      <c r="AC897" s="227"/>
      <c r="AD897" s="227"/>
      <c r="AE897" s="227"/>
    </row>
    <row r="898" ht="15.75" customHeight="1">
      <c r="A898" s="227"/>
      <c r="B898" s="227"/>
      <c r="C898" s="227"/>
      <c r="D898" s="227"/>
      <c r="E898" s="227"/>
      <c r="F898" s="227"/>
      <c r="G898" s="227"/>
      <c r="H898" s="227"/>
      <c r="I898" s="227"/>
      <c r="J898" s="227"/>
      <c r="K898" s="227"/>
      <c r="L898" s="227"/>
      <c r="M898" s="227"/>
      <c r="N898" s="227"/>
      <c r="O898" s="227"/>
      <c r="P898" s="227"/>
      <c r="Q898" s="227"/>
      <c r="R898" s="227"/>
      <c r="S898" s="227"/>
      <c r="T898" s="227"/>
      <c r="U898" s="227"/>
      <c r="V898" s="227"/>
      <c r="W898" s="227"/>
      <c r="X898" s="227"/>
      <c r="Y898" s="227"/>
      <c r="Z898" s="227"/>
      <c r="AA898" s="227"/>
      <c r="AB898" s="227"/>
      <c r="AC898" s="227"/>
      <c r="AD898" s="227"/>
      <c r="AE898" s="227"/>
    </row>
    <row r="899" ht="15.75" customHeight="1">
      <c r="A899" s="227"/>
      <c r="B899" s="227"/>
      <c r="C899" s="227"/>
      <c r="D899" s="227"/>
      <c r="E899" s="227"/>
      <c r="F899" s="227"/>
      <c r="G899" s="227"/>
      <c r="H899" s="227"/>
      <c r="I899" s="227"/>
      <c r="J899" s="227"/>
      <c r="K899" s="227"/>
      <c r="L899" s="227"/>
      <c r="M899" s="227"/>
      <c r="N899" s="227"/>
      <c r="O899" s="227"/>
      <c r="P899" s="227"/>
      <c r="Q899" s="227"/>
      <c r="R899" s="227"/>
      <c r="S899" s="227"/>
      <c r="T899" s="227"/>
      <c r="U899" s="227"/>
      <c r="V899" s="227"/>
      <c r="W899" s="227"/>
      <c r="X899" s="227"/>
      <c r="Y899" s="227"/>
      <c r="Z899" s="227"/>
      <c r="AA899" s="227"/>
      <c r="AB899" s="227"/>
      <c r="AC899" s="227"/>
      <c r="AD899" s="227"/>
      <c r="AE899" s="227"/>
    </row>
    <row r="900" ht="15.75" customHeight="1">
      <c r="A900" s="227"/>
      <c r="B900" s="227"/>
      <c r="C900" s="227"/>
      <c r="D900" s="227"/>
      <c r="E900" s="227"/>
      <c r="F900" s="227"/>
      <c r="G900" s="227"/>
      <c r="H900" s="227"/>
      <c r="I900" s="227"/>
      <c r="J900" s="227"/>
      <c r="K900" s="227"/>
      <c r="L900" s="227"/>
      <c r="M900" s="227"/>
      <c r="N900" s="227"/>
      <c r="O900" s="227"/>
      <c r="P900" s="227"/>
      <c r="Q900" s="227"/>
      <c r="R900" s="227"/>
      <c r="S900" s="227"/>
      <c r="T900" s="227"/>
      <c r="U900" s="227"/>
      <c r="V900" s="227"/>
      <c r="W900" s="227"/>
      <c r="X900" s="227"/>
      <c r="Y900" s="227"/>
      <c r="Z900" s="227"/>
      <c r="AA900" s="227"/>
      <c r="AB900" s="227"/>
      <c r="AC900" s="227"/>
      <c r="AD900" s="227"/>
      <c r="AE900" s="227"/>
    </row>
    <row r="901" ht="15.75" customHeight="1">
      <c r="A901" s="227"/>
      <c r="B901" s="227"/>
      <c r="C901" s="227"/>
      <c r="D901" s="227"/>
      <c r="E901" s="227"/>
      <c r="F901" s="227"/>
      <c r="G901" s="227"/>
      <c r="H901" s="227"/>
      <c r="I901" s="227"/>
      <c r="J901" s="227"/>
      <c r="K901" s="227"/>
      <c r="L901" s="227"/>
      <c r="M901" s="227"/>
      <c r="N901" s="227"/>
      <c r="O901" s="227"/>
      <c r="P901" s="227"/>
      <c r="Q901" s="227"/>
      <c r="R901" s="227"/>
      <c r="S901" s="227"/>
      <c r="T901" s="227"/>
      <c r="U901" s="227"/>
      <c r="V901" s="227"/>
      <c r="W901" s="227"/>
      <c r="X901" s="227"/>
      <c r="Y901" s="227"/>
      <c r="Z901" s="227"/>
      <c r="AA901" s="227"/>
      <c r="AB901" s="227"/>
      <c r="AC901" s="227"/>
      <c r="AD901" s="227"/>
      <c r="AE901" s="227"/>
    </row>
    <row r="902" ht="15.75" customHeight="1">
      <c r="A902" s="227"/>
      <c r="B902" s="227"/>
      <c r="C902" s="227"/>
      <c r="D902" s="227"/>
      <c r="E902" s="227"/>
      <c r="F902" s="227"/>
      <c r="G902" s="227"/>
      <c r="H902" s="227"/>
      <c r="I902" s="227"/>
      <c r="J902" s="227"/>
      <c r="K902" s="227"/>
      <c r="L902" s="227"/>
      <c r="M902" s="227"/>
      <c r="N902" s="227"/>
      <c r="O902" s="227"/>
      <c r="P902" s="227"/>
      <c r="Q902" s="227"/>
      <c r="R902" s="227"/>
      <c r="S902" s="227"/>
      <c r="T902" s="227"/>
      <c r="U902" s="227"/>
      <c r="V902" s="227"/>
      <c r="W902" s="227"/>
      <c r="X902" s="227"/>
      <c r="Y902" s="227"/>
      <c r="Z902" s="227"/>
      <c r="AA902" s="227"/>
      <c r="AB902" s="227"/>
      <c r="AC902" s="227"/>
      <c r="AD902" s="227"/>
      <c r="AE902" s="227"/>
    </row>
    <row r="903" ht="15.75" customHeight="1">
      <c r="A903" s="227"/>
      <c r="B903" s="227"/>
      <c r="C903" s="227"/>
      <c r="D903" s="227"/>
      <c r="E903" s="227"/>
      <c r="F903" s="227"/>
      <c r="G903" s="227"/>
      <c r="H903" s="227"/>
      <c r="I903" s="227"/>
      <c r="J903" s="227"/>
      <c r="K903" s="227"/>
      <c r="L903" s="227"/>
      <c r="M903" s="227"/>
      <c r="N903" s="227"/>
      <c r="O903" s="227"/>
      <c r="P903" s="227"/>
      <c r="Q903" s="227"/>
      <c r="R903" s="227"/>
      <c r="S903" s="227"/>
      <c r="T903" s="227"/>
      <c r="U903" s="227"/>
      <c r="V903" s="227"/>
      <c r="W903" s="227"/>
      <c r="X903" s="227"/>
      <c r="Y903" s="227"/>
      <c r="Z903" s="227"/>
      <c r="AA903" s="227"/>
      <c r="AB903" s="227"/>
      <c r="AC903" s="227"/>
      <c r="AD903" s="227"/>
      <c r="AE903" s="227"/>
    </row>
    <row r="904" ht="15.75" customHeight="1">
      <c r="A904" s="227"/>
      <c r="B904" s="227"/>
      <c r="C904" s="227"/>
      <c r="D904" s="227"/>
      <c r="E904" s="227"/>
      <c r="F904" s="227"/>
      <c r="G904" s="227"/>
      <c r="H904" s="227"/>
      <c r="I904" s="227"/>
      <c r="J904" s="227"/>
      <c r="K904" s="227"/>
      <c r="L904" s="227"/>
      <c r="M904" s="227"/>
      <c r="N904" s="227"/>
      <c r="O904" s="227"/>
      <c r="P904" s="227"/>
      <c r="Q904" s="227"/>
      <c r="R904" s="227"/>
      <c r="S904" s="227"/>
      <c r="T904" s="227"/>
      <c r="U904" s="227"/>
      <c r="V904" s="227"/>
      <c r="W904" s="227"/>
      <c r="X904" s="227"/>
      <c r="Y904" s="227"/>
      <c r="Z904" s="227"/>
      <c r="AA904" s="227"/>
      <c r="AB904" s="227"/>
      <c r="AC904" s="227"/>
      <c r="AD904" s="227"/>
      <c r="AE904" s="227"/>
    </row>
    <row r="905" ht="15.75" customHeight="1">
      <c r="A905" s="227"/>
      <c r="B905" s="227"/>
      <c r="C905" s="227"/>
      <c r="D905" s="227"/>
      <c r="E905" s="227"/>
      <c r="F905" s="227"/>
      <c r="G905" s="227"/>
      <c r="H905" s="227"/>
      <c r="I905" s="227"/>
      <c r="J905" s="227"/>
      <c r="K905" s="227"/>
      <c r="L905" s="227"/>
      <c r="M905" s="227"/>
      <c r="N905" s="227"/>
      <c r="O905" s="227"/>
      <c r="P905" s="227"/>
      <c r="Q905" s="227"/>
      <c r="R905" s="227"/>
      <c r="S905" s="227"/>
      <c r="T905" s="227"/>
      <c r="U905" s="227"/>
      <c r="V905" s="227"/>
      <c r="W905" s="227"/>
      <c r="X905" s="227"/>
      <c r="Y905" s="227"/>
      <c r="Z905" s="227"/>
      <c r="AA905" s="227"/>
      <c r="AB905" s="227"/>
      <c r="AC905" s="227"/>
      <c r="AD905" s="227"/>
      <c r="AE905" s="227"/>
    </row>
    <row r="906" ht="15.75" customHeight="1">
      <c r="A906" s="227"/>
      <c r="B906" s="227"/>
      <c r="C906" s="227"/>
      <c r="D906" s="227"/>
      <c r="E906" s="227"/>
      <c r="F906" s="227"/>
      <c r="G906" s="227"/>
      <c r="H906" s="227"/>
      <c r="I906" s="227"/>
      <c r="J906" s="227"/>
      <c r="K906" s="227"/>
      <c r="L906" s="227"/>
      <c r="M906" s="227"/>
      <c r="N906" s="227"/>
      <c r="O906" s="227"/>
      <c r="P906" s="227"/>
      <c r="Q906" s="227"/>
      <c r="R906" s="227"/>
      <c r="S906" s="227"/>
      <c r="T906" s="227"/>
      <c r="U906" s="227"/>
      <c r="V906" s="227"/>
      <c r="W906" s="227"/>
      <c r="X906" s="227"/>
      <c r="Y906" s="227"/>
      <c r="Z906" s="227"/>
      <c r="AA906" s="227"/>
      <c r="AB906" s="227"/>
      <c r="AC906" s="227"/>
      <c r="AD906" s="227"/>
      <c r="AE906" s="227"/>
    </row>
    <row r="907" ht="15.75" customHeight="1">
      <c r="A907" s="227"/>
      <c r="B907" s="227"/>
      <c r="C907" s="227"/>
      <c r="D907" s="227"/>
      <c r="E907" s="227"/>
      <c r="F907" s="227"/>
      <c r="G907" s="227"/>
      <c r="H907" s="227"/>
      <c r="I907" s="227"/>
      <c r="J907" s="227"/>
      <c r="K907" s="227"/>
      <c r="L907" s="227"/>
      <c r="M907" s="227"/>
      <c r="N907" s="227"/>
      <c r="O907" s="227"/>
      <c r="P907" s="227"/>
      <c r="Q907" s="227"/>
      <c r="R907" s="227"/>
      <c r="S907" s="227"/>
      <c r="T907" s="227"/>
      <c r="U907" s="227"/>
      <c r="V907" s="227"/>
      <c r="W907" s="227"/>
      <c r="X907" s="227"/>
      <c r="Y907" s="227"/>
      <c r="Z907" s="227"/>
      <c r="AA907" s="227"/>
      <c r="AB907" s="227"/>
      <c r="AC907" s="227"/>
      <c r="AD907" s="227"/>
      <c r="AE907" s="227"/>
    </row>
    <row r="908" ht="15.75" customHeight="1">
      <c r="A908" s="227"/>
      <c r="B908" s="227"/>
      <c r="C908" s="227"/>
      <c r="D908" s="227"/>
      <c r="E908" s="227"/>
      <c r="F908" s="227"/>
      <c r="G908" s="227"/>
      <c r="H908" s="227"/>
      <c r="I908" s="227"/>
      <c r="J908" s="227"/>
      <c r="K908" s="227"/>
      <c r="L908" s="227"/>
      <c r="M908" s="227"/>
      <c r="N908" s="227"/>
      <c r="O908" s="227"/>
      <c r="P908" s="227"/>
      <c r="Q908" s="227"/>
      <c r="R908" s="227"/>
      <c r="S908" s="227"/>
      <c r="T908" s="227"/>
      <c r="U908" s="227"/>
      <c r="V908" s="227"/>
      <c r="W908" s="227"/>
      <c r="X908" s="227"/>
      <c r="Y908" s="227"/>
      <c r="Z908" s="227"/>
      <c r="AA908" s="227"/>
      <c r="AB908" s="227"/>
      <c r="AC908" s="227"/>
      <c r="AD908" s="227"/>
      <c r="AE908" s="227"/>
    </row>
    <row r="909" ht="15.75" customHeight="1">
      <c r="A909" s="227"/>
      <c r="B909" s="227"/>
      <c r="C909" s="227"/>
      <c r="D909" s="227"/>
      <c r="E909" s="227"/>
      <c r="F909" s="227"/>
      <c r="G909" s="227"/>
      <c r="H909" s="227"/>
      <c r="I909" s="227"/>
      <c r="J909" s="227"/>
      <c r="K909" s="227"/>
      <c r="L909" s="227"/>
      <c r="M909" s="227"/>
      <c r="N909" s="227"/>
      <c r="O909" s="227"/>
      <c r="P909" s="227"/>
      <c r="Q909" s="227"/>
      <c r="R909" s="227"/>
      <c r="S909" s="227"/>
      <c r="T909" s="227"/>
      <c r="U909" s="227"/>
      <c r="V909" s="227"/>
      <c r="W909" s="227"/>
      <c r="X909" s="227"/>
      <c r="Y909" s="227"/>
      <c r="Z909" s="227"/>
      <c r="AA909" s="227"/>
      <c r="AB909" s="227"/>
      <c r="AC909" s="227"/>
      <c r="AD909" s="227"/>
      <c r="AE909" s="227"/>
    </row>
    <row r="910" ht="15.75" customHeight="1">
      <c r="A910" s="227"/>
      <c r="B910" s="227"/>
      <c r="C910" s="227"/>
      <c r="D910" s="227"/>
      <c r="E910" s="227"/>
      <c r="F910" s="227"/>
      <c r="G910" s="227"/>
      <c r="H910" s="227"/>
      <c r="I910" s="227"/>
      <c r="J910" s="227"/>
      <c r="K910" s="227"/>
      <c r="L910" s="227"/>
      <c r="M910" s="227"/>
      <c r="N910" s="227"/>
      <c r="O910" s="227"/>
      <c r="P910" s="227"/>
      <c r="Q910" s="227"/>
      <c r="R910" s="227"/>
      <c r="S910" s="227"/>
      <c r="T910" s="227"/>
      <c r="U910" s="227"/>
      <c r="V910" s="227"/>
      <c r="W910" s="227"/>
      <c r="X910" s="227"/>
      <c r="Y910" s="227"/>
      <c r="Z910" s="227"/>
      <c r="AA910" s="227"/>
      <c r="AB910" s="227"/>
      <c r="AC910" s="227"/>
      <c r="AD910" s="227"/>
      <c r="AE910" s="227"/>
    </row>
    <row r="911" ht="15.75" customHeight="1">
      <c r="A911" s="227"/>
      <c r="B911" s="227"/>
      <c r="C911" s="227"/>
      <c r="D911" s="227"/>
      <c r="E911" s="227"/>
      <c r="F911" s="227"/>
      <c r="G911" s="227"/>
      <c r="H911" s="227"/>
      <c r="I911" s="227"/>
      <c r="J911" s="227"/>
      <c r="K911" s="227"/>
      <c r="L911" s="227"/>
      <c r="M911" s="227"/>
      <c r="N911" s="227"/>
      <c r="O911" s="227"/>
      <c r="P911" s="227"/>
      <c r="Q911" s="227"/>
      <c r="R911" s="227"/>
      <c r="S911" s="227"/>
      <c r="T911" s="227"/>
      <c r="U911" s="227"/>
      <c r="V911" s="227"/>
      <c r="W911" s="227"/>
      <c r="X911" s="227"/>
      <c r="Y911" s="227"/>
      <c r="Z911" s="227"/>
      <c r="AA911" s="227"/>
      <c r="AB911" s="227"/>
      <c r="AC911" s="227"/>
      <c r="AD911" s="227"/>
      <c r="AE911" s="227"/>
    </row>
    <row r="912" ht="15.75" customHeight="1">
      <c r="A912" s="227"/>
      <c r="B912" s="227"/>
      <c r="C912" s="227"/>
      <c r="D912" s="227"/>
      <c r="E912" s="227"/>
      <c r="F912" s="227"/>
      <c r="G912" s="227"/>
      <c r="H912" s="227"/>
      <c r="I912" s="227"/>
      <c r="J912" s="227"/>
      <c r="K912" s="227"/>
      <c r="L912" s="227"/>
      <c r="M912" s="227"/>
      <c r="N912" s="227"/>
      <c r="O912" s="227"/>
      <c r="P912" s="227"/>
      <c r="Q912" s="227"/>
      <c r="R912" s="227"/>
      <c r="S912" s="227"/>
      <c r="T912" s="227"/>
      <c r="U912" s="227"/>
      <c r="V912" s="227"/>
      <c r="W912" s="227"/>
      <c r="X912" s="227"/>
      <c r="Y912" s="227"/>
      <c r="Z912" s="227"/>
      <c r="AA912" s="227"/>
      <c r="AB912" s="227"/>
      <c r="AC912" s="227"/>
      <c r="AD912" s="227"/>
      <c r="AE912" s="227"/>
    </row>
    <row r="913" ht="15.75" customHeight="1">
      <c r="A913" s="227"/>
      <c r="B913" s="227"/>
      <c r="C913" s="227"/>
      <c r="D913" s="227"/>
      <c r="E913" s="227"/>
      <c r="F913" s="227"/>
      <c r="G913" s="227"/>
      <c r="H913" s="227"/>
      <c r="I913" s="227"/>
      <c r="J913" s="227"/>
      <c r="K913" s="227"/>
      <c r="L913" s="227"/>
      <c r="M913" s="227"/>
      <c r="N913" s="227"/>
      <c r="O913" s="227"/>
      <c r="P913" s="227"/>
      <c r="Q913" s="227"/>
      <c r="R913" s="227"/>
      <c r="S913" s="227"/>
      <c r="T913" s="227"/>
      <c r="U913" s="227"/>
      <c r="V913" s="227"/>
      <c r="W913" s="227"/>
      <c r="X913" s="227"/>
      <c r="Y913" s="227"/>
      <c r="Z913" s="227"/>
      <c r="AA913" s="227"/>
      <c r="AB913" s="227"/>
      <c r="AC913" s="227"/>
      <c r="AD913" s="227"/>
      <c r="AE913" s="227"/>
    </row>
    <row r="914" ht="15.75" customHeight="1">
      <c r="A914" s="227"/>
      <c r="B914" s="227"/>
      <c r="C914" s="227"/>
      <c r="D914" s="227"/>
      <c r="E914" s="227"/>
      <c r="F914" s="227"/>
      <c r="G914" s="227"/>
      <c r="H914" s="227"/>
      <c r="I914" s="227"/>
      <c r="J914" s="227"/>
      <c r="K914" s="227"/>
      <c r="L914" s="227"/>
      <c r="M914" s="227"/>
      <c r="N914" s="227"/>
      <c r="O914" s="227"/>
      <c r="P914" s="227"/>
      <c r="Q914" s="227"/>
      <c r="R914" s="227"/>
      <c r="S914" s="227"/>
      <c r="T914" s="227"/>
      <c r="U914" s="227"/>
      <c r="V914" s="227"/>
      <c r="W914" s="227"/>
      <c r="X914" s="227"/>
      <c r="Y914" s="227"/>
      <c r="Z914" s="227"/>
      <c r="AA914" s="227"/>
      <c r="AB914" s="227"/>
      <c r="AC914" s="227"/>
      <c r="AD914" s="227"/>
      <c r="AE914" s="227"/>
    </row>
    <row r="915" ht="15.75" customHeight="1">
      <c r="A915" s="227"/>
      <c r="B915" s="227"/>
      <c r="C915" s="227"/>
      <c r="D915" s="227"/>
      <c r="E915" s="227"/>
      <c r="F915" s="227"/>
      <c r="G915" s="227"/>
      <c r="H915" s="227"/>
      <c r="I915" s="227"/>
      <c r="J915" s="227"/>
      <c r="K915" s="227"/>
      <c r="L915" s="227"/>
      <c r="M915" s="227"/>
      <c r="N915" s="227"/>
      <c r="O915" s="227"/>
      <c r="P915" s="227"/>
      <c r="Q915" s="227"/>
      <c r="R915" s="227"/>
      <c r="S915" s="227"/>
      <c r="T915" s="227"/>
      <c r="U915" s="227"/>
      <c r="V915" s="227"/>
      <c r="W915" s="227"/>
      <c r="X915" s="227"/>
      <c r="Y915" s="227"/>
      <c r="Z915" s="227"/>
      <c r="AA915" s="227"/>
      <c r="AB915" s="227"/>
      <c r="AC915" s="227"/>
      <c r="AD915" s="227"/>
      <c r="AE915" s="227"/>
    </row>
    <row r="916" ht="15.75" customHeight="1">
      <c r="A916" s="227"/>
      <c r="B916" s="227"/>
      <c r="C916" s="227"/>
      <c r="D916" s="227"/>
      <c r="E916" s="227"/>
      <c r="F916" s="227"/>
      <c r="G916" s="227"/>
      <c r="H916" s="227"/>
      <c r="I916" s="227"/>
      <c r="J916" s="227"/>
      <c r="K916" s="227"/>
      <c r="L916" s="227"/>
      <c r="M916" s="227"/>
      <c r="N916" s="227"/>
      <c r="O916" s="227"/>
      <c r="P916" s="227"/>
      <c r="Q916" s="227"/>
      <c r="R916" s="227"/>
      <c r="S916" s="227"/>
      <c r="T916" s="227"/>
      <c r="U916" s="227"/>
      <c r="V916" s="227"/>
      <c r="W916" s="227"/>
      <c r="X916" s="227"/>
      <c r="Y916" s="227"/>
      <c r="Z916" s="227"/>
      <c r="AA916" s="227"/>
      <c r="AB916" s="227"/>
      <c r="AC916" s="227"/>
      <c r="AD916" s="227"/>
      <c r="AE916" s="227"/>
    </row>
    <row r="917" ht="15.75" customHeight="1">
      <c r="A917" s="227"/>
      <c r="B917" s="227"/>
      <c r="C917" s="227"/>
      <c r="D917" s="227"/>
      <c r="E917" s="227"/>
      <c r="F917" s="227"/>
      <c r="G917" s="227"/>
      <c r="H917" s="227"/>
      <c r="I917" s="227"/>
      <c r="J917" s="227"/>
      <c r="K917" s="227"/>
      <c r="L917" s="227"/>
      <c r="M917" s="227"/>
      <c r="N917" s="227"/>
      <c r="O917" s="227"/>
      <c r="P917" s="227"/>
      <c r="Q917" s="227"/>
      <c r="R917" s="227"/>
      <c r="S917" s="227"/>
      <c r="T917" s="227"/>
      <c r="U917" s="227"/>
      <c r="V917" s="227"/>
      <c r="W917" s="227"/>
      <c r="X917" s="227"/>
      <c r="Y917" s="227"/>
      <c r="Z917" s="227"/>
      <c r="AA917" s="227"/>
      <c r="AB917" s="227"/>
      <c r="AC917" s="227"/>
      <c r="AD917" s="227"/>
      <c r="AE917" s="227"/>
    </row>
    <row r="918" ht="15.75" customHeight="1">
      <c r="A918" s="227"/>
      <c r="B918" s="227"/>
      <c r="C918" s="227"/>
      <c r="D918" s="227"/>
      <c r="E918" s="227"/>
      <c r="F918" s="227"/>
      <c r="G918" s="227"/>
      <c r="H918" s="227"/>
      <c r="I918" s="227"/>
      <c r="J918" s="227"/>
      <c r="K918" s="227"/>
      <c r="L918" s="227"/>
      <c r="M918" s="227"/>
      <c r="N918" s="227"/>
      <c r="O918" s="227"/>
      <c r="P918" s="227"/>
      <c r="Q918" s="227"/>
      <c r="R918" s="227"/>
      <c r="S918" s="227"/>
      <c r="T918" s="227"/>
      <c r="U918" s="227"/>
      <c r="V918" s="227"/>
      <c r="W918" s="227"/>
      <c r="X918" s="227"/>
      <c r="Y918" s="227"/>
      <c r="Z918" s="227"/>
      <c r="AA918" s="227"/>
      <c r="AB918" s="227"/>
      <c r="AC918" s="227"/>
      <c r="AD918" s="227"/>
      <c r="AE918" s="227"/>
    </row>
    <row r="919" ht="15.75" customHeight="1">
      <c r="A919" s="227"/>
      <c r="B919" s="227"/>
      <c r="C919" s="227"/>
      <c r="D919" s="227"/>
      <c r="E919" s="227"/>
      <c r="F919" s="227"/>
      <c r="G919" s="227"/>
      <c r="H919" s="227"/>
      <c r="I919" s="227"/>
      <c r="J919" s="227"/>
      <c r="K919" s="227"/>
      <c r="L919" s="227"/>
      <c r="M919" s="227"/>
      <c r="N919" s="227"/>
      <c r="O919" s="227"/>
      <c r="P919" s="227"/>
      <c r="Q919" s="227"/>
      <c r="R919" s="227"/>
      <c r="S919" s="227"/>
      <c r="T919" s="227"/>
      <c r="U919" s="227"/>
      <c r="V919" s="227"/>
      <c r="W919" s="227"/>
      <c r="X919" s="227"/>
      <c r="Y919" s="227"/>
      <c r="Z919" s="227"/>
      <c r="AA919" s="227"/>
      <c r="AB919" s="227"/>
      <c r="AC919" s="227"/>
      <c r="AD919" s="227"/>
      <c r="AE919" s="227"/>
    </row>
    <row r="920" ht="15.75" customHeight="1">
      <c r="A920" s="227"/>
      <c r="B920" s="227"/>
      <c r="C920" s="227"/>
      <c r="D920" s="227"/>
      <c r="E920" s="227"/>
      <c r="F920" s="227"/>
      <c r="G920" s="227"/>
      <c r="H920" s="227"/>
      <c r="I920" s="227"/>
      <c r="J920" s="227"/>
      <c r="K920" s="227"/>
      <c r="L920" s="227"/>
      <c r="M920" s="227"/>
      <c r="N920" s="227"/>
      <c r="O920" s="227"/>
      <c r="P920" s="227"/>
      <c r="Q920" s="227"/>
      <c r="R920" s="227"/>
      <c r="S920" s="227"/>
      <c r="T920" s="227"/>
      <c r="U920" s="227"/>
      <c r="V920" s="227"/>
      <c r="W920" s="227"/>
      <c r="X920" s="227"/>
      <c r="Y920" s="227"/>
      <c r="Z920" s="227"/>
      <c r="AA920" s="227"/>
      <c r="AB920" s="227"/>
      <c r="AC920" s="227"/>
      <c r="AD920" s="227"/>
      <c r="AE920" s="227"/>
    </row>
    <row r="921" ht="15.75" customHeight="1">
      <c r="A921" s="227"/>
      <c r="B921" s="227"/>
      <c r="C921" s="227"/>
      <c r="D921" s="227"/>
      <c r="E921" s="227"/>
      <c r="F921" s="227"/>
      <c r="G921" s="227"/>
      <c r="H921" s="227"/>
      <c r="I921" s="227"/>
      <c r="J921" s="227"/>
      <c r="K921" s="227"/>
      <c r="L921" s="227"/>
      <c r="M921" s="227"/>
      <c r="N921" s="227"/>
      <c r="O921" s="227"/>
      <c r="P921" s="227"/>
      <c r="Q921" s="227"/>
      <c r="R921" s="227"/>
      <c r="S921" s="227"/>
      <c r="T921" s="227"/>
      <c r="U921" s="227"/>
      <c r="V921" s="227"/>
      <c r="W921" s="227"/>
      <c r="X921" s="227"/>
      <c r="Y921" s="227"/>
      <c r="Z921" s="227"/>
      <c r="AA921" s="227"/>
      <c r="AB921" s="227"/>
      <c r="AC921" s="227"/>
      <c r="AD921" s="227"/>
      <c r="AE921" s="227"/>
    </row>
    <row r="922" ht="15.75" customHeight="1">
      <c r="A922" s="227"/>
      <c r="B922" s="227"/>
      <c r="C922" s="227"/>
      <c r="D922" s="227"/>
      <c r="E922" s="227"/>
      <c r="F922" s="227"/>
      <c r="G922" s="227"/>
      <c r="H922" s="227"/>
      <c r="I922" s="227"/>
      <c r="J922" s="227"/>
      <c r="K922" s="227"/>
      <c r="L922" s="227"/>
      <c r="M922" s="227"/>
      <c r="N922" s="227"/>
      <c r="O922" s="227"/>
      <c r="P922" s="227"/>
      <c r="Q922" s="227"/>
      <c r="R922" s="227"/>
      <c r="S922" s="227"/>
      <c r="T922" s="227"/>
      <c r="U922" s="227"/>
      <c r="V922" s="227"/>
      <c r="W922" s="227"/>
      <c r="X922" s="227"/>
      <c r="Y922" s="227"/>
      <c r="Z922" s="227"/>
      <c r="AA922" s="227"/>
      <c r="AB922" s="227"/>
      <c r="AC922" s="227"/>
      <c r="AD922" s="227"/>
      <c r="AE922" s="227"/>
    </row>
    <row r="923" ht="15.75" customHeight="1">
      <c r="A923" s="227"/>
      <c r="B923" s="227"/>
      <c r="C923" s="227"/>
      <c r="D923" s="227"/>
      <c r="E923" s="227"/>
      <c r="F923" s="227"/>
      <c r="G923" s="227"/>
      <c r="H923" s="227"/>
      <c r="I923" s="227"/>
      <c r="J923" s="227"/>
      <c r="K923" s="227"/>
      <c r="L923" s="227"/>
      <c r="M923" s="227"/>
      <c r="N923" s="227"/>
      <c r="O923" s="227"/>
      <c r="P923" s="227"/>
      <c r="Q923" s="227"/>
      <c r="R923" s="227"/>
      <c r="S923" s="227"/>
      <c r="T923" s="227"/>
      <c r="U923" s="227"/>
      <c r="V923" s="227"/>
      <c r="W923" s="227"/>
      <c r="X923" s="227"/>
      <c r="Y923" s="227"/>
      <c r="Z923" s="227"/>
      <c r="AA923" s="227"/>
      <c r="AB923" s="227"/>
      <c r="AC923" s="227"/>
      <c r="AD923" s="227"/>
      <c r="AE923" s="227"/>
    </row>
    <row r="924" ht="15.75" customHeight="1">
      <c r="A924" s="227"/>
      <c r="B924" s="227"/>
      <c r="C924" s="227"/>
      <c r="D924" s="227"/>
      <c r="E924" s="227"/>
      <c r="F924" s="227"/>
      <c r="G924" s="227"/>
      <c r="H924" s="227"/>
      <c r="I924" s="227"/>
      <c r="J924" s="227"/>
      <c r="K924" s="227"/>
      <c r="L924" s="227"/>
      <c r="M924" s="227"/>
      <c r="N924" s="227"/>
      <c r="O924" s="227"/>
      <c r="P924" s="227"/>
      <c r="Q924" s="227"/>
      <c r="R924" s="227"/>
      <c r="S924" s="227"/>
      <c r="T924" s="227"/>
      <c r="U924" s="227"/>
      <c r="V924" s="227"/>
      <c r="W924" s="227"/>
      <c r="X924" s="227"/>
      <c r="Y924" s="227"/>
      <c r="Z924" s="227"/>
      <c r="AA924" s="227"/>
      <c r="AB924" s="227"/>
      <c r="AC924" s="227"/>
      <c r="AD924" s="227"/>
      <c r="AE924" s="227"/>
    </row>
    <row r="925" ht="15.75" customHeight="1">
      <c r="A925" s="227"/>
      <c r="B925" s="227"/>
      <c r="C925" s="227"/>
      <c r="D925" s="227"/>
      <c r="E925" s="227"/>
      <c r="F925" s="227"/>
      <c r="G925" s="227"/>
      <c r="H925" s="227"/>
      <c r="I925" s="227"/>
      <c r="J925" s="227"/>
      <c r="K925" s="227"/>
      <c r="L925" s="227"/>
      <c r="M925" s="227"/>
      <c r="N925" s="227"/>
      <c r="O925" s="227"/>
      <c r="P925" s="227"/>
      <c r="Q925" s="227"/>
      <c r="R925" s="227"/>
      <c r="S925" s="227"/>
      <c r="T925" s="227"/>
      <c r="U925" s="227"/>
      <c r="V925" s="227"/>
      <c r="W925" s="227"/>
      <c r="X925" s="227"/>
      <c r="Y925" s="227"/>
      <c r="Z925" s="227"/>
      <c r="AA925" s="227"/>
      <c r="AB925" s="227"/>
      <c r="AC925" s="227"/>
      <c r="AD925" s="227"/>
      <c r="AE925" s="227"/>
    </row>
    <row r="926" ht="15.75" customHeight="1">
      <c r="A926" s="227"/>
      <c r="B926" s="227"/>
      <c r="C926" s="227"/>
      <c r="D926" s="227"/>
      <c r="E926" s="227"/>
      <c r="F926" s="227"/>
      <c r="G926" s="227"/>
      <c r="H926" s="227"/>
      <c r="I926" s="227"/>
      <c r="J926" s="227"/>
      <c r="K926" s="227"/>
      <c r="L926" s="227"/>
      <c r="M926" s="227"/>
      <c r="N926" s="227"/>
      <c r="O926" s="227"/>
      <c r="P926" s="227"/>
      <c r="Q926" s="227"/>
      <c r="R926" s="227"/>
      <c r="S926" s="227"/>
      <c r="T926" s="227"/>
      <c r="U926" s="227"/>
      <c r="V926" s="227"/>
      <c r="W926" s="227"/>
      <c r="X926" s="227"/>
      <c r="Y926" s="227"/>
      <c r="Z926" s="227"/>
      <c r="AA926" s="227"/>
      <c r="AB926" s="227"/>
      <c r="AC926" s="227"/>
      <c r="AD926" s="227"/>
      <c r="AE926" s="227"/>
    </row>
    <row r="927" ht="15.75" customHeight="1">
      <c r="A927" s="227"/>
      <c r="B927" s="227"/>
      <c r="C927" s="227"/>
      <c r="D927" s="227"/>
      <c r="E927" s="227"/>
      <c r="F927" s="227"/>
      <c r="G927" s="227"/>
      <c r="H927" s="227"/>
      <c r="I927" s="227"/>
      <c r="J927" s="227"/>
      <c r="K927" s="227"/>
      <c r="L927" s="227"/>
      <c r="M927" s="227"/>
      <c r="N927" s="227"/>
      <c r="O927" s="227"/>
      <c r="P927" s="227"/>
      <c r="Q927" s="227"/>
      <c r="R927" s="227"/>
      <c r="S927" s="227"/>
      <c r="T927" s="227"/>
      <c r="U927" s="227"/>
      <c r="V927" s="227"/>
      <c r="W927" s="227"/>
      <c r="X927" s="227"/>
      <c r="Y927" s="227"/>
      <c r="Z927" s="227"/>
      <c r="AA927" s="227"/>
      <c r="AB927" s="227"/>
      <c r="AC927" s="227"/>
      <c r="AD927" s="227"/>
      <c r="AE927" s="227"/>
    </row>
    <row r="928" ht="15.75" customHeight="1">
      <c r="A928" s="227"/>
      <c r="B928" s="227"/>
      <c r="C928" s="227"/>
      <c r="D928" s="227"/>
      <c r="E928" s="227"/>
      <c r="F928" s="227"/>
      <c r="G928" s="227"/>
      <c r="H928" s="227"/>
      <c r="I928" s="227"/>
      <c r="J928" s="227"/>
      <c r="K928" s="227"/>
      <c r="L928" s="227"/>
      <c r="M928" s="227"/>
      <c r="N928" s="227"/>
      <c r="O928" s="227"/>
      <c r="P928" s="227"/>
      <c r="Q928" s="227"/>
      <c r="R928" s="227"/>
      <c r="S928" s="227"/>
      <c r="T928" s="227"/>
      <c r="U928" s="227"/>
      <c r="V928" s="227"/>
      <c r="W928" s="227"/>
      <c r="X928" s="227"/>
      <c r="Y928" s="227"/>
      <c r="Z928" s="227"/>
      <c r="AA928" s="227"/>
      <c r="AB928" s="227"/>
      <c r="AC928" s="227"/>
      <c r="AD928" s="227"/>
      <c r="AE928" s="227"/>
    </row>
    <row r="929" ht="15.75" customHeight="1">
      <c r="A929" s="227"/>
      <c r="B929" s="227"/>
      <c r="C929" s="227"/>
      <c r="D929" s="227"/>
      <c r="E929" s="227"/>
      <c r="F929" s="227"/>
      <c r="G929" s="227"/>
      <c r="H929" s="227"/>
      <c r="I929" s="227"/>
      <c r="J929" s="227"/>
      <c r="K929" s="227"/>
      <c r="L929" s="227"/>
      <c r="M929" s="227"/>
      <c r="N929" s="227"/>
      <c r="O929" s="227"/>
      <c r="P929" s="227"/>
      <c r="Q929" s="227"/>
      <c r="R929" s="227"/>
      <c r="S929" s="227"/>
      <c r="T929" s="227"/>
      <c r="U929" s="227"/>
      <c r="V929" s="227"/>
      <c r="W929" s="227"/>
      <c r="X929" s="227"/>
      <c r="Y929" s="227"/>
      <c r="Z929" s="227"/>
      <c r="AA929" s="227"/>
      <c r="AB929" s="227"/>
      <c r="AC929" s="227"/>
      <c r="AD929" s="227"/>
      <c r="AE929" s="227"/>
    </row>
    <row r="930" ht="15.75" customHeight="1">
      <c r="A930" s="227"/>
      <c r="B930" s="227"/>
      <c r="C930" s="227"/>
      <c r="D930" s="227"/>
      <c r="E930" s="227"/>
      <c r="F930" s="227"/>
      <c r="G930" s="227"/>
      <c r="H930" s="227"/>
      <c r="I930" s="227"/>
      <c r="J930" s="227"/>
      <c r="K930" s="227"/>
      <c r="L930" s="227"/>
      <c r="M930" s="227"/>
      <c r="N930" s="227"/>
      <c r="O930" s="227"/>
      <c r="P930" s="227"/>
      <c r="Q930" s="227"/>
      <c r="R930" s="227"/>
      <c r="S930" s="227"/>
      <c r="T930" s="227"/>
      <c r="U930" s="227"/>
      <c r="V930" s="227"/>
      <c r="W930" s="227"/>
      <c r="X930" s="227"/>
      <c r="Y930" s="227"/>
      <c r="Z930" s="227"/>
      <c r="AA930" s="227"/>
      <c r="AB930" s="227"/>
      <c r="AC930" s="227"/>
      <c r="AD930" s="227"/>
      <c r="AE930" s="227"/>
    </row>
    <row r="931" ht="15.75" customHeight="1">
      <c r="A931" s="227"/>
      <c r="B931" s="227"/>
      <c r="C931" s="227"/>
      <c r="D931" s="227"/>
      <c r="E931" s="227"/>
      <c r="F931" s="227"/>
      <c r="G931" s="227"/>
      <c r="H931" s="227"/>
      <c r="I931" s="227"/>
      <c r="J931" s="227"/>
      <c r="K931" s="227"/>
      <c r="L931" s="227"/>
      <c r="M931" s="227"/>
      <c r="N931" s="227"/>
      <c r="O931" s="227"/>
      <c r="P931" s="227"/>
      <c r="Q931" s="227"/>
      <c r="R931" s="227"/>
      <c r="S931" s="227"/>
      <c r="T931" s="227"/>
      <c r="U931" s="227"/>
      <c r="V931" s="227"/>
      <c r="W931" s="227"/>
      <c r="X931" s="227"/>
      <c r="Y931" s="227"/>
      <c r="Z931" s="227"/>
      <c r="AA931" s="227"/>
      <c r="AB931" s="227"/>
      <c r="AC931" s="227"/>
      <c r="AD931" s="227"/>
      <c r="AE931" s="227"/>
    </row>
    <row r="932" ht="15.75" customHeight="1">
      <c r="A932" s="227"/>
      <c r="B932" s="227"/>
      <c r="C932" s="227"/>
      <c r="D932" s="227"/>
      <c r="E932" s="227"/>
      <c r="F932" s="227"/>
      <c r="G932" s="227"/>
      <c r="H932" s="227"/>
      <c r="I932" s="227"/>
      <c r="J932" s="227"/>
      <c r="K932" s="227"/>
      <c r="L932" s="227"/>
      <c r="M932" s="227"/>
      <c r="N932" s="227"/>
      <c r="O932" s="227"/>
      <c r="P932" s="227"/>
      <c r="Q932" s="227"/>
      <c r="R932" s="227"/>
      <c r="S932" s="227"/>
      <c r="T932" s="227"/>
      <c r="U932" s="227"/>
      <c r="V932" s="227"/>
      <c r="W932" s="227"/>
      <c r="X932" s="227"/>
      <c r="Y932" s="227"/>
      <c r="Z932" s="227"/>
      <c r="AA932" s="227"/>
      <c r="AB932" s="227"/>
      <c r="AC932" s="227"/>
      <c r="AD932" s="227"/>
      <c r="AE932" s="227"/>
    </row>
    <row r="933" ht="15.75" customHeight="1">
      <c r="A933" s="227"/>
      <c r="B933" s="227"/>
      <c r="C933" s="227"/>
      <c r="D933" s="227"/>
      <c r="E933" s="227"/>
      <c r="F933" s="227"/>
      <c r="G933" s="227"/>
      <c r="H933" s="227"/>
      <c r="I933" s="227"/>
      <c r="J933" s="227"/>
      <c r="K933" s="227"/>
      <c r="L933" s="227"/>
      <c r="M933" s="227"/>
      <c r="N933" s="227"/>
      <c r="O933" s="227"/>
      <c r="P933" s="227"/>
      <c r="Q933" s="227"/>
      <c r="R933" s="227"/>
      <c r="S933" s="227"/>
      <c r="T933" s="227"/>
      <c r="U933" s="227"/>
      <c r="V933" s="227"/>
      <c r="W933" s="227"/>
      <c r="X933" s="227"/>
      <c r="Y933" s="227"/>
      <c r="Z933" s="227"/>
      <c r="AA933" s="227"/>
      <c r="AB933" s="227"/>
      <c r="AC933" s="227"/>
      <c r="AD933" s="227"/>
      <c r="AE933" s="227"/>
    </row>
    <row r="934" ht="15.75" customHeight="1">
      <c r="A934" s="227"/>
      <c r="B934" s="227"/>
      <c r="C934" s="227"/>
      <c r="D934" s="227"/>
      <c r="E934" s="227"/>
      <c r="F934" s="227"/>
      <c r="G934" s="227"/>
      <c r="H934" s="227"/>
      <c r="I934" s="227"/>
      <c r="J934" s="227"/>
      <c r="K934" s="227"/>
      <c r="L934" s="227"/>
      <c r="M934" s="227"/>
      <c r="N934" s="227"/>
      <c r="O934" s="227"/>
      <c r="P934" s="227"/>
      <c r="Q934" s="227"/>
      <c r="R934" s="227"/>
      <c r="S934" s="227"/>
      <c r="T934" s="227"/>
      <c r="U934" s="227"/>
      <c r="V934" s="227"/>
      <c r="W934" s="227"/>
      <c r="X934" s="227"/>
      <c r="Y934" s="227"/>
      <c r="Z934" s="227"/>
      <c r="AA934" s="227"/>
      <c r="AB934" s="227"/>
      <c r="AC934" s="227"/>
      <c r="AD934" s="227"/>
      <c r="AE934" s="227"/>
    </row>
    <row r="935" ht="15.75" customHeight="1">
      <c r="A935" s="227"/>
      <c r="B935" s="227"/>
      <c r="C935" s="227"/>
      <c r="D935" s="227"/>
      <c r="E935" s="227"/>
      <c r="F935" s="227"/>
      <c r="G935" s="227"/>
      <c r="H935" s="227"/>
      <c r="I935" s="227"/>
      <c r="J935" s="227"/>
      <c r="K935" s="227"/>
      <c r="L935" s="227"/>
      <c r="M935" s="227"/>
      <c r="N935" s="227"/>
      <c r="O935" s="227"/>
      <c r="P935" s="227"/>
      <c r="Q935" s="227"/>
      <c r="R935" s="227"/>
      <c r="S935" s="227"/>
      <c r="T935" s="227"/>
      <c r="U935" s="227"/>
      <c r="V935" s="227"/>
      <c r="W935" s="227"/>
      <c r="X935" s="227"/>
      <c r="Y935" s="227"/>
      <c r="Z935" s="227"/>
      <c r="AA935" s="227"/>
      <c r="AB935" s="227"/>
      <c r="AC935" s="227"/>
      <c r="AD935" s="227"/>
      <c r="AE935" s="227"/>
    </row>
    <row r="936" ht="15.75" customHeight="1">
      <c r="A936" s="227"/>
      <c r="B936" s="227"/>
      <c r="C936" s="227"/>
      <c r="D936" s="227"/>
      <c r="E936" s="227"/>
      <c r="F936" s="227"/>
      <c r="G936" s="227"/>
      <c r="H936" s="227"/>
      <c r="I936" s="227"/>
      <c r="J936" s="227"/>
      <c r="K936" s="227"/>
      <c r="L936" s="227"/>
      <c r="M936" s="227"/>
      <c r="N936" s="227"/>
      <c r="O936" s="227"/>
      <c r="P936" s="227"/>
      <c r="Q936" s="227"/>
      <c r="R936" s="227"/>
      <c r="S936" s="227"/>
      <c r="T936" s="227"/>
      <c r="U936" s="227"/>
      <c r="V936" s="227"/>
      <c r="W936" s="227"/>
      <c r="X936" s="227"/>
      <c r="Y936" s="227"/>
      <c r="Z936" s="227"/>
      <c r="AA936" s="227"/>
      <c r="AB936" s="227"/>
      <c r="AC936" s="227"/>
      <c r="AD936" s="227"/>
      <c r="AE936" s="227"/>
    </row>
    <row r="937" ht="15.75" customHeight="1">
      <c r="A937" s="227"/>
      <c r="B937" s="227"/>
      <c r="C937" s="227"/>
      <c r="D937" s="227"/>
      <c r="E937" s="227"/>
      <c r="F937" s="227"/>
      <c r="G937" s="227"/>
      <c r="H937" s="227"/>
      <c r="I937" s="227"/>
      <c r="J937" s="227"/>
      <c r="K937" s="227"/>
      <c r="L937" s="227"/>
      <c r="M937" s="227"/>
      <c r="N937" s="227"/>
      <c r="O937" s="227"/>
      <c r="P937" s="227"/>
      <c r="Q937" s="227"/>
      <c r="R937" s="227"/>
      <c r="S937" s="227"/>
      <c r="T937" s="227"/>
      <c r="U937" s="227"/>
      <c r="V937" s="227"/>
      <c r="W937" s="227"/>
      <c r="X937" s="227"/>
      <c r="Y937" s="227"/>
      <c r="Z937" s="227"/>
      <c r="AA937" s="227"/>
      <c r="AB937" s="227"/>
      <c r="AC937" s="227"/>
      <c r="AD937" s="227"/>
      <c r="AE937" s="227"/>
    </row>
    <row r="938" ht="15.75" customHeight="1">
      <c r="A938" s="227"/>
      <c r="B938" s="227"/>
      <c r="C938" s="227"/>
      <c r="D938" s="227"/>
      <c r="E938" s="227"/>
      <c r="F938" s="227"/>
      <c r="G938" s="227"/>
      <c r="H938" s="227"/>
      <c r="I938" s="227"/>
      <c r="J938" s="227"/>
      <c r="K938" s="227"/>
      <c r="L938" s="227"/>
      <c r="M938" s="227"/>
      <c r="N938" s="227"/>
      <c r="O938" s="227"/>
      <c r="P938" s="227"/>
      <c r="Q938" s="227"/>
      <c r="R938" s="227"/>
      <c r="S938" s="227"/>
      <c r="T938" s="227"/>
      <c r="U938" s="227"/>
      <c r="V938" s="227"/>
      <c r="W938" s="227"/>
      <c r="X938" s="227"/>
      <c r="Y938" s="227"/>
      <c r="Z938" s="227"/>
      <c r="AA938" s="227"/>
      <c r="AB938" s="227"/>
      <c r="AC938" s="227"/>
      <c r="AD938" s="227"/>
      <c r="AE938" s="227"/>
    </row>
    <row r="939" ht="15.75" customHeight="1">
      <c r="A939" s="227"/>
      <c r="B939" s="227"/>
      <c r="C939" s="227"/>
      <c r="D939" s="227"/>
      <c r="E939" s="227"/>
      <c r="F939" s="227"/>
      <c r="G939" s="227"/>
      <c r="H939" s="227"/>
      <c r="I939" s="227"/>
      <c r="J939" s="227"/>
      <c r="K939" s="227"/>
      <c r="L939" s="227"/>
      <c r="M939" s="227"/>
      <c r="N939" s="227"/>
      <c r="O939" s="227"/>
      <c r="P939" s="227"/>
      <c r="Q939" s="227"/>
      <c r="R939" s="227"/>
      <c r="S939" s="227"/>
      <c r="T939" s="227"/>
      <c r="U939" s="227"/>
      <c r="V939" s="227"/>
      <c r="W939" s="227"/>
      <c r="X939" s="227"/>
      <c r="Y939" s="227"/>
      <c r="Z939" s="227"/>
      <c r="AA939" s="227"/>
      <c r="AB939" s="227"/>
      <c r="AC939" s="227"/>
      <c r="AD939" s="227"/>
      <c r="AE939" s="227"/>
    </row>
    <row r="940" ht="15.75" customHeight="1">
      <c r="A940" s="227"/>
      <c r="B940" s="227"/>
      <c r="C940" s="227"/>
      <c r="D940" s="227"/>
      <c r="E940" s="227"/>
      <c r="F940" s="227"/>
      <c r="G940" s="227"/>
      <c r="H940" s="227"/>
      <c r="I940" s="227"/>
      <c r="J940" s="227"/>
      <c r="K940" s="227"/>
      <c r="L940" s="227"/>
      <c r="M940" s="227"/>
      <c r="N940" s="227"/>
      <c r="O940" s="227"/>
      <c r="P940" s="227"/>
      <c r="Q940" s="227"/>
      <c r="R940" s="227"/>
      <c r="S940" s="227"/>
      <c r="T940" s="227"/>
      <c r="U940" s="227"/>
      <c r="V940" s="227"/>
      <c r="W940" s="227"/>
      <c r="X940" s="227"/>
      <c r="Y940" s="227"/>
      <c r="Z940" s="227"/>
      <c r="AA940" s="227"/>
      <c r="AB940" s="227"/>
      <c r="AC940" s="227"/>
      <c r="AD940" s="227"/>
      <c r="AE940" s="227"/>
    </row>
    <row r="941" ht="15.75" customHeight="1">
      <c r="A941" s="227"/>
      <c r="B941" s="227"/>
      <c r="C941" s="227"/>
      <c r="D941" s="227"/>
      <c r="E941" s="227"/>
      <c r="F941" s="227"/>
      <c r="G941" s="227"/>
      <c r="H941" s="227"/>
      <c r="I941" s="227"/>
      <c r="J941" s="227"/>
      <c r="K941" s="227"/>
      <c r="L941" s="227"/>
      <c r="M941" s="227"/>
      <c r="N941" s="227"/>
      <c r="O941" s="227"/>
      <c r="P941" s="227"/>
      <c r="Q941" s="227"/>
      <c r="R941" s="227"/>
      <c r="S941" s="227"/>
      <c r="T941" s="227"/>
      <c r="U941" s="227"/>
      <c r="V941" s="227"/>
      <c r="W941" s="227"/>
      <c r="X941" s="227"/>
      <c r="Y941" s="227"/>
      <c r="Z941" s="227"/>
      <c r="AA941" s="227"/>
      <c r="AB941" s="227"/>
      <c r="AC941" s="227"/>
      <c r="AD941" s="227"/>
      <c r="AE941" s="227"/>
    </row>
    <row r="942" ht="15.75" customHeight="1">
      <c r="A942" s="227"/>
      <c r="B942" s="227"/>
      <c r="C942" s="227"/>
      <c r="D942" s="227"/>
      <c r="E942" s="227"/>
      <c r="F942" s="227"/>
      <c r="G942" s="227"/>
      <c r="H942" s="227"/>
      <c r="I942" s="227"/>
      <c r="J942" s="227"/>
      <c r="K942" s="227"/>
      <c r="L942" s="227"/>
      <c r="M942" s="227"/>
      <c r="N942" s="227"/>
      <c r="O942" s="227"/>
      <c r="P942" s="227"/>
      <c r="Q942" s="227"/>
      <c r="R942" s="227"/>
      <c r="S942" s="227"/>
      <c r="T942" s="227"/>
      <c r="U942" s="227"/>
      <c r="V942" s="227"/>
      <c r="W942" s="227"/>
      <c r="X942" s="227"/>
      <c r="Y942" s="227"/>
      <c r="Z942" s="227"/>
      <c r="AA942" s="227"/>
      <c r="AB942" s="227"/>
      <c r="AC942" s="227"/>
      <c r="AD942" s="227"/>
      <c r="AE942" s="227"/>
    </row>
    <row r="943" ht="15.75" customHeight="1">
      <c r="A943" s="227"/>
      <c r="B943" s="227"/>
      <c r="C943" s="227"/>
      <c r="D943" s="227"/>
      <c r="E943" s="227"/>
      <c r="F943" s="227"/>
      <c r="G943" s="227"/>
      <c r="H943" s="227"/>
      <c r="I943" s="227"/>
      <c r="J943" s="227"/>
      <c r="K943" s="227"/>
      <c r="L943" s="227"/>
      <c r="M943" s="227"/>
      <c r="N943" s="227"/>
      <c r="O943" s="227"/>
      <c r="P943" s="227"/>
      <c r="Q943" s="227"/>
      <c r="R943" s="227"/>
      <c r="S943" s="227"/>
      <c r="T943" s="227"/>
      <c r="U943" s="227"/>
      <c r="V943" s="227"/>
      <c r="W943" s="227"/>
      <c r="X943" s="227"/>
      <c r="Y943" s="227"/>
      <c r="Z943" s="227"/>
      <c r="AA943" s="227"/>
      <c r="AB943" s="227"/>
      <c r="AC943" s="227"/>
      <c r="AD943" s="227"/>
      <c r="AE943" s="227"/>
    </row>
    <row r="944" ht="15.75" customHeight="1">
      <c r="A944" s="227"/>
      <c r="B944" s="227"/>
      <c r="C944" s="227"/>
      <c r="D944" s="227"/>
      <c r="E944" s="227"/>
      <c r="F944" s="227"/>
      <c r="G944" s="227"/>
      <c r="H944" s="227"/>
      <c r="I944" s="227"/>
      <c r="J944" s="227"/>
      <c r="K944" s="227"/>
      <c r="L944" s="227"/>
      <c r="M944" s="227"/>
      <c r="N944" s="227"/>
      <c r="O944" s="227"/>
      <c r="P944" s="227"/>
      <c r="Q944" s="227"/>
      <c r="R944" s="227"/>
      <c r="S944" s="227"/>
      <c r="T944" s="227"/>
      <c r="U944" s="227"/>
      <c r="V944" s="227"/>
      <c r="W944" s="227"/>
      <c r="X944" s="227"/>
      <c r="Y944" s="227"/>
      <c r="Z944" s="227"/>
      <c r="AA944" s="227"/>
      <c r="AB944" s="227"/>
      <c r="AC944" s="227"/>
      <c r="AD944" s="227"/>
      <c r="AE944" s="227"/>
    </row>
    <row r="945" ht="15.75" customHeight="1">
      <c r="A945" s="227"/>
      <c r="B945" s="227"/>
      <c r="C945" s="227"/>
      <c r="D945" s="227"/>
      <c r="E945" s="227"/>
      <c r="F945" s="227"/>
      <c r="G945" s="227"/>
      <c r="H945" s="227"/>
      <c r="I945" s="227"/>
      <c r="J945" s="227"/>
      <c r="K945" s="227"/>
      <c r="L945" s="227"/>
      <c r="M945" s="227"/>
      <c r="N945" s="227"/>
      <c r="O945" s="227"/>
      <c r="P945" s="227"/>
      <c r="Q945" s="227"/>
      <c r="R945" s="227"/>
      <c r="S945" s="227"/>
      <c r="T945" s="227"/>
      <c r="U945" s="227"/>
      <c r="V945" s="227"/>
      <c r="W945" s="227"/>
      <c r="X945" s="227"/>
      <c r="Y945" s="227"/>
      <c r="Z945" s="227"/>
      <c r="AA945" s="227"/>
      <c r="AB945" s="227"/>
      <c r="AC945" s="227"/>
      <c r="AD945" s="227"/>
      <c r="AE945" s="227"/>
    </row>
    <row r="946" ht="15.75" customHeight="1">
      <c r="A946" s="227"/>
      <c r="B946" s="227"/>
      <c r="C946" s="227"/>
      <c r="D946" s="227"/>
      <c r="E946" s="227"/>
      <c r="F946" s="227"/>
      <c r="G946" s="227"/>
      <c r="H946" s="227"/>
      <c r="I946" s="227"/>
      <c r="J946" s="227"/>
      <c r="K946" s="227"/>
      <c r="L946" s="227"/>
      <c r="M946" s="227"/>
      <c r="N946" s="227"/>
      <c r="O946" s="227"/>
      <c r="P946" s="227"/>
      <c r="Q946" s="227"/>
      <c r="R946" s="227"/>
      <c r="S946" s="227"/>
      <c r="T946" s="227"/>
      <c r="U946" s="227"/>
      <c r="V946" s="227"/>
      <c r="W946" s="227"/>
      <c r="X946" s="227"/>
      <c r="Y946" s="227"/>
      <c r="Z946" s="227"/>
      <c r="AA946" s="227"/>
      <c r="AB946" s="227"/>
      <c r="AC946" s="227"/>
      <c r="AD946" s="227"/>
      <c r="AE946" s="227"/>
    </row>
    <row r="947" ht="15.75" customHeight="1">
      <c r="A947" s="227"/>
      <c r="B947" s="227"/>
      <c r="C947" s="227"/>
      <c r="D947" s="227"/>
      <c r="E947" s="227"/>
      <c r="F947" s="227"/>
      <c r="G947" s="227"/>
      <c r="H947" s="227"/>
      <c r="I947" s="227"/>
      <c r="J947" s="227"/>
      <c r="K947" s="227"/>
      <c r="L947" s="227"/>
      <c r="M947" s="227"/>
      <c r="N947" s="227"/>
      <c r="O947" s="227"/>
      <c r="P947" s="227"/>
      <c r="Q947" s="227"/>
      <c r="R947" s="227"/>
      <c r="S947" s="227"/>
      <c r="T947" s="227"/>
      <c r="U947" s="227"/>
      <c r="V947" s="227"/>
      <c r="W947" s="227"/>
      <c r="X947" s="227"/>
      <c r="Y947" s="227"/>
      <c r="Z947" s="227"/>
      <c r="AA947" s="227"/>
      <c r="AB947" s="227"/>
      <c r="AC947" s="227"/>
      <c r="AD947" s="227"/>
      <c r="AE947" s="227"/>
    </row>
    <row r="948" ht="15.75" customHeight="1">
      <c r="A948" s="227"/>
      <c r="B948" s="227"/>
      <c r="C948" s="227"/>
      <c r="D948" s="227"/>
      <c r="E948" s="227"/>
      <c r="F948" s="227"/>
      <c r="G948" s="227"/>
      <c r="H948" s="227"/>
      <c r="I948" s="227"/>
      <c r="J948" s="227"/>
      <c r="K948" s="227"/>
      <c r="L948" s="227"/>
      <c r="M948" s="227"/>
      <c r="N948" s="227"/>
      <c r="O948" s="227"/>
      <c r="P948" s="227"/>
      <c r="Q948" s="227"/>
      <c r="R948" s="227"/>
      <c r="S948" s="227"/>
      <c r="T948" s="227"/>
      <c r="U948" s="227"/>
      <c r="V948" s="227"/>
      <c r="W948" s="227"/>
      <c r="X948" s="227"/>
      <c r="Y948" s="227"/>
      <c r="Z948" s="227"/>
      <c r="AA948" s="227"/>
      <c r="AB948" s="227"/>
      <c r="AC948" s="227"/>
      <c r="AD948" s="227"/>
      <c r="AE948" s="227"/>
    </row>
    <row r="949" ht="15.75" customHeight="1">
      <c r="A949" s="227"/>
      <c r="B949" s="227"/>
      <c r="C949" s="227"/>
      <c r="D949" s="227"/>
      <c r="E949" s="227"/>
      <c r="F949" s="227"/>
      <c r="G949" s="227"/>
      <c r="H949" s="227"/>
      <c r="I949" s="227"/>
      <c r="J949" s="227"/>
      <c r="K949" s="227"/>
      <c r="L949" s="227"/>
      <c r="M949" s="227"/>
      <c r="N949" s="227"/>
      <c r="O949" s="227"/>
      <c r="P949" s="227"/>
      <c r="Q949" s="227"/>
      <c r="R949" s="227"/>
      <c r="S949" s="227"/>
      <c r="T949" s="227"/>
      <c r="U949" s="227"/>
      <c r="V949" s="227"/>
      <c r="W949" s="227"/>
      <c r="X949" s="227"/>
      <c r="Y949" s="227"/>
      <c r="Z949" s="227"/>
      <c r="AA949" s="227"/>
      <c r="AB949" s="227"/>
      <c r="AC949" s="227"/>
      <c r="AD949" s="227"/>
      <c r="AE949" s="227"/>
    </row>
    <row r="950" ht="15.75" customHeight="1">
      <c r="A950" s="227"/>
      <c r="B950" s="227"/>
      <c r="C950" s="227"/>
      <c r="D950" s="227"/>
      <c r="E950" s="227"/>
      <c r="F950" s="227"/>
      <c r="G950" s="227"/>
      <c r="H950" s="227"/>
      <c r="I950" s="227"/>
      <c r="J950" s="227"/>
      <c r="K950" s="227"/>
      <c r="L950" s="227"/>
      <c r="M950" s="227"/>
      <c r="N950" s="227"/>
      <c r="O950" s="227"/>
      <c r="P950" s="227"/>
      <c r="Q950" s="227"/>
      <c r="R950" s="227"/>
      <c r="S950" s="227"/>
      <c r="T950" s="227"/>
      <c r="U950" s="227"/>
      <c r="V950" s="227"/>
      <c r="W950" s="227"/>
      <c r="X950" s="227"/>
      <c r="Y950" s="227"/>
      <c r="Z950" s="227"/>
      <c r="AA950" s="227"/>
      <c r="AB950" s="227"/>
      <c r="AC950" s="227"/>
      <c r="AD950" s="227"/>
      <c r="AE950" s="227"/>
    </row>
    <row r="951" ht="15.75" customHeight="1">
      <c r="A951" s="227"/>
      <c r="B951" s="227"/>
      <c r="C951" s="227"/>
      <c r="D951" s="227"/>
      <c r="E951" s="227"/>
      <c r="F951" s="227"/>
      <c r="G951" s="227"/>
      <c r="H951" s="227"/>
      <c r="I951" s="227"/>
      <c r="J951" s="227"/>
      <c r="K951" s="227"/>
      <c r="L951" s="227"/>
      <c r="M951" s="227"/>
      <c r="N951" s="227"/>
      <c r="O951" s="227"/>
      <c r="P951" s="227"/>
      <c r="Q951" s="227"/>
      <c r="R951" s="227"/>
      <c r="S951" s="227"/>
      <c r="T951" s="227"/>
      <c r="U951" s="227"/>
      <c r="V951" s="227"/>
      <c r="W951" s="227"/>
      <c r="X951" s="227"/>
      <c r="Y951" s="227"/>
      <c r="Z951" s="227"/>
      <c r="AA951" s="227"/>
      <c r="AB951" s="227"/>
      <c r="AC951" s="227"/>
      <c r="AD951" s="227"/>
      <c r="AE951" s="227"/>
    </row>
    <row r="952" ht="15.75" customHeight="1">
      <c r="A952" s="227"/>
      <c r="B952" s="227"/>
      <c r="C952" s="227"/>
      <c r="D952" s="227"/>
      <c r="E952" s="227"/>
      <c r="F952" s="227"/>
      <c r="G952" s="227"/>
      <c r="H952" s="227"/>
      <c r="I952" s="227"/>
      <c r="J952" s="227"/>
      <c r="K952" s="227"/>
      <c r="L952" s="227"/>
      <c r="M952" s="227"/>
      <c r="N952" s="227"/>
      <c r="O952" s="227"/>
      <c r="P952" s="227"/>
      <c r="Q952" s="227"/>
      <c r="R952" s="227"/>
      <c r="S952" s="227"/>
      <c r="T952" s="227"/>
      <c r="U952" s="227"/>
      <c r="V952" s="227"/>
      <c r="W952" s="227"/>
      <c r="X952" s="227"/>
      <c r="Y952" s="227"/>
      <c r="Z952" s="227"/>
      <c r="AA952" s="227"/>
      <c r="AB952" s="227"/>
      <c r="AC952" s="227"/>
      <c r="AD952" s="227"/>
      <c r="AE952" s="227"/>
    </row>
    <row r="953" ht="15.75" customHeight="1">
      <c r="A953" s="227"/>
      <c r="B953" s="227"/>
      <c r="C953" s="227"/>
      <c r="D953" s="227"/>
      <c r="E953" s="227"/>
      <c r="F953" s="227"/>
      <c r="G953" s="227"/>
      <c r="H953" s="227"/>
      <c r="I953" s="227"/>
      <c r="J953" s="227"/>
      <c r="K953" s="227"/>
      <c r="L953" s="227"/>
      <c r="M953" s="227"/>
      <c r="N953" s="227"/>
      <c r="O953" s="227"/>
      <c r="P953" s="227"/>
      <c r="Q953" s="227"/>
      <c r="R953" s="227"/>
      <c r="S953" s="227"/>
      <c r="T953" s="227"/>
      <c r="U953" s="227"/>
      <c r="V953" s="227"/>
      <c r="W953" s="227"/>
      <c r="X953" s="227"/>
      <c r="Y953" s="227"/>
      <c r="Z953" s="227"/>
      <c r="AA953" s="227"/>
      <c r="AB953" s="227"/>
      <c r="AC953" s="227"/>
      <c r="AD953" s="227"/>
      <c r="AE953" s="227"/>
    </row>
    <row r="954" ht="15.75" customHeight="1">
      <c r="A954" s="227"/>
      <c r="B954" s="227"/>
      <c r="C954" s="227"/>
      <c r="D954" s="227"/>
      <c r="E954" s="227"/>
      <c r="F954" s="227"/>
      <c r="G954" s="227"/>
      <c r="H954" s="227"/>
      <c r="I954" s="227"/>
      <c r="J954" s="227"/>
      <c r="K954" s="227"/>
      <c r="L954" s="227"/>
      <c r="M954" s="227"/>
      <c r="N954" s="227"/>
      <c r="O954" s="227"/>
      <c r="P954" s="227"/>
      <c r="Q954" s="227"/>
      <c r="R954" s="227"/>
      <c r="S954" s="227"/>
      <c r="T954" s="227"/>
      <c r="U954" s="227"/>
      <c r="V954" s="227"/>
      <c r="W954" s="227"/>
      <c r="X954" s="227"/>
      <c r="Y954" s="227"/>
      <c r="Z954" s="227"/>
      <c r="AA954" s="227"/>
      <c r="AB954" s="227"/>
      <c r="AC954" s="227"/>
      <c r="AD954" s="227"/>
      <c r="AE954" s="227"/>
    </row>
    <row r="955" ht="15.75" customHeight="1">
      <c r="A955" s="227"/>
      <c r="B955" s="227"/>
      <c r="C955" s="227"/>
      <c r="D955" s="227"/>
      <c r="E955" s="227"/>
      <c r="F955" s="227"/>
      <c r="G955" s="227"/>
      <c r="H955" s="227"/>
      <c r="I955" s="227"/>
      <c r="J955" s="227"/>
      <c r="K955" s="227"/>
      <c r="L955" s="227"/>
      <c r="M955" s="227"/>
      <c r="N955" s="227"/>
      <c r="O955" s="227"/>
      <c r="P955" s="227"/>
      <c r="Q955" s="227"/>
      <c r="R955" s="227"/>
      <c r="S955" s="227"/>
      <c r="T955" s="227"/>
      <c r="U955" s="227"/>
      <c r="V955" s="227"/>
      <c r="W955" s="227"/>
      <c r="X955" s="227"/>
      <c r="Y955" s="227"/>
      <c r="Z955" s="227"/>
      <c r="AA955" s="227"/>
      <c r="AB955" s="227"/>
      <c r="AC955" s="227"/>
      <c r="AD955" s="227"/>
      <c r="AE955" s="227"/>
    </row>
    <row r="956" ht="15.75" customHeight="1">
      <c r="A956" s="227"/>
      <c r="B956" s="227"/>
      <c r="C956" s="227"/>
      <c r="D956" s="227"/>
      <c r="E956" s="227"/>
      <c r="F956" s="227"/>
      <c r="G956" s="227"/>
      <c r="H956" s="227"/>
      <c r="I956" s="227"/>
      <c r="J956" s="227"/>
      <c r="K956" s="227"/>
      <c r="L956" s="227"/>
      <c r="M956" s="227"/>
      <c r="N956" s="227"/>
      <c r="O956" s="227"/>
      <c r="P956" s="227"/>
      <c r="Q956" s="227"/>
      <c r="R956" s="227"/>
      <c r="S956" s="227"/>
      <c r="T956" s="227"/>
      <c r="U956" s="227"/>
      <c r="V956" s="227"/>
      <c r="W956" s="227"/>
      <c r="X956" s="227"/>
      <c r="Y956" s="227"/>
      <c r="Z956" s="227"/>
      <c r="AA956" s="227"/>
      <c r="AB956" s="227"/>
      <c r="AC956" s="227"/>
      <c r="AD956" s="227"/>
      <c r="AE956" s="227"/>
    </row>
    <row r="957" ht="15.75" customHeight="1">
      <c r="A957" s="227"/>
      <c r="B957" s="227"/>
      <c r="C957" s="227"/>
      <c r="D957" s="227"/>
      <c r="E957" s="227"/>
      <c r="F957" s="227"/>
      <c r="G957" s="227"/>
      <c r="H957" s="227"/>
      <c r="I957" s="227"/>
      <c r="J957" s="227"/>
      <c r="K957" s="227"/>
      <c r="L957" s="227"/>
      <c r="M957" s="227"/>
      <c r="N957" s="227"/>
      <c r="O957" s="227"/>
      <c r="P957" s="227"/>
      <c r="Q957" s="227"/>
      <c r="R957" s="227"/>
      <c r="S957" s="227"/>
      <c r="T957" s="227"/>
      <c r="U957" s="227"/>
      <c r="V957" s="227"/>
      <c r="W957" s="227"/>
      <c r="X957" s="227"/>
      <c r="Y957" s="227"/>
      <c r="Z957" s="227"/>
      <c r="AA957" s="227"/>
      <c r="AB957" s="227"/>
      <c r="AC957" s="227"/>
      <c r="AD957" s="227"/>
      <c r="AE957" s="227"/>
    </row>
    <row r="958" ht="15.75" customHeight="1">
      <c r="A958" s="227"/>
      <c r="B958" s="227"/>
      <c r="C958" s="227"/>
      <c r="D958" s="227"/>
      <c r="E958" s="227"/>
      <c r="F958" s="227"/>
      <c r="G958" s="227"/>
      <c r="H958" s="227"/>
      <c r="I958" s="227"/>
      <c r="J958" s="227"/>
      <c r="K958" s="227"/>
      <c r="L958" s="227"/>
      <c r="M958" s="227"/>
      <c r="N958" s="227"/>
      <c r="O958" s="227"/>
      <c r="P958" s="227"/>
      <c r="Q958" s="227"/>
      <c r="R958" s="227"/>
      <c r="S958" s="227"/>
      <c r="T958" s="227"/>
      <c r="U958" s="227"/>
      <c r="V958" s="227"/>
      <c r="W958" s="227"/>
      <c r="X958" s="227"/>
      <c r="Y958" s="227"/>
      <c r="Z958" s="227"/>
      <c r="AA958" s="227"/>
      <c r="AB958" s="227"/>
      <c r="AC958" s="227"/>
      <c r="AD958" s="227"/>
      <c r="AE958" s="227"/>
    </row>
    <row r="959" ht="15.75" customHeight="1">
      <c r="A959" s="227"/>
      <c r="B959" s="227"/>
      <c r="C959" s="227"/>
      <c r="D959" s="227"/>
      <c r="E959" s="227"/>
      <c r="F959" s="227"/>
      <c r="G959" s="227"/>
      <c r="H959" s="227"/>
      <c r="I959" s="227"/>
      <c r="J959" s="227"/>
      <c r="K959" s="227"/>
      <c r="L959" s="227"/>
      <c r="M959" s="227"/>
      <c r="N959" s="227"/>
      <c r="O959" s="227"/>
      <c r="P959" s="227"/>
      <c r="Q959" s="227"/>
      <c r="R959" s="227"/>
      <c r="S959" s="227"/>
      <c r="T959" s="227"/>
      <c r="U959" s="227"/>
      <c r="V959" s="227"/>
      <c r="W959" s="227"/>
      <c r="X959" s="227"/>
      <c r="Y959" s="227"/>
      <c r="Z959" s="227"/>
      <c r="AA959" s="227"/>
      <c r="AB959" s="227"/>
      <c r="AC959" s="227"/>
      <c r="AD959" s="227"/>
      <c r="AE959" s="227"/>
    </row>
    <row r="960" ht="15.75" customHeight="1">
      <c r="A960" s="227"/>
      <c r="B960" s="227"/>
      <c r="C960" s="227"/>
      <c r="D960" s="227"/>
      <c r="E960" s="227"/>
      <c r="F960" s="227"/>
      <c r="G960" s="227"/>
      <c r="H960" s="227"/>
      <c r="I960" s="227"/>
      <c r="J960" s="227"/>
      <c r="K960" s="227"/>
      <c r="L960" s="227"/>
      <c r="M960" s="227"/>
      <c r="N960" s="227"/>
      <c r="O960" s="227"/>
      <c r="P960" s="227"/>
      <c r="Q960" s="227"/>
      <c r="R960" s="227"/>
      <c r="S960" s="227"/>
      <c r="T960" s="227"/>
      <c r="U960" s="227"/>
      <c r="V960" s="227"/>
      <c r="W960" s="227"/>
      <c r="X960" s="227"/>
      <c r="Y960" s="227"/>
      <c r="Z960" s="227"/>
      <c r="AA960" s="227"/>
      <c r="AB960" s="227"/>
      <c r="AC960" s="227"/>
      <c r="AD960" s="227"/>
      <c r="AE960" s="227"/>
    </row>
    <row r="961" ht="15.75" customHeight="1">
      <c r="A961" s="227"/>
      <c r="B961" s="227"/>
      <c r="C961" s="227"/>
      <c r="D961" s="227"/>
      <c r="E961" s="227"/>
      <c r="F961" s="227"/>
      <c r="G961" s="227"/>
      <c r="H961" s="227"/>
      <c r="I961" s="227"/>
      <c r="J961" s="227"/>
      <c r="K961" s="227"/>
      <c r="L961" s="227"/>
      <c r="M961" s="227"/>
      <c r="N961" s="227"/>
      <c r="O961" s="227"/>
      <c r="P961" s="227"/>
      <c r="Q961" s="227"/>
      <c r="R961" s="227"/>
      <c r="S961" s="227"/>
      <c r="T961" s="227"/>
      <c r="U961" s="227"/>
      <c r="V961" s="227"/>
      <c r="W961" s="227"/>
      <c r="X961" s="227"/>
      <c r="Y961" s="227"/>
      <c r="Z961" s="227"/>
      <c r="AA961" s="227"/>
      <c r="AB961" s="227"/>
      <c r="AC961" s="227"/>
      <c r="AD961" s="227"/>
      <c r="AE961" s="227"/>
    </row>
    <row r="962" ht="15.75" customHeight="1">
      <c r="A962" s="227"/>
      <c r="B962" s="227"/>
      <c r="C962" s="227"/>
      <c r="D962" s="227"/>
      <c r="E962" s="227"/>
      <c r="F962" s="227"/>
      <c r="G962" s="227"/>
      <c r="H962" s="227"/>
      <c r="I962" s="227"/>
      <c r="J962" s="227"/>
      <c r="K962" s="227"/>
      <c r="L962" s="227"/>
      <c r="M962" s="227"/>
      <c r="N962" s="227"/>
      <c r="O962" s="227"/>
      <c r="P962" s="227"/>
      <c r="Q962" s="227"/>
      <c r="R962" s="227"/>
      <c r="S962" s="227"/>
      <c r="T962" s="227"/>
      <c r="U962" s="227"/>
      <c r="V962" s="227"/>
      <c r="W962" s="227"/>
      <c r="X962" s="227"/>
      <c r="Y962" s="227"/>
      <c r="Z962" s="227"/>
      <c r="AA962" s="227"/>
      <c r="AB962" s="227"/>
      <c r="AC962" s="227"/>
      <c r="AD962" s="227"/>
      <c r="AE962" s="227"/>
    </row>
    <row r="963" ht="15.75" customHeight="1">
      <c r="A963" s="227"/>
      <c r="B963" s="227"/>
      <c r="C963" s="227"/>
      <c r="D963" s="227"/>
      <c r="E963" s="227"/>
      <c r="F963" s="227"/>
      <c r="G963" s="227"/>
      <c r="H963" s="227"/>
      <c r="I963" s="227"/>
      <c r="J963" s="227"/>
      <c r="K963" s="227"/>
      <c r="L963" s="227"/>
      <c r="M963" s="227"/>
      <c r="N963" s="227"/>
      <c r="O963" s="227"/>
      <c r="P963" s="227"/>
      <c r="Q963" s="227"/>
      <c r="R963" s="227"/>
      <c r="S963" s="227"/>
      <c r="T963" s="227"/>
      <c r="U963" s="227"/>
      <c r="V963" s="227"/>
      <c r="W963" s="227"/>
      <c r="X963" s="227"/>
      <c r="Y963" s="227"/>
      <c r="Z963" s="227"/>
      <c r="AA963" s="227"/>
      <c r="AB963" s="227"/>
      <c r="AC963" s="227"/>
      <c r="AD963" s="227"/>
      <c r="AE963" s="227"/>
    </row>
    <row r="964" ht="15.75" customHeight="1">
      <c r="A964" s="227"/>
      <c r="B964" s="227"/>
      <c r="C964" s="227"/>
      <c r="D964" s="227"/>
      <c r="E964" s="227"/>
      <c r="F964" s="227"/>
      <c r="G964" s="227"/>
      <c r="H964" s="227"/>
      <c r="I964" s="227"/>
      <c r="J964" s="227"/>
      <c r="K964" s="227"/>
      <c r="L964" s="227"/>
      <c r="M964" s="227"/>
      <c r="N964" s="227"/>
      <c r="O964" s="227"/>
      <c r="P964" s="227"/>
      <c r="Q964" s="227"/>
      <c r="R964" s="227"/>
      <c r="S964" s="227"/>
      <c r="T964" s="227"/>
      <c r="U964" s="227"/>
      <c r="V964" s="227"/>
      <c r="W964" s="227"/>
      <c r="X964" s="227"/>
      <c r="Y964" s="227"/>
      <c r="Z964" s="227"/>
      <c r="AA964" s="227"/>
      <c r="AB964" s="227"/>
      <c r="AC964" s="227"/>
      <c r="AD964" s="227"/>
      <c r="AE964" s="227"/>
    </row>
    <row r="965" ht="15.75" customHeight="1">
      <c r="A965" s="227"/>
      <c r="B965" s="227"/>
      <c r="C965" s="227"/>
      <c r="D965" s="227"/>
      <c r="E965" s="227"/>
      <c r="F965" s="227"/>
      <c r="G965" s="227"/>
      <c r="H965" s="227"/>
      <c r="I965" s="227"/>
      <c r="J965" s="227"/>
      <c r="K965" s="227"/>
      <c r="L965" s="227"/>
      <c r="M965" s="227"/>
      <c r="N965" s="227"/>
      <c r="O965" s="227"/>
      <c r="P965" s="227"/>
      <c r="Q965" s="227"/>
      <c r="R965" s="227"/>
      <c r="S965" s="227"/>
      <c r="T965" s="227"/>
      <c r="U965" s="227"/>
      <c r="V965" s="227"/>
      <c r="W965" s="227"/>
      <c r="X965" s="227"/>
      <c r="Y965" s="227"/>
      <c r="Z965" s="227"/>
      <c r="AA965" s="227"/>
      <c r="AB965" s="227"/>
      <c r="AC965" s="227"/>
      <c r="AD965" s="227"/>
      <c r="AE965" s="227"/>
    </row>
    <row r="966" ht="15.75" customHeight="1">
      <c r="A966" s="227"/>
      <c r="B966" s="227"/>
      <c r="C966" s="227"/>
      <c r="D966" s="227"/>
      <c r="E966" s="227"/>
      <c r="F966" s="227"/>
      <c r="G966" s="227"/>
      <c r="H966" s="227"/>
      <c r="I966" s="227"/>
      <c r="J966" s="227"/>
      <c r="K966" s="227"/>
      <c r="L966" s="227"/>
      <c r="M966" s="227"/>
      <c r="N966" s="227"/>
      <c r="O966" s="227"/>
      <c r="P966" s="227"/>
      <c r="Q966" s="227"/>
      <c r="R966" s="227"/>
      <c r="S966" s="227"/>
      <c r="T966" s="227"/>
      <c r="U966" s="227"/>
      <c r="V966" s="227"/>
      <c r="W966" s="227"/>
      <c r="X966" s="227"/>
      <c r="Y966" s="227"/>
      <c r="Z966" s="227"/>
      <c r="AA966" s="227"/>
      <c r="AB966" s="227"/>
      <c r="AC966" s="227"/>
      <c r="AD966" s="227"/>
      <c r="AE966" s="227"/>
    </row>
    <row r="967" ht="15.75" customHeight="1">
      <c r="A967" s="227"/>
      <c r="B967" s="227"/>
      <c r="C967" s="227"/>
      <c r="D967" s="227"/>
      <c r="E967" s="227"/>
      <c r="F967" s="227"/>
      <c r="G967" s="227"/>
      <c r="H967" s="227"/>
      <c r="I967" s="227"/>
      <c r="J967" s="227"/>
      <c r="K967" s="227"/>
      <c r="L967" s="227"/>
      <c r="M967" s="227"/>
      <c r="N967" s="227"/>
      <c r="O967" s="227"/>
      <c r="P967" s="227"/>
      <c r="Q967" s="227"/>
      <c r="R967" s="227"/>
      <c r="S967" s="227"/>
      <c r="T967" s="227"/>
      <c r="U967" s="227"/>
      <c r="V967" s="227"/>
      <c r="W967" s="227"/>
      <c r="X967" s="227"/>
      <c r="Y967" s="227"/>
      <c r="Z967" s="227"/>
      <c r="AA967" s="227"/>
      <c r="AB967" s="227"/>
      <c r="AC967" s="227"/>
      <c r="AD967" s="227"/>
      <c r="AE967" s="227"/>
    </row>
    <row r="968" ht="15.75" customHeight="1">
      <c r="A968" s="227"/>
      <c r="B968" s="227"/>
      <c r="C968" s="227"/>
      <c r="D968" s="227"/>
      <c r="E968" s="227"/>
      <c r="F968" s="227"/>
      <c r="G968" s="227"/>
      <c r="H968" s="227"/>
      <c r="I968" s="227"/>
      <c r="J968" s="227"/>
      <c r="K968" s="227"/>
      <c r="L968" s="227"/>
      <c r="M968" s="227"/>
      <c r="N968" s="227"/>
      <c r="O968" s="227"/>
      <c r="P968" s="227"/>
      <c r="Q968" s="227"/>
      <c r="R968" s="227"/>
      <c r="S968" s="227"/>
      <c r="T968" s="227"/>
      <c r="U968" s="227"/>
      <c r="V968" s="227"/>
      <c r="W968" s="227"/>
      <c r="X968" s="227"/>
      <c r="Y968" s="227"/>
      <c r="Z968" s="227"/>
      <c r="AA968" s="227"/>
      <c r="AB968" s="227"/>
      <c r="AC968" s="227"/>
      <c r="AD968" s="227"/>
      <c r="AE968" s="227"/>
    </row>
    <row r="969" ht="15.75" customHeight="1">
      <c r="A969" s="227"/>
      <c r="B969" s="227"/>
      <c r="C969" s="227"/>
      <c r="D969" s="227"/>
      <c r="E969" s="227"/>
      <c r="F969" s="227"/>
      <c r="G969" s="227"/>
      <c r="H969" s="227"/>
      <c r="I969" s="227"/>
      <c r="J969" s="227"/>
      <c r="K969" s="227"/>
      <c r="L969" s="227"/>
      <c r="M969" s="227"/>
      <c r="N969" s="227"/>
      <c r="O969" s="227"/>
      <c r="P969" s="227"/>
      <c r="Q969" s="227"/>
      <c r="R969" s="227"/>
      <c r="S969" s="227"/>
      <c r="T969" s="227"/>
      <c r="U969" s="227"/>
      <c r="V969" s="227"/>
      <c r="W969" s="227"/>
      <c r="X969" s="227"/>
      <c r="Y969" s="227"/>
      <c r="Z969" s="227"/>
      <c r="AA969" s="227"/>
      <c r="AB969" s="227"/>
      <c r="AC969" s="227"/>
      <c r="AD969" s="227"/>
      <c r="AE969" s="227"/>
    </row>
    <row r="970" ht="15.75" customHeight="1">
      <c r="A970" s="227"/>
      <c r="B970" s="227"/>
      <c r="C970" s="227"/>
      <c r="D970" s="227"/>
      <c r="E970" s="227"/>
      <c r="F970" s="227"/>
      <c r="G970" s="227"/>
      <c r="H970" s="227"/>
      <c r="I970" s="227"/>
      <c r="J970" s="227"/>
      <c r="K970" s="227"/>
      <c r="L970" s="227"/>
      <c r="M970" s="227"/>
      <c r="N970" s="227"/>
      <c r="O970" s="227"/>
      <c r="P970" s="227"/>
      <c r="Q970" s="227"/>
      <c r="R970" s="227"/>
      <c r="S970" s="227"/>
      <c r="T970" s="227"/>
      <c r="U970" s="227"/>
      <c r="V970" s="227"/>
      <c r="W970" s="227"/>
      <c r="X970" s="227"/>
      <c r="Y970" s="227"/>
      <c r="Z970" s="227"/>
      <c r="AA970" s="227"/>
      <c r="AB970" s="227"/>
      <c r="AC970" s="227"/>
      <c r="AD970" s="227"/>
      <c r="AE970" s="227"/>
    </row>
    <row r="971" ht="15.75" customHeight="1">
      <c r="A971" s="227"/>
      <c r="B971" s="227"/>
      <c r="C971" s="227"/>
      <c r="D971" s="227"/>
      <c r="E971" s="227"/>
      <c r="F971" s="227"/>
      <c r="G971" s="227"/>
      <c r="H971" s="227"/>
      <c r="I971" s="227"/>
      <c r="J971" s="227"/>
      <c r="K971" s="227"/>
      <c r="L971" s="227"/>
      <c r="M971" s="227"/>
      <c r="N971" s="227"/>
      <c r="O971" s="227"/>
      <c r="P971" s="227"/>
      <c r="Q971" s="227"/>
      <c r="R971" s="227"/>
      <c r="S971" s="227"/>
      <c r="T971" s="227"/>
      <c r="U971" s="227"/>
      <c r="V971" s="227"/>
      <c r="W971" s="227"/>
      <c r="X971" s="227"/>
      <c r="Y971" s="227"/>
      <c r="Z971" s="227"/>
      <c r="AA971" s="227"/>
      <c r="AB971" s="227"/>
      <c r="AC971" s="227"/>
      <c r="AD971" s="227"/>
      <c r="AE971" s="227"/>
    </row>
    <row r="972" ht="15.75" customHeight="1">
      <c r="A972" s="227"/>
      <c r="B972" s="227"/>
      <c r="C972" s="227"/>
      <c r="D972" s="227"/>
      <c r="E972" s="227"/>
      <c r="F972" s="227"/>
      <c r="G972" s="227"/>
      <c r="H972" s="227"/>
      <c r="I972" s="227"/>
      <c r="J972" s="227"/>
      <c r="K972" s="227"/>
      <c r="L972" s="227"/>
      <c r="M972" s="227"/>
      <c r="N972" s="227"/>
      <c r="O972" s="227"/>
      <c r="P972" s="227"/>
      <c r="Q972" s="227"/>
      <c r="R972" s="227"/>
      <c r="S972" s="227"/>
      <c r="T972" s="227"/>
      <c r="U972" s="227"/>
      <c r="V972" s="227"/>
      <c r="W972" s="227"/>
      <c r="X972" s="227"/>
      <c r="Y972" s="227"/>
      <c r="Z972" s="227"/>
      <c r="AA972" s="227"/>
      <c r="AB972" s="227"/>
      <c r="AC972" s="227"/>
      <c r="AD972" s="227"/>
      <c r="AE972" s="227"/>
    </row>
    <row r="973" ht="15.75" customHeight="1">
      <c r="A973" s="227"/>
      <c r="B973" s="227"/>
      <c r="C973" s="227"/>
      <c r="D973" s="227"/>
      <c r="E973" s="227"/>
      <c r="F973" s="227"/>
      <c r="G973" s="227"/>
      <c r="H973" s="227"/>
      <c r="I973" s="227"/>
      <c r="J973" s="227"/>
      <c r="K973" s="227"/>
      <c r="L973" s="227"/>
      <c r="M973" s="227"/>
      <c r="N973" s="227"/>
      <c r="O973" s="227"/>
      <c r="P973" s="227"/>
      <c r="Q973" s="227"/>
      <c r="R973" s="227"/>
      <c r="S973" s="227"/>
      <c r="T973" s="227"/>
      <c r="U973" s="227"/>
      <c r="V973" s="227"/>
      <c r="W973" s="227"/>
      <c r="X973" s="227"/>
      <c r="Y973" s="227"/>
      <c r="Z973" s="227"/>
      <c r="AA973" s="227"/>
      <c r="AB973" s="227"/>
      <c r="AC973" s="227"/>
      <c r="AD973" s="227"/>
      <c r="AE973" s="227"/>
    </row>
    <row r="974" ht="15.75" customHeight="1">
      <c r="A974" s="227"/>
      <c r="B974" s="227"/>
      <c r="C974" s="227"/>
      <c r="D974" s="227"/>
      <c r="E974" s="227"/>
      <c r="F974" s="227"/>
      <c r="G974" s="227"/>
      <c r="H974" s="227"/>
      <c r="I974" s="227"/>
      <c r="J974" s="227"/>
      <c r="K974" s="227"/>
      <c r="L974" s="227"/>
      <c r="M974" s="227"/>
      <c r="N974" s="227"/>
      <c r="O974" s="227"/>
      <c r="P974" s="227"/>
      <c r="Q974" s="227"/>
      <c r="R974" s="227"/>
      <c r="S974" s="227"/>
      <c r="T974" s="227"/>
      <c r="U974" s="227"/>
      <c r="V974" s="227"/>
      <c r="W974" s="227"/>
      <c r="X974" s="227"/>
      <c r="Y974" s="227"/>
      <c r="Z974" s="227"/>
      <c r="AA974" s="227"/>
      <c r="AB974" s="227"/>
      <c r="AC974" s="227"/>
      <c r="AD974" s="227"/>
      <c r="AE974" s="227"/>
    </row>
    <row r="975" ht="15.75" customHeight="1">
      <c r="A975" s="227"/>
      <c r="B975" s="227"/>
      <c r="C975" s="227"/>
      <c r="D975" s="227"/>
      <c r="E975" s="227"/>
      <c r="F975" s="227"/>
      <c r="G975" s="227"/>
      <c r="H975" s="227"/>
      <c r="I975" s="227"/>
      <c r="J975" s="227"/>
      <c r="K975" s="227"/>
      <c r="L975" s="227"/>
      <c r="M975" s="227"/>
      <c r="N975" s="227"/>
      <c r="O975" s="227"/>
      <c r="P975" s="227"/>
      <c r="Q975" s="227"/>
      <c r="R975" s="227"/>
      <c r="S975" s="227"/>
      <c r="T975" s="227"/>
      <c r="U975" s="227"/>
      <c r="V975" s="227"/>
      <c r="W975" s="227"/>
      <c r="X975" s="227"/>
      <c r="Y975" s="227"/>
      <c r="Z975" s="227"/>
      <c r="AA975" s="227"/>
      <c r="AB975" s="227"/>
      <c r="AC975" s="227"/>
      <c r="AD975" s="227"/>
      <c r="AE975" s="227"/>
    </row>
    <row r="976" ht="15.75" customHeight="1">
      <c r="A976" s="227"/>
      <c r="B976" s="227"/>
      <c r="C976" s="227"/>
      <c r="D976" s="227"/>
      <c r="E976" s="227"/>
      <c r="F976" s="227"/>
      <c r="G976" s="227"/>
      <c r="H976" s="227"/>
      <c r="I976" s="227"/>
      <c r="J976" s="227"/>
      <c r="K976" s="227"/>
      <c r="L976" s="227"/>
      <c r="M976" s="227"/>
      <c r="N976" s="227"/>
      <c r="O976" s="227"/>
      <c r="P976" s="227"/>
      <c r="Q976" s="227"/>
      <c r="R976" s="227"/>
      <c r="S976" s="227"/>
      <c r="T976" s="227"/>
      <c r="U976" s="227"/>
      <c r="V976" s="227"/>
      <c r="W976" s="227"/>
      <c r="X976" s="227"/>
      <c r="Y976" s="227"/>
      <c r="Z976" s="227"/>
      <c r="AA976" s="227"/>
      <c r="AB976" s="227"/>
      <c r="AC976" s="227"/>
      <c r="AD976" s="227"/>
      <c r="AE976" s="227"/>
    </row>
    <row r="977" ht="15.75" customHeight="1">
      <c r="A977" s="227"/>
      <c r="B977" s="227"/>
      <c r="C977" s="227"/>
      <c r="D977" s="227"/>
      <c r="E977" s="227"/>
      <c r="F977" s="227"/>
      <c r="G977" s="227"/>
      <c r="H977" s="227"/>
      <c r="I977" s="227"/>
      <c r="J977" s="227"/>
      <c r="K977" s="227"/>
      <c r="L977" s="227"/>
      <c r="M977" s="227"/>
      <c r="N977" s="227"/>
      <c r="O977" s="227"/>
      <c r="P977" s="227"/>
      <c r="Q977" s="227"/>
      <c r="R977" s="227"/>
      <c r="S977" s="227"/>
      <c r="T977" s="227"/>
      <c r="U977" s="227"/>
      <c r="V977" s="227"/>
      <c r="W977" s="227"/>
      <c r="X977" s="227"/>
      <c r="Y977" s="227"/>
      <c r="Z977" s="227"/>
      <c r="AA977" s="227"/>
      <c r="AB977" s="227"/>
      <c r="AC977" s="227"/>
      <c r="AD977" s="227"/>
      <c r="AE977" s="227"/>
    </row>
    <row r="978" ht="15.75" customHeight="1">
      <c r="A978" s="227"/>
      <c r="B978" s="227"/>
      <c r="C978" s="227"/>
      <c r="D978" s="227"/>
      <c r="E978" s="227"/>
      <c r="F978" s="227"/>
      <c r="G978" s="227"/>
      <c r="H978" s="227"/>
      <c r="I978" s="227"/>
      <c r="J978" s="227"/>
      <c r="K978" s="227"/>
      <c r="L978" s="227"/>
      <c r="M978" s="227"/>
      <c r="N978" s="227"/>
      <c r="O978" s="227"/>
      <c r="P978" s="227"/>
      <c r="Q978" s="227"/>
      <c r="R978" s="227"/>
      <c r="S978" s="227"/>
      <c r="T978" s="227"/>
      <c r="U978" s="227"/>
      <c r="V978" s="227"/>
      <c r="W978" s="227"/>
      <c r="X978" s="227"/>
      <c r="Y978" s="227"/>
      <c r="Z978" s="227"/>
      <c r="AA978" s="227"/>
      <c r="AB978" s="227"/>
      <c r="AC978" s="227"/>
      <c r="AD978" s="227"/>
      <c r="AE978" s="227"/>
    </row>
    <row r="979" ht="15.75" customHeight="1">
      <c r="A979" s="227"/>
      <c r="B979" s="227"/>
      <c r="C979" s="227"/>
      <c r="D979" s="227"/>
      <c r="E979" s="227"/>
      <c r="F979" s="227"/>
      <c r="G979" s="227"/>
      <c r="H979" s="227"/>
      <c r="I979" s="227"/>
      <c r="J979" s="227"/>
      <c r="K979" s="227"/>
      <c r="L979" s="227"/>
      <c r="M979" s="227"/>
      <c r="N979" s="227"/>
      <c r="O979" s="227"/>
      <c r="P979" s="227"/>
      <c r="Q979" s="227"/>
      <c r="R979" s="227"/>
      <c r="S979" s="227"/>
      <c r="T979" s="227"/>
      <c r="U979" s="227"/>
      <c r="V979" s="227"/>
      <c r="W979" s="227"/>
      <c r="X979" s="227"/>
      <c r="Y979" s="227"/>
      <c r="Z979" s="227"/>
      <c r="AA979" s="227"/>
      <c r="AB979" s="227"/>
      <c r="AC979" s="227"/>
      <c r="AD979" s="227"/>
      <c r="AE979" s="227"/>
    </row>
    <row r="980" ht="15.75" customHeight="1">
      <c r="A980" s="227"/>
      <c r="B980" s="227"/>
      <c r="C980" s="227"/>
      <c r="D980" s="227"/>
      <c r="E980" s="227"/>
      <c r="F980" s="227"/>
      <c r="G980" s="227"/>
      <c r="H980" s="227"/>
      <c r="I980" s="227"/>
      <c r="J980" s="227"/>
      <c r="K980" s="227"/>
      <c r="L980" s="227"/>
      <c r="M980" s="227"/>
      <c r="N980" s="227"/>
      <c r="O980" s="227"/>
      <c r="P980" s="227"/>
      <c r="Q980" s="227"/>
      <c r="R980" s="227"/>
      <c r="S980" s="227"/>
      <c r="T980" s="227"/>
      <c r="U980" s="227"/>
      <c r="V980" s="227"/>
      <c r="W980" s="227"/>
      <c r="X980" s="227"/>
      <c r="Y980" s="227"/>
      <c r="Z980" s="227"/>
      <c r="AA980" s="227"/>
      <c r="AB980" s="227"/>
      <c r="AC980" s="227"/>
      <c r="AD980" s="227"/>
      <c r="AE980" s="227"/>
    </row>
    <row r="981" ht="15.75" customHeight="1">
      <c r="A981" s="227"/>
      <c r="B981" s="227"/>
      <c r="C981" s="227"/>
      <c r="D981" s="227"/>
      <c r="E981" s="227"/>
      <c r="F981" s="227"/>
      <c r="G981" s="227"/>
      <c r="H981" s="227"/>
      <c r="I981" s="227"/>
      <c r="J981" s="227"/>
      <c r="K981" s="227"/>
      <c r="L981" s="227"/>
      <c r="M981" s="227"/>
      <c r="N981" s="227"/>
      <c r="O981" s="227"/>
      <c r="P981" s="227"/>
      <c r="Q981" s="227"/>
      <c r="R981" s="227"/>
      <c r="S981" s="227"/>
      <c r="T981" s="227"/>
      <c r="U981" s="227"/>
      <c r="V981" s="227"/>
      <c r="W981" s="227"/>
      <c r="X981" s="227"/>
      <c r="Y981" s="227"/>
      <c r="Z981" s="227"/>
      <c r="AA981" s="227"/>
      <c r="AB981" s="227"/>
      <c r="AC981" s="227"/>
      <c r="AD981" s="227"/>
      <c r="AE981" s="227"/>
    </row>
    <row r="982" ht="15.75" customHeight="1">
      <c r="A982" s="227"/>
      <c r="B982" s="227"/>
      <c r="C982" s="227"/>
      <c r="D982" s="227"/>
      <c r="E982" s="227"/>
      <c r="F982" s="227"/>
      <c r="G982" s="227"/>
      <c r="H982" s="227"/>
      <c r="I982" s="227"/>
      <c r="J982" s="227"/>
      <c r="K982" s="227"/>
      <c r="L982" s="227"/>
      <c r="M982" s="227"/>
      <c r="N982" s="227"/>
      <c r="O982" s="227"/>
      <c r="P982" s="227"/>
      <c r="Q982" s="227"/>
      <c r="R982" s="227"/>
      <c r="S982" s="227"/>
      <c r="T982" s="227"/>
      <c r="U982" s="227"/>
      <c r="V982" s="227"/>
      <c r="W982" s="227"/>
      <c r="X982" s="227"/>
      <c r="Y982" s="227"/>
      <c r="Z982" s="227"/>
      <c r="AA982" s="227"/>
      <c r="AB982" s="227"/>
      <c r="AC982" s="227"/>
      <c r="AD982" s="227"/>
      <c r="AE982" s="227"/>
    </row>
    <row r="983" ht="15.75" customHeight="1">
      <c r="A983" s="227"/>
      <c r="B983" s="227"/>
      <c r="C983" s="227"/>
      <c r="D983" s="227"/>
      <c r="E983" s="227"/>
      <c r="F983" s="227"/>
      <c r="G983" s="227"/>
      <c r="H983" s="227"/>
      <c r="I983" s="227"/>
      <c r="J983" s="227"/>
      <c r="K983" s="227"/>
      <c r="L983" s="227"/>
      <c r="M983" s="227"/>
      <c r="N983" s="227"/>
      <c r="O983" s="227"/>
      <c r="P983" s="227"/>
      <c r="Q983" s="227"/>
      <c r="R983" s="227"/>
      <c r="S983" s="227"/>
      <c r="T983" s="227"/>
      <c r="U983" s="227"/>
      <c r="V983" s="227"/>
      <c r="W983" s="227"/>
      <c r="X983" s="227"/>
      <c r="Y983" s="227"/>
      <c r="Z983" s="227"/>
      <c r="AA983" s="227"/>
      <c r="AB983" s="227"/>
      <c r="AC983" s="227"/>
      <c r="AD983" s="227"/>
      <c r="AE983" s="227"/>
    </row>
    <row r="984" ht="15.75" customHeight="1">
      <c r="A984" s="227"/>
      <c r="B984" s="227"/>
      <c r="C984" s="227"/>
      <c r="D984" s="227"/>
      <c r="E984" s="227"/>
      <c r="F984" s="227"/>
      <c r="G984" s="227"/>
      <c r="H984" s="227"/>
      <c r="I984" s="227"/>
      <c r="J984" s="227"/>
      <c r="K984" s="227"/>
      <c r="L984" s="227"/>
      <c r="M984" s="227"/>
      <c r="N984" s="227"/>
      <c r="O984" s="227"/>
      <c r="P984" s="227"/>
      <c r="Q984" s="227"/>
      <c r="R984" s="227"/>
      <c r="S984" s="227"/>
      <c r="T984" s="227"/>
      <c r="U984" s="227"/>
      <c r="V984" s="227"/>
      <c r="W984" s="227"/>
      <c r="X984" s="227"/>
      <c r="Y984" s="227"/>
      <c r="Z984" s="227"/>
      <c r="AA984" s="227"/>
      <c r="AB984" s="227"/>
      <c r="AC984" s="227"/>
      <c r="AD984" s="227"/>
      <c r="AE984" s="227"/>
    </row>
    <row r="985" ht="15.75" customHeight="1">
      <c r="A985" s="227"/>
      <c r="B985" s="227"/>
      <c r="C985" s="227"/>
      <c r="D985" s="227"/>
      <c r="E985" s="227"/>
      <c r="F985" s="227"/>
      <c r="G985" s="227"/>
      <c r="H985" s="227"/>
      <c r="I985" s="227"/>
      <c r="J985" s="227"/>
      <c r="K985" s="227"/>
      <c r="L985" s="227"/>
      <c r="M985" s="227"/>
      <c r="N985" s="227"/>
      <c r="O985" s="227"/>
      <c r="P985" s="227"/>
      <c r="Q985" s="227"/>
      <c r="R985" s="227"/>
      <c r="S985" s="227"/>
      <c r="T985" s="227"/>
      <c r="U985" s="227"/>
      <c r="V985" s="227"/>
      <c r="W985" s="227"/>
      <c r="X985" s="227"/>
      <c r="Y985" s="227"/>
      <c r="Z985" s="227"/>
      <c r="AA985" s="227"/>
      <c r="AB985" s="227"/>
      <c r="AC985" s="227"/>
      <c r="AD985" s="227"/>
      <c r="AE985" s="227"/>
    </row>
    <row r="986" ht="15.75" customHeight="1">
      <c r="A986" s="227"/>
      <c r="B986" s="227"/>
      <c r="C986" s="227"/>
      <c r="D986" s="227"/>
      <c r="E986" s="227"/>
      <c r="F986" s="227"/>
      <c r="G986" s="227"/>
      <c r="H986" s="227"/>
      <c r="I986" s="227"/>
      <c r="J986" s="227"/>
      <c r="K986" s="227"/>
      <c r="L986" s="227"/>
      <c r="M986" s="227"/>
      <c r="N986" s="227"/>
      <c r="O986" s="227"/>
      <c r="P986" s="227"/>
      <c r="Q986" s="227"/>
      <c r="R986" s="227"/>
      <c r="S986" s="227"/>
      <c r="T986" s="227"/>
      <c r="U986" s="227"/>
      <c r="V986" s="227"/>
      <c r="W986" s="227"/>
      <c r="X986" s="227"/>
      <c r="Y986" s="227"/>
      <c r="Z986" s="227"/>
      <c r="AA986" s="227"/>
      <c r="AB986" s="227"/>
      <c r="AC986" s="227"/>
      <c r="AD986" s="227"/>
      <c r="AE986" s="227"/>
    </row>
    <row r="987" ht="15.75" customHeight="1">
      <c r="A987" s="227"/>
      <c r="B987" s="227"/>
      <c r="C987" s="227"/>
      <c r="D987" s="227"/>
      <c r="E987" s="227"/>
      <c r="F987" s="227"/>
      <c r="G987" s="227"/>
      <c r="H987" s="227"/>
      <c r="I987" s="227"/>
      <c r="J987" s="227"/>
      <c r="K987" s="227"/>
      <c r="L987" s="227"/>
      <c r="M987" s="227"/>
      <c r="N987" s="227"/>
      <c r="O987" s="227"/>
      <c r="P987" s="227"/>
      <c r="Q987" s="227"/>
      <c r="R987" s="227"/>
      <c r="S987" s="227"/>
      <c r="T987" s="227"/>
      <c r="U987" s="227"/>
      <c r="V987" s="227"/>
      <c r="W987" s="227"/>
      <c r="X987" s="227"/>
      <c r="Y987" s="227"/>
      <c r="Z987" s="227"/>
      <c r="AA987" s="227"/>
      <c r="AB987" s="227"/>
      <c r="AC987" s="227"/>
      <c r="AD987" s="227"/>
      <c r="AE987" s="227"/>
    </row>
    <row r="988" ht="15.75" customHeight="1">
      <c r="A988" s="227"/>
      <c r="B988" s="227"/>
      <c r="C988" s="227"/>
      <c r="D988" s="227"/>
      <c r="E988" s="227"/>
      <c r="F988" s="227"/>
      <c r="G988" s="227"/>
      <c r="H988" s="227"/>
      <c r="I988" s="227"/>
      <c r="J988" s="227"/>
      <c r="K988" s="227"/>
      <c r="L988" s="227"/>
      <c r="M988" s="227"/>
      <c r="N988" s="227"/>
      <c r="O988" s="227"/>
      <c r="P988" s="227"/>
      <c r="Q988" s="227"/>
      <c r="R988" s="227"/>
      <c r="S988" s="227"/>
      <c r="T988" s="227"/>
      <c r="U988" s="227"/>
      <c r="V988" s="227"/>
      <c r="W988" s="227"/>
      <c r="X988" s="227"/>
      <c r="Y988" s="227"/>
      <c r="Z988" s="227"/>
      <c r="AA988" s="227"/>
      <c r="AB988" s="227"/>
      <c r="AC988" s="227"/>
      <c r="AD988" s="227"/>
      <c r="AE988" s="227"/>
    </row>
    <row r="989" ht="15.75" customHeight="1">
      <c r="A989" s="227"/>
      <c r="B989" s="227"/>
      <c r="C989" s="227"/>
      <c r="D989" s="227"/>
      <c r="E989" s="227"/>
      <c r="F989" s="227"/>
      <c r="G989" s="227"/>
      <c r="H989" s="227"/>
      <c r="I989" s="227"/>
      <c r="J989" s="227"/>
      <c r="K989" s="227"/>
      <c r="L989" s="227"/>
      <c r="M989" s="227"/>
      <c r="N989" s="227"/>
      <c r="O989" s="227"/>
      <c r="P989" s="227"/>
      <c r="Q989" s="227"/>
      <c r="R989" s="227"/>
      <c r="S989" s="227"/>
      <c r="T989" s="227"/>
      <c r="U989" s="227"/>
      <c r="V989" s="227"/>
      <c r="W989" s="227"/>
      <c r="X989" s="227"/>
      <c r="Y989" s="227"/>
      <c r="Z989" s="227"/>
      <c r="AA989" s="227"/>
      <c r="AB989" s="227"/>
      <c r="AC989" s="227"/>
      <c r="AD989" s="227"/>
      <c r="AE989" s="227"/>
    </row>
    <row r="990" ht="15.75" customHeight="1">
      <c r="A990" s="227"/>
      <c r="B990" s="227"/>
      <c r="C990" s="227"/>
      <c r="D990" s="227"/>
      <c r="E990" s="227"/>
      <c r="F990" s="227"/>
      <c r="G990" s="227"/>
      <c r="H990" s="227"/>
      <c r="I990" s="227"/>
      <c r="J990" s="227"/>
      <c r="K990" s="227"/>
      <c r="L990" s="227"/>
      <c r="M990" s="227"/>
      <c r="N990" s="227"/>
      <c r="O990" s="227"/>
      <c r="P990" s="227"/>
      <c r="Q990" s="227"/>
      <c r="R990" s="227"/>
      <c r="S990" s="227"/>
      <c r="T990" s="227"/>
      <c r="U990" s="227"/>
      <c r="V990" s="227"/>
      <c r="W990" s="227"/>
      <c r="X990" s="227"/>
      <c r="Y990" s="227"/>
      <c r="Z990" s="227"/>
      <c r="AA990" s="227"/>
      <c r="AB990" s="227"/>
      <c r="AC990" s="227"/>
      <c r="AD990" s="227"/>
      <c r="AE990" s="227"/>
    </row>
    <row r="991" ht="15.75" customHeight="1">
      <c r="A991" s="227"/>
      <c r="B991" s="227"/>
      <c r="C991" s="227"/>
      <c r="D991" s="227"/>
      <c r="E991" s="227"/>
      <c r="F991" s="227"/>
      <c r="G991" s="227"/>
      <c r="H991" s="227"/>
      <c r="I991" s="227"/>
      <c r="J991" s="227"/>
      <c r="K991" s="227"/>
      <c r="L991" s="227"/>
      <c r="M991" s="227"/>
      <c r="N991" s="227"/>
      <c r="O991" s="227"/>
      <c r="P991" s="227"/>
      <c r="Q991" s="227"/>
      <c r="R991" s="227"/>
      <c r="S991" s="227"/>
      <c r="T991" s="227"/>
      <c r="U991" s="227"/>
      <c r="V991" s="227"/>
      <c r="W991" s="227"/>
      <c r="X991" s="227"/>
      <c r="Y991" s="227"/>
      <c r="Z991" s="227"/>
      <c r="AA991" s="227"/>
      <c r="AB991" s="227"/>
      <c r="AC991" s="227"/>
      <c r="AD991" s="227"/>
      <c r="AE991" s="227"/>
    </row>
    <row r="992" ht="15.75" customHeight="1">
      <c r="A992" s="227"/>
      <c r="B992" s="227"/>
      <c r="C992" s="227"/>
      <c r="D992" s="227"/>
      <c r="E992" s="227"/>
      <c r="F992" s="227"/>
      <c r="G992" s="227"/>
      <c r="H992" s="227"/>
      <c r="I992" s="227"/>
      <c r="J992" s="227"/>
      <c r="K992" s="227"/>
      <c r="L992" s="227"/>
      <c r="M992" s="227"/>
      <c r="N992" s="227"/>
      <c r="O992" s="227"/>
      <c r="P992" s="227"/>
      <c r="Q992" s="227"/>
      <c r="R992" s="227"/>
      <c r="S992" s="227"/>
      <c r="T992" s="227"/>
      <c r="U992" s="227"/>
      <c r="V992" s="227"/>
      <c r="W992" s="227"/>
      <c r="X992" s="227"/>
      <c r="Y992" s="227"/>
      <c r="Z992" s="227"/>
      <c r="AA992" s="227"/>
      <c r="AB992" s="227"/>
      <c r="AC992" s="227"/>
      <c r="AD992" s="227"/>
      <c r="AE992" s="227"/>
    </row>
    <row r="993" ht="15.75" customHeight="1">
      <c r="A993" s="227"/>
      <c r="B993" s="227"/>
      <c r="C993" s="227"/>
      <c r="D993" s="227"/>
      <c r="E993" s="227"/>
      <c r="F993" s="227"/>
      <c r="G993" s="227"/>
      <c r="H993" s="227"/>
      <c r="I993" s="227"/>
      <c r="J993" s="227"/>
      <c r="K993" s="227"/>
      <c r="L993" s="227"/>
      <c r="M993" s="227"/>
      <c r="N993" s="227"/>
      <c r="O993" s="227"/>
      <c r="P993" s="227"/>
      <c r="Q993" s="227"/>
      <c r="R993" s="227"/>
      <c r="S993" s="227"/>
      <c r="T993" s="227"/>
      <c r="U993" s="227"/>
      <c r="V993" s="227"/>
      <c r="W993" s="227"/>
      <c r="X993" s="227"/>
      <c r="Y993" s="227"/>
      <c r="Z993" s="227"/>
      <c r="AA993" s="227"/>
      <c r="AB993" s="227"/>
      <c r="AC993" s="227"/>
      <c r="AD993" s="227"/>
      <c r="AE993" s="227"/>
    </row>
    <row r="994" ht="15.75" customHeight="1">
      <c r="A994" s="227"/>
      <c r="B994" s="227"/>
      <c r="C994" s="227"/>
      <c r="D994" s="227"/>
      <c r="E994" s="227"/>
      <c r="F994" s="227"/>
      <c r="G994" s="227"/>
      <c r="H994" s="227"/>
      <c r="I994" s="227"/>
      <c r="J994" s="227"/>
      <c r="K994" s="227"/>
      <c r="L994" s="227"/>
      <c r="M994" s="227"/>
      <c r="N994" s="227"/>
      <c r="O994" s="227"/>
      <c r="P994" s="227"/>
      <c r="Q994" s="227"/>
      <c r="R994" s="227"/>
      <c r="S994" s="227"/>
      <c r="T994" s="227"/>
      <c r="U994" s="227"/>
      <c r="V994" s="227"/>
      <c r="W994" s="227"/>
      <c r="X994" s="227"/>
      <c r="Y994" s="227"/>
      <c r="Z994" s="227"/>
      <c r="AA994" s="227"/>
      <c r="AB994" s="227"/>
      <c r="AC994" s="227"/>
      <c r="AD994" s="227"/>
      <c r="AE994" s="227"/>
    </row>
    <row r="995" ht="15.75" customHeight="1">
      <c r="A995" s="227"/>
      <c r="B995" s="227"/>
      <c r="C995" s="227"/>
      <c r="D995" s="227"/>
      <c r="E995" s="227"/>
      <c r="F995" s="227"/>
      <c r="G995" s="227"/>
      <c r="H995" s="227"/>
      <c r="I995" s="227"/>
      <c r="J995" s="227"/>
      <c r="K995" s="227"/>
      <c r="L995" s="227"/>
      <c r="M995" s="227"/>
      <c r="N995" s="227"/>
      <c r="O995" s="227"/>
      <c r="P995" s="227"/>
      <c r="Q995" s="227"/>
      <c r="R995" s="227"/>
      <c r="S995" s="227"/>
      <c r="T995" s="227"/>
      <c r="U995" s="227"/>
      <c r="V995" s="227"/>
      <c r="W995" s="227"/>
      <c r="X995" s="227"/>
      <c r="Y995" s="227"/>
      <c r="Z995" s="227"/>
      <c r="AA995" s="227"/>
      <c r="AB995" s="227"/>
      <c r="AC995" s="227"/>
      <c r="AD995" s="227"/>
      <c r="AE995" s="227"/>
    </row>
    <row r="996" ht="15.75" customHeight="1">
      <c r="A996" s="227"/>
      <c r="B996" s="227"/>
      <c r="C996" s="227"/>
      <c r="D996" s="227"/>
      <c r="E996" s="227"/>
      <c r="F996" s="227"/>
      <c r="G996" s="227"/>
      <c r="H996" s="227"/>
      <c r="I996" s="227"/>
      <c r="J996" s="227"/>
      <c r="K996" s="227"/>
      <c r="L996" s="227"/>
      <c r="M996" s="227"/>
      <c r="N996" s="227"/>
      <c r="O996" s="227"/>
      <c r="P996" s="227"/>
      <c r="Q996" s="227"/>
      <c r="R996" s="227"/>
      <c r="S996" s="227"/>
      <c r="T996" s="227"/>
      <c r="U996" s="227"/>
      <c r="V996" s="227"/>
      <c r="W996" s="227"/>
      <c r="X996" s="227"/>
      <c r="Y996" s="227"/>
      <c r="Z996" s="227"/>
      <c r="AA996" s="227"/>
      <c r="AB996" s="227"/>
      <c r="AC996" s="227"/>
      <c r="AD996" s="227"/>
      <c r="AE996" s="227"/>
    </row>
    <row r="997" ht="15.75" customHeight="1">
      <c r="A997" s="227"/>
      <c r="B997" s="227"/>
      <c r="C997" s="227"/>
      <c r="D997" s="227"/>
      <c r="E997" s="227"/>
      <c r="F997" s="227"/>
      <c r="G997" s="227"/>
      <c r="H997" s="227"/>
      <c r="I997" s="227"/>
      <c r="J997" s="227"/>
      <c r="K997" s="227"/>
      <c r="L997" s="227"/>
      <c r="M997" s="227"/>
      <c r="N997" s="227"/>
      <c r="O997" s="227"/>
      <c r="P997" s="227"/>
      <c r="Q997" s="227"/>
      <c r="R997" s="227"/>
      <c r="S997" s="227"/>
      <c r="T997" s="227"/>
      <c r="U997" s="227"/>
      <c r="V997" s="227"/>
      <c r="W997" s="227"/>
      <c r="X997" s="227"/>
      <c r="Y997" s="227"/>
      <c r="Z997" s="227"/>
      <c r="AA997" s="227"/>
      <c r="AB997" s="227"/>
      <c r="AC997" s="227"/>
      <c r="AD997" s="227"/>
      <c r="AE997" s="227"/>
    </row>
    <row r="998" ht="15.75" customHeight="1">
      <c r="A998" s="227"/>
      <c r="B998" s="227"/>
      <c r="C998" s="227"/>
      <c r="D998" s="227"/>
      <c r="E998" s="227"/>
      <c r="F998" s="227"/>
      <c r="G998" s="227"/>
      <c r="H998" s="227"/>
      <c r="I998" s="227"/>
      <c r="J998" s="227"/>
      <c r="K998" s="227"/>
      <c r="L998" s="227"/>
      <c r="M998" s="227"/>
      <c r="N998" s="227"/>
      <c r="O998" s="227"/>
      <c r="P998" s="227"/>
      <c r="Q998" s="227"/>
      <c r="R998" s="227"/>
      <c r="S998" s="227"/>
      <c r="T998" s="227"/>
      <c r="U998" s="227"/>
      <c r="V998" s="227"/>
      <c r="W998" s="227"/>
      <c r="X998" s="227"/>
      <c r="Y998" s="227"/>
      <c r="Z998" s="227"/>
      <c r="AA998" s="227"/>
      <c r="AB998" s="227"/>
      <c r="AC998" s="227"/>
      <c r="AD998" s="227"/>
      <c r="AE998" s="227"/>
    </row>
    <row r="999" ht="15.75" customHeight="1">
      <c r="A999" s="227"/>
      <c r="B999" s="227"/>
      <c r="C999" s="227"/>
      <c r="D999" s="227"/>
      <c r="E999" s="227"/>
      <c r="F999" s="227"/>
      <c r="G999" s="227"/>
      <c r="H999" s="227"/>
      <c r="I999" s="227"/>
      <c r="J999" s="227"/>
      <c r="K999" s="227"/>
      <c r="L999" s="227"/>
      <c r="M999" s="227"/>
      <c r="N999" s="227"/>
      <c r="O999" s="227"/>
      <c r="P999" s="227"/>
      <c r="Q999" s="227"/>
      <c r="R999" s="227"/>
      <c r="S999" s="227"/>
      <c r="T999" s="227"/>
      <c r="U999" s="227"/>
      <c r="V999" s="227"/>
      <c r="W999" s="227"/>
      <c r="X999" s="227"/>
      <c r="Y999" s="227"/>
      <c r="Z999" s="227"/>
      <c r="AA999" s="227"/>
      <c r="AB999" s="227"/>
      <c r="AC999" s="227"/>
      <c r="AD999" s="227"/>
      <c r="AE999" s="227"/>
    </row>
    <row r="1000" ht="15.75" customHeight="1">
      <c r="A1000" s="227"/>
      <c r="B1000" s="227"/>
      <c r="C1000" s="227"/>
      <c r="D1000" s="227"/>
      <c r="E1000" s="227"/>
      <c r="F1000" s="227"/>
      <c r="G1000" s="227"/>
      <c r="H1000" s="227"/>
      <c r="I1000" s="227"/>
      <c r="J1000" s="227"/>
      <c r="K1000" s="227"/>
      <c r="L1000" s="227"/>
      <c r="M1000" s="227"/>
      <c r="N1000" s="227"/>
      <c r="O1000" s="227"/>
      <c r="P1000" s="227"/>
      <c r="Q1000" s="227"/>
      <c r="R1000" s="227"/>
      <c r="S1000" s="227"/>
      <c r="T1000" s="227"/>
      <c r="U1000" s="227"/>
      <c r="V1000" s="227"/>
      <c r="W1000" s="227"/>
      <c r="X1000" s="227"/>
      <c r="Y1000" s="227"/>
      <c r="Z1000" s="227"/>
      <c r="AA1000" s="227"/>
      <c r="AB1000" s="227"/>
      <c r="AC1000" s="227"/>
      <c r="AD1000" s="227"/>
      <c r="AE1000" s="227"/>
    </row>
  </sheetData>
  <mergeCells count="10">
    <mergeCell ref="A10:M10"/>
    <mergeCell ref="A11:M11"/>
    <mergeCell ref="A40:H40"/>
    <mergeCell ref="A2:M2"/>
    <mergeCell ref="A4:M4"/>
    <mergeCell ref="A5:M5"/>
    <mergeCell ref="A6:M6"/>
    <mergeCell ref="A7:M7"/>
    <mergeCell ref="A8:M8"/>
    <mergeCell ref="A9:M9"/>
  </mergeCells>
  <printOptions/>
  <pageMargins bottom="1.0" footer="0.0" header="0.0" left="0.75" right="0.75" top="1.0"/>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19.86"/>
    <col customWidth="1" min="7" max="7" width="9.57"/>
    <col customWidth="1" min="8" max="8" width="11.86"/>
    <col customWidth="1" min="9" max="9" width="10.29"/>
    <col customWidth="1" min="10" max="10" width="8.0"/>
    <col customWidth="1" min="11" max="11" width="15.29"/>
    <col customWidth="1" min="12" max="26" width="8.0"/>
  </cols>
  <sheetData>
    <row r="1">
      <c r="A1" s="104"/>
      <c r="B1" s="61"/>
      <c r="C1" s="61"/>
      <c r="D1" s="61"/>
      <c r="E1" s="1"/>
      <c r="F1" s="1"/>
      <c r="G1" s="3"/>
      <c r="H1" s="3"/>
      <c r="I1" s="3"/>
      <c r="J1" s="3"/>
      <c r="K1" s="3"/>
      <c r="L1" s="3"/>
      <c r="M1" s="3"/>
      <c r="N1" s="3"/>
      <c r="O1" s="3"/>
      <c r="P1" s="3"/>
      <c r="Q1" s="3"/>
      <c r="R1" s="3"/>
      <c r="S1" s="3"/>
      <c r="T1" s="3"/>
      <c r="U1" s="3"/>
      <c r="V1" s="3"/>
      <c r="W1" s="3"/>
      <c r="X1" s="3"/>
      <c r="Y1" s="3"/>
      <c r="Z1" s="3"/>
    </row>
    <row r="2" ht="29.25" customHeight="1">
      <c r="A2" s="280" t="s">
        <v>5760</v>
      </c>
      <c r="B2" s="103"/>
      <c r="C2" s="103"/>
      <c r="D2" s="103"/>
      <c r="E2" s="103"/>
      <c r="F2" s="103"/>
      <c r="G2" s="103"/>
      <c r="H2" s="103"/>
      <c r="I2" s="103"/>
      <c r="J2" s="103"/>
      <c r="K2" s="107"/>
      <c r="L2" s="107"/>
      <c r="M2" s="107"/>
      <c r="N2" s="107"/>
      <c r="O2" s="107"/>
      <c r="P2" s="107"/>
      <c r="Q2" s="107"/>
      <c r="R2" s="107"/>
      <c r="S2" s="107"/>
      <c r="T2" s="107"/>
      <c r="U2" s="107"/>
      <c r="V2" s="107"/>
      <c r="W2" s="107"/>
      <c r="X2" s="107"/>
      <c r="Y2" s="107"/>
      <c r="Z2" s="107"/>
    </row>
    <row r="3">
      <c r="A3" s="127"/>
      <c r="B3" s="127"/>
      <c r="C3" s="127"/>
      <c r="D3" s="127"/>
      <c r="E3" s="127"/>
      <c r="F3" s="106"/>
      <c r="G3" s="107"/>
      <c r="H3" s="107"/>
      <c r="I3" s="107"/>
      <c r="J3" s="107"/>
      <c r="K3" s="107"/>
      <c r="L3" s="107"/>
      <c r="M3" s="107"/>
      <c r="N3" s="107"/>
      <c r="O3" s="107"/>
      <c r="P3" s="107"/>
      <c r="Q3" s="107"/>
      <c r="R3" s="107"/>
      <c r="S3" s="107"/>
      <c r="T3" s="107"/>
      <c r="U3" s="107"/>
      <c r="V3" s="107"/>
      <c r="W3" s="107"/>
      <c r="X3" s="107"/>
      <c r="Y3" s="107"/>
      <c r="Z3" s="107"/>
    </row>
    <row r="4" ht="42.75" customHeight="1">
      <c r="A4" s="108" t="s">
        <v>5761</v>
      </c>
      <c r="B4" s="64"/>
      <c r="C4" s="64"/>
      <c r="D4" s="64"/>
      <c r="E4" s="64"/>
      <c r="F4" s="64"/>
      <c r="G4" s="64"/>
      <c r="H4" s="64"/>
      <c r="I4" s="64"/>
      <c r="J4" s="65"/>
      <c r="K4" s="107"/>
      <c r="L4" s="107"/>
      <c r="M4" s="107"/>
      <c r="N4" s="107"/>
      <c r="O4" s="107"/>
      <c r="P4" s="107"/>
      <c r="Q4" s="107"/>
      <c r="R4" s="107"/>
      <c r="S4" s="107"/>
      <c r="T4" s="107"/>
      <c r="U4" s="107"/>
      <c r="V4" s="107"/>
      <c r="W4" s="107"/>
      <c r="X4" s="107"/>
      <c r="Y4" s="107"/>
      <c r="Z4" s="107"/>
    </row>
    <row r="5" ht="16.5" customHeight="1">
      <c r="A5" s="108" t="s">
        <v>5762</v>
      </c>
      <c r="B5" s="64"/>
      <c r="C5" s="64"/>
      <c r="D5" s="64"/>
      <c r="E5" s="64"/>
      <c r="F5" s="64"/>
      <c r="G5" s="64"/>
      <c r="H5" s="64"/>
      <c r="I5" s="64"/>
      <c r="J5" s="65"/>
      <c r="K5" s="107"/>
      <c r="L5" s="107"/>
      <c r="M5" s="107"/>
      <c r="N5" s="107"/>
      <c r="O5" s="107"/>
      <c r="P5" s="107"/>
      <c r="Q5" s="107"/>
      <c r="R5" s="107"/>
      <c r="S5" s="107"/>
      <c r="T5" s="107"/>
      <c r="U5" s="107"/>
      <c r="V5" s="107"/>
      <c r="W5" s="107"/>
      <c r="X5" s="107"/>
      <c r="Y5" s="107"/>
      <c r="Z5" s="107"/>
    </row>
    <row r="6" ht="14.25" customHeight="1">
      <c r="A6" s="108" t="s">
        <v>5763</v>
      </c>
      <c r="B6" s="64"/>
      <c r="C6" s="64"/>
      <c r="D6" s="64"/>
      <c r="E6" s="64"/>
      <c r="F6" s="64"/>
      <c r="G6" s="64"/>
      <c r="H6" s="64"/>
      <c r="I6" s="64"/>
      <c r="J6" s="65"/>
      <c r="K6" s="107"/>
      <c r="L6" s="107"/>
      <c r="M6" s="107"/>
      <c r="N6" s="107"/>
      <c r="O6" s="107"/>
      <c r="P6" s="107"/>
      <c r="Q6" s="107"/>
      <c r="R6" s="107"/>
      <c r="S6" s="107"/>
      <c r="T6" s="107"/>
      <c r="U6" s="107"/>
      <c r="V6" s="107"/>
      <c r="W6" s="107"/>
      <c r="X6" s="107"/>
      <c r="Y6" s="107"/>
      <c r="Z6" s="107"/>
    </row>
    <row r="7" ht="32.25" customHeight="1">
      <c r="A7" s="108" t="s">
        <v>5764</v>
      </c>
      <c r="B7" s="64"/>
      <c r="C7" s="64"/>
      <c r="D7" s="64"/>
      <c r="E7" s="64"/>
      <c r="F7" s="64"/>
      <c r="G7" s="64"/>
      <c r="H7" s="64"/>
      <c r="I7" s="64"/>
      <c r="J7" s="65"/>
      <c r="K7" s="107"/>
      <c r="L7" s="107"/>
      <c r="M7" s="107"/>
      <c r="N7" s="107"/>
      <c r="O7" s="107"/>
      <c r="P7" s="107"/>
      <c r="Q7" s="107"/>
      <c r="R7" s="107"/>
      <c r="S7" s="107"/>
      <c r="T7" s="107"/>
      <c r="U7" s="107"/>
      <c r="V7" s="107"/>
      <c r="W7" s="107"/>
      <c r="X7" s="107"/>
      <c r="Y7" s="107"/>
      <c r="Z7" s="107"/>
    </row>
    <row r="8" ht="15.0" customHeight="1">
      <c r="A8" s="108" t="s">
        <v>5765</v>
      </c>
      <c r="B8" s="64"/>
      <c r="C8" s="64"/>
      <c r="D8" s="64"/>
      <c r="E8" s="64"/>
      <c r="F8" s="64"/>
      <c r="G8" s="64"/>
      <c r="H8" s="64"/>
      <c r="I8" s="64"/>
      <c r="J8" s="65"/>
      <c r="K8" s="107"/>
      <c r="L8" s="107"/>
      <c r="M8" s="107"/>
      <c r="N8" s="107"/>
      <c r="O8" s="107"/>
      <c r="P8" s="107"/>
      <c r="Q8" s="107"/>
      <c r="R8" s="107"/>
      <c r="S8" s="107"/>
      <c r="T8" s="107"/>
      <c r="U8" s="107"/>
      <c r="V8" s="107"/>
      <c r="W8" s="107"/>
      <c r="X8" s="107"/>
      <c r="Y8" s="107"/>
      <c r="Z8" s="107"/>
    </row>
    <row r="9" ht="19.5" customHeight="1">
      <c r="A9" s="108" t="s">
        <v>5766</v>
      </c>
      <c r="B9" s="64"/>
      <c r="C9" s="64"/>
      <c r="D9" s="64"/>
      <c r="E9" s="64"/>
      <c r="F9" s="64"/>
      <c r="G9" s="64"/>
      <c r="H9" s="64"/>
      <c r="I9" s="64"/>
      <c r="J9" s="65"/>
      <c r="K9" s="107"/>
      <c r="L9" s="107"/>
      <c r="M9" s="107"/>
      <c r="N9" s="107"/>
      <c r="O9" s="107"/>
      <c r="P9" s="107"/>
      <c r="Q9" s="107"/>
      <c r="R9" s="107"/>
      <c r="S9" s="107"/>
      <c r="T9" s="107"/>
      <c r="U9" s="107"/>
      <c r="V9" s="107"/>
      <c r="W9" s="107"/>
      <c r="X9" s="107"/>
      <c r="Y9" s="107"/>
      <c r="Z9" s="107"/>
    </row>
    <row r="10" ht="72.75" customHeight="1">
      <c r="A10" s="67" t="s">
        <v>5767</v>
      </c>
      <c r="B10" s="64"/>
      <c r="C10" s="64"/>
      <c r="D10" s="64"/>
      <c r="E10" s="64"/>
      <c r="F10" s="64"/>
      <c r="G10" s="64"/>
      <c r="H10" s="64"/>
      <c r="I10" s="64"/>
      <c r="J10" s="65"/>
      <c r="K10" s="107"/>
      <c r="L10" s="107"/>
      <c r="M10" s="107"/>
      <c r="N10" s="107"/>
      <c r="O10" s="107"/>
      <c r="P10" s="107"/>
      <c r="Q10" s="107"/>
      <c r="R10" s="107"/>
      <c r="S10" s="107"/>
      <c r="T10" s="107"/>
      <c r="U10" s="107"/>
      <c r="V10" s="107"/>
      <c r="W10" s="107"/>
      <c r="X10" s="107"/>
      <c r="Y10" s="107"/>
      <c r="Z10" s="107"/>
    </row>
    <row r="11">
      <c r="A11" s="104"/>
      <c r="B11" s="61"/>
      <c r="C11" s="61"/>
      <c r="D11" s="61"/>
      <c r="E11" s="1"/>
      <c r="F11" s="1"/>
      <c r="G11" s="107"/>
      <c r="H11" s="107"/>
      <c r="I11" s="107"/>
      <c r="J11" s="107"/>
      <c r="K11" s="107"/>
      <c r="L11" s="107"/>
      <c r="M11" s="107"/>
      <c r="N11" s="107"/>
      <c r="O11" s="107"/>
      <c r="P11" s="107"/>
      <c r="Q11" s="107"/>
      <c r="R11" s="107"/>
      <c r="S11" s="107"/>
      <c r="T11" s="107"/>
      <c r="U11" s="107"/>
      <c r="V11" s="107"/>
      <c r="W11" s="107"/>
      <c r="X11" s="107"/>
      <c r="Y11" s="107"/>
      <c r="Z11" s="107"/>
    </row>
    <row r="12" ht="38.25" customHeight="1">
      <c r="A12" s="228" t="s">
        <v>7</v>
      </c>
      <c r="B12" s="217" t="s">
        <v>1196</v>
      </c>
      <c r="C12" s="217" t="s">
        <v>5768</v>
      </c>
      <c r="D12" s="217" t="s">
        <v>1199</v>
      </c>
      <c r="E12" s="132" t="s">
        <v>8</v>
      </c>
      <c r="F12" s="217" t="s">
        <v>5769</v>
      </c>
      <c r="G12" s="111" t="s">
        <v>5770</v>
      </c>
      <c r="H12" s="111" t="s">
        <v>5771</v>
      </c>
      <c r="I12" s="111" t="s">
        <v>1204</v>
      </c>
      <c r="J12" s="111" t="s">
        <v>221</v>
      </c>
      <c r="K12" s="113" t="s">
        <v>222</v>
      </c>
      <c r="L12" s="3"/>
      <c r="M12" s="3"/>
      <c r="N12" s="3"/>
      <c r="O12" s="3"/>
      <c r="P12" s="3"/>
      <c r="Q12" s="3"/>
      <c r="R12" s="3"/>
      <c r="S12" s="3"/>
      <c r="T12" s="3"/>
      <c r="U12" s="3"/>
      <c r="V12" s="3"/>
      <c r="W12" s="3"/>
      <c r="X12" s="3"/>
      <c r="Y12" s="3"/>
      <c r="Z12" s="3"/>
    </row>
    <row r="13" ht="15.0" customHeight="1">
      <c r="A13" s="82" t="s">
        <v>5772</v>
      </c>
      <c r="B13" s="82" t="s">
        <v>5773</v>
      </c>
      <c r="C13" s="82" t="s">
        <v>5774</v>
      </c>
      <c r="D13" s="86" t="s">
        <v>5772</v>
      </c>
      <c r="E13" s="152" t="s">
        <v>5775</v>
      </c>
      <c r="F13" s="274" t="s">
        <v>5776</v>
      </c>
      <c r="G13" s="281">
        <v>25500.0</v>
      </c>
      <c r="H13" s="281">
        <v>25500.0</v>
      </c>
      <c r="I13" s="281">
        <v>200.0</v>
      </c>
      <c r="J13" s="281">
        <v>200.0</v>
      </c>
      <c r="K13" s="281" t="s">
        <v>73</v>
      </c>
    </row>
    <row r="14" ht="15.0" customHeight="1">
      <c r="A14" s="82" t="s">
        <v>5777</v>
      </c>
      <c r="B14" s="82" t="s">
        <v>5778</v>
      </c>
      <c r="C14" s="82" t="s">
        <v>5779</v>
      </c>
      <c r="D14" s="86" t="s">
        <v>5777</v>
      </c>
      <c r="E14" s="152" t="s">
        <v>94</v>
      </c>
      <c r="F14" s="274" t="s">
        <v>5780</v>
      </c>
      <c r="G14" s="282" t="s">
        <v>5781</v>
      </c>
      <c r="H14" s="282" t="s">
        <v>5781</v>
      </c>
      <c r="I14" s="282">
        <v>100.0</v>
      </c>
      <c r="J14" s="282">
        <v>100.0</v>
      </c>
      <c r="K14" s="281" t="s">
        <v>3008</v>
      </c>
    </row>
    <row r="15" ht="15.0" customHeight="1">
      <c r="A15" s="82" t="s">
        <v>5777</v>
      </c>
      <c r="B15" s="82" t="s">
        <v>5782</v>
      </c>
      <c r="C15" s="82" t="s">
        <v>5779</v>
      </c>
      <c r="D15" s="86" t="s">
        <v>5777</v>
      </c>
      <c r="E15" s="152" t="s">
        <v>94</v>
      </c>
      <c r="F15" s="274" t="s">
        <v>5780</v>
      </c>
      <c r="G15" s="282" t="s">
        <v>5783</v>
      </c>
      <c r="H15" s="282" t="s">
        <v>5783</v>
      </c>
      <c r="I15" s="282">
        <v>100.0</v>
      </c>
      <c r="J15" s="282">
        <v>100.0</v>
      </c>
      <c r="K15" s="281" t="s">
        <v>3008</v>
      </c>
    </row>
    <row r="16" ht="15.0" customHeight="1">
      <c r="A16" s="82" t="s">
        <v>5777</v>
      </c>
      <c r="B16" s="82" t="s">
        <v>5784</v>
      </c>
      <c r="C16" s="82" t="s">
        <v>5779</v>
      </c>
      <c r="D16" s="86" t="s">
        <v>5777</v>
      </c>
      <c r="E16" s="152" t="s">
        <v>94</v>
      </c>
      <c r="F16" s="274" t="s">
        <v>5785</v>
      </c>
      <c r="G16" s="282" t="s">
        <v>5781</v>
      </c>
      <c r="H16" s="282" t="s">
        <v>5781</v>
      </c>
      <c r="I16" s="282">
        <v>100.0</v>
      </c>
      <c r="J16" s="282">
        <v>100.0</v>
      </c>
      <c r="K16" s="281" t="s">
        <v>3008</v>
      </c>
    </row>
    <row r="17" ht="15.0" customHeight="1">
      <c r="A17" s="82" t="s">
        <v>5777</v>
      </c>
      <c r="B17" s="82" t="s">
        <v>5786</v>
      </c>
      <c r="C17" s="82" t="s">
        <v>5779</v>
      </c>
      <c r="D17" s="86" t="s">
        <v>5777</v>
      </c>
      <c r="E17" s="152" t="s">
        <v>94</v>
      </c>
      <c r="F17" s="274" t="s">
        <v>5785</v>
      </c>
      <c r="G17" s="282" t="s">
        <v>5781</v>
      </c>
      <c r="H17" s="282" t="s">
        <v>5781</v>
      </c>
      <c r="I17" s="282">
        <v>100.0</v>
      </c>
      <c r="J17" s="282">
        <v>100.0</v>
      </c>
      <c r="K17" s="281" t="s">
        <v>3008</v>
      </c>
    </row>
    <row r="18" ht="15.0" customHeight="1">
      <c r="A18" s="193" t="s">
        <v>185</v>
      </c>
      <c r="B18" s="61"/>
      <c r="C18" s="61"/>
      <c r="D18" s="61"/>
      <c r="E18" s="106"/>
      <c r="F18" s="3"/>
      <c r="G18" s="3"/>
      <c r="H18" s="3"/>
      <c r="I18" s="3"/>
      <c r="J18" s="283">
        <f>SUM(J13:J17)</f>
        <v>600</v>
      </c>
    </row>
    <row r="19" ht="15.0" customHeight="1">
      <c r="A19" s="104"/>
      <c r="B19" s="61"/>
      <c r="C19" s="61"/>
      <c r="D19" s="61"/>
      <c r="E19" s="1"/>
      <c r="F19" s="1"/>
      <c r="G19" s="3"/>
      <c r="H19" s="3"/>
      <c r="I19" s="3"/>
      <c r="J19" s="3"/>
    </row>
    <row r="20" ht="15.0" customHeight="1">
      <c r="A20" s="284" t="s">
        <v>1169</v>
      </c>
      <c r="B20" s="103"/>
      <c r="C20" s="103"/>
      <c r="D20" s="103"/>
      <c r="E20" s="103"/>
      <c r="F20" s="103"/>
      <c r="G20" s="3"/>
      <c r="H20" s="3"/>
      <c r="I20" s="3"/>
      <c r="J20" s="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0:F20"/>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28.57"/>
    <col customWidth="1" min="13" max="26" width="8.0"/>
  </cols>
  <sheetData>
    <row r="1">
      <c r="A1" s="104"/>
      <c r="B1" s="61"/>
      <c r="C1" s="61"/>
      <c r="D1" s="61"/>
      <c r="E1" s="285"/>
      <c r="F1" s="61"/>
      <c r="G1" s="61"/>
      <c r="H1" s="1"/>
      <c r="I1" s="3"/>
      <c r="J1" s="3"/>
      <c r="K1" s="3"/>
      <c r="L1" s="3"/>
      <c r="M1" s="3"/>
      <c r="N1" s="3"/>
      <c r="O1" s="3"/>
      <c r="P1" s="3"/>
      <c r="Q1" s="3"/>
      <c r="R1" s="3"/>
      <c r="S1" s="3"/>
      <c r="T1" s="3"/>
      <c r="U1" s="3"/>
      <c r="V1" s="3"/>
      <c r="W1" s="3"/>
      <c r="X1" s="3"/>
      <c r="Y1" s="3"/>
      <c r="Z1" s="3"/>
    </row>
    <row r="2" ht="15.75" customHeight="1">
      <c r="A2" s="280" t="s">
        <v>5787</v>
      </c>
      <c r="B2" s="103"/>
      <c r="C2" s="103"/>
      <c r="D2" s="103"/>
      <c r="E2" s="103"/>
      <c r="F2" s="103"/>
      <c r="G2" s="103"/>
      <c r="H2" s="103"/>
      <c r="I2" s="103"/>
      <c r="J2" s="103"/>
      <c r="K2" s="103"/>
      <c r="L2" s="107"/>
      <c r="M2" s="107"/>
      <c r="N2" s="107"/>
      <c r="O2" s="107"/>
      <c r="P2" s="107"/>
      <c r="Q2" s="107"/>
      <c r="R2" s="107"/>
      <c r="S2" s="107"/>
      <c r="T2" s="107"/>
      <c r="U2" s="107"/>
      <c r="V2" s="107"/>
      <c r="W2" s="107"/>
      <c r="X2" s="107"/>
      <c r="Y2" s="107"/>
      <c r="Z2" s="107"/>
    </row>
    <row r="3">
      <c r="A3" s="127"/>
      <c r="B3" s="127"/>
      <c r="C3" s="127"/>
      <c r="D3" s="127"/>
      <c r="E3" s="127"/>
      <c r="F3" s="127"/>
      <c r="G3" s="127"/>
      <c r="H3" s="106"/>
      <c r="I3" s="107"/>
      <c r="J3" s="107"/>
      <c r="K3" s="107"/>
      <c r="L3" s="107"/>
      <c r="M3" s="107"/>
      <c r="N3" s="107"/>
      <c r="O3" s="107"/>
      <c r="P3" s="107"/>
      <c r="Q3" s="107"/>
      <c r="R3" s="107"/>
      <c r="S3" s="107"/>
      <c r="T3" s="107"/>
      <c r="U3" s="107"/>
      <c r="V3" s="107"/>
      <c r="W3" s="107"/>
      <c r="X3" s="107"/>
      <c r="Y3" s="107"/>
      <c r="Z3" s="107"/>
    </row>
    <row r="4" ht="27.75" customHeight="1">
      <c r="A4" s="108" t="s">
        <v>5788</v>
      </c>
      <c r="B4" s="64"/>
      <c r="C4" s="64"/>
      <c r="D4" s="64"/>
      <c r="E4" s="64"/>
      <c r="F4" s="64"/>
      <c r="G4" s="64"/>
      <c r="H4" s="64"/>
      <c r="I4" s="64"/>
      <c r="J4" s="64"/>
      <c r="K4" s="65"/>
      <c r="L4" s="126"/>
      <c r="M4" s="126"/>
      <c r="N4" s="126"/>
      <c r="O4" s="126"/>
      <c r="P4" s="126"/>
      <c r="Q4" s="126"/>
      <c r="R4" s="126"/>
      <c r="S4" s="126"/>
      <c r="T4" s="126"/>
      <c r="U4" s="126"/>
      <c r="V4" s="126"/>
      <c r="W4" s="126"/>
      <c r="X4" s="126"/>
      <c r="Y4" s="126"/>
      <c r="Z4" s="126"/>
    </row>
    <row r="5" ht="28.5" customHeight="1">
      <c r="A5" s="108" t="s">
        <v>5789</v>
      </c>
      <c r="B5" s="64"/>
      <c r="C5" s="64"/>
      <c r="D5" s="64"/>
      <c r="E5" s="64"/>
      <c r="F5" s="64"/>
      <c r="G5" s="64"/>
      <c r="H5" s="64"/>
      <c r="I5" s="64"/>
      <c r="J5" s="64"/>
      <c r="K5" s="65"/>
      <c r="L5" s="126"/>
      <c r="M5" s="126"/>
      <c r="N5" s="126"/>
      <c r="O5" s="126"/>
      <c r="P5" s="126"/>
      <c r="Q5" s="126"/>
      <c r="R5" s="126"/>
      <c r="S5" s="126"/>
      <c r="T5" s="126"/>
      <c r="U5" s="126"/>
      <c r="V5" s="126"/>
      <c r="W5" s="126"/>
      <c r="X5" s="126"/>
      <c r="Y5" s="126"/>
      <c r="Z5" s="126"/>
    </row>
    <row r="6" ht="18.0" customHeight="1">
      <c r="A6" s="108" t="s">
        <v>5790</v>
      </c>
      <c r="B6" s="64"/>
      <c r="C6" s="64"/>
      <c r="D6" s="64"/>
      <c r="E6" s="64"/>
      <c r="F6" s="64"/>
      <c r="G6" s="64"/>
      <c r="H6" s="64"/>
      <c r="I6" s="64"/>
      <c r="J6" s="64"/>
      <c r="K6" s="65"/>
      <c r="L6" s="126"/>
      <c r="M6" s="126"/>
      <c r="N6" s="126"/>
      <c r="O6" s="126"/>
      <c r="P6" s="126"/>
      <c r="Q6" s="126"/>
      <c r="R6" s="126"/>
      <c r="S6" s="126"/>
      <c r="T6" s="126"/>
      <c r="U6" s="126"/>
      <c r="V6" s="126"/>
      <c r="W6" s="126"/>
      <c r="X6" s="126"/>
      <c r="Y6" s="126"/>
      <c r="Z6" s="126"/>
    </row>
    <row r="7" ht="14.25" customHeight="1">
      <c r="A7" s="108" t="s">
        <v>5791</v>
      </c>
      <c r="B7" s="64"/>
      <c r="C7" s="64"/>
      <c r="D7" s="64"/>
      <c r="E7" s="64"/>
      <c r="F7" s="64"/>
      <c r="G7" s="64"/>
      <c r="H7" s="64"/>
      <c r="I7" s="64"/>
      <c r="J7" s="64"/>
      <c r="K7" s="65"/>
      <c r="L7" s="126"/>
      <c r="M7" s="126"/>
      <c r="N7" s="126"/>
      <c r="O7" s="126"/>
      <c r="P7" s="126"/>
      <c r="Q7" s="126"/>
      <c r="R7" s="126"/>
      <c r="S7" s="126"/>
      <c r="T7" s="126"/>
      <c r="U7" s="126"/>
      <c r="V7" s="126"/>
      <c r="W7" s="126"/>
      <c r="X7" s="126"/>
      <c r="Y7" s="126"/>
      <c r="Z7" s="126"/>
    </row>
    <row r="8" ht="25.5" customHeight="1">
      <c r="A8" s="108" t="s">
        <v>5792</v>
      </c>
      <c r="B8" s="64"/>
      <c r="C8" s="64"/>
      <c r="D8" s="64"/>
      <c r="E8" s="64"/>
      <c r="F8" s="64"/>
      <c r="G8" s="64"/>
      <c r="H8" s="64"/>
      <c r="I8" s="64"/>
      <c r="J8" s="64"/>
      <c r="K8" s="65"/>
      <c r="L8" s="126"/>
      <c r="M8" s="126"/>
      <c r="N8" s="126"/>
      <c r="O8" s="126"/>
      <c r="P8" s="126"/>
      <c r="Q8" s="126"/>
      <c r="R8" s="126"/>
      <c r="S8" s="126"/>
      <c r="T8" s="126"/>
      <c r="U8" s="126"/>
      <c r="V8" s="126"/>
      <c r="W8" s="126"/>
      <c r="X8" s="126"/>
      <c r="Y8" s="126"/>
      <c r="Z8" s="126"/>
    </row>
    <row r="9" ht="26.25" customHeight="1">
      <c r="A9" s="108" t="s">
        <v>5793</v>
      </c>
      <c r="B9" s="64"/>
      <c r="C9" s="64"/>
      <c r="D9" s="64"/>
      <c r="E9" s="64"/>
      <c r="F9" s="64"/>
      <c r="G9" s="64"/>
      <c r="H9" s="64"/>
      <c r="I9" s="64"/>
      <c r="J9" s="64"/>
      <c r="K9" s="65"/>
      <c r="L9" s="126"/>
      <c r="M9" s="126"/>
      <c r="N9" s="126"/>
      <c r="O9" s="126"/>
      <c r="P9" s="126"/>
      <c r="Q9" s="126"/>
      <c r="R9" s="126"/>
      <c r="S9" s="126"/>
      <c r="T9" s="126"/>
      <c r="U9" s="126"/>
      <c r="V9" s="126"/>
      <c r="W9" s="126"/>
      <c r="X9" s="126"/>
      <c r="Y9" s="126"/>
      <c r="Z9" s="126"/>
    </row>
    <row r="10" ht="15.75" customHeight="1">
      <c r="A10" s="129" t="s">
        <v>1222</v>
      </c>
      <c r="B10" s="64"/>
      <c r="C10" s="64"/>
      <c r="D10" s="64"/>
      <c r="E10" s="64"/>
      <c r="F10" s="64"/>
      <c r="G10" s="64"/>
      <c r="H10" s="64"/>
      <c r="I10" s="64"/>
      <c r="J10" s="64"/>
      <c r="K10" s="65"/>
      <c r="L10" s="126"/>
      <c r="M10" s="126"/>
      <c r="N10" s="126"/>
      <c r="O10" s="126"/>
      <c r="P10" s="126"/>
      <c r="Q10" s="126"/>
      <c r="R10" s="126"/>
      <c r="S10" s="126"/>
      <c r="T10" s="126"/>
      <c r="U10" s="126"/>
      <c r="V10" s="126"/>
      <c r="W10" s="126"/>
      <c r="X10" s="126"/>
      <c r="Y10" s="126"/>
      <c r="Z10" s="126"/>
    </row>
    <row r="11" ht="14.25" customHeight="1">
      <c r="A11" s="108" t="s">
        <v>5794</v>
      </c>
      <c r="B11" s="64"/>
      <c r="C11" s="64"/>
      <c r="D11" s="64"/>
      <c r="E11" s="64"/>
      <c r="F11" s="64"/>
      <c r="G11" s="64"/>
      <c r="H11" s="64"/>
      <c r="I11" s="64"/>
      <c r="J11" s="64"/>
      <c r="K11" s="65"/>
      <c r="L11" s="126"/>
      <c r="M11" s="126"/>
      <c r="N11" s="126"/>
      <c r="O11" s="126"/>
      <c r="P11" s="126"/>
      <c r="Q11" s="126"/>
      <c r="R11" s="126"/>
      <c r="S11" s="126"/>
      <c r="T11" s="126"/>
      <c r="U11" s="126"/>
      <c r="V11" s="126"/>
      <c r="W11" s="126"/>
      <c r="X11" s="126"/>
      <c r="Y11" s="126"/>
      <c r="Z11" s="126"/>
    </row>
    <row r="12" ht="41.25" customHeight="1">
      <c r="A12" s="67" t="s">
        <v>5795</v>
      </c>
      <c r="B12" s="64"/>
      <c r="C12" s="64"/>
      <c r="D12" s="64"/>
      <c r="E12" s="64"/>
      <c r="F12" s="64"/>
      <c r="G12" s="64"/>
      <c r="H12" s="64"/>
      <c r="I12" s="64"/>
      <c r="J12" s="64"/>
      <c r="K12" s="65"/>
      <c r="L12" s="126"/>
      <c r="M12" s="126"/>
      <c r="N12" s="126"/>
      <c r="O12" s="126"/>
      <c r="P12" s="126"/>
      <c r="Q12" s="126"/>
      <c r="R12" s="126"/>
      <c r="S12" s="126"/>
      <c r="T12" s="126"/>
      <c r="U12" s="126"/>
      <c r="V12" s="126"/>
      <c r="W12" s="126"/>
      <c r="X12" s="126"/>
      <c r="Y12" s="126"/>
      <c r="Z12" s="126"/>
    </row>
    <row r="13">
      <c r="A13" s="109"/>
      <c r="B13" s="110"/>
      <c r="C13" s="110"/>
      <c r="D13" s="110"/>
      <c r="E13" s="286"/>
      <c r="F13" s="110"/>
      <c r="G13" s="110"/>
      <c r="H13" s="106"/>
      <c r="I13" s="107"/>
      <c r="J13" s="107"/>
      <c r="K13" s="107"/>
      <c r="L13" s="107"/>
      <c r="M13" s="107"/>
      <c r="N13" s="107"/>
      <c r="O13" s="107"/>
      <c r="P13" s="107"/>
      <c r="Q13" s="107"/>
      <c r="R13" s="107"/>
      <c r="S13" s="107"/>
      <c r="T13" s="107"/>
      <c r="U13" s="107"/>
      <c r="V13" s="107"/>
      <c r="W13" s="107"/>
      <c r="X13" s="107"/>
      <c r="Y13" s="107"/>
      <c r="Z13" s="107"/>
    </row>
    <row r="14" ht="61.5" customHeight="1">
      <c r="A14" s="131" t="s">
        <v>1226</v>
      </c>
      <c r="B14" s="132" t="s">
        <v>5796</v>
      </c>
      <c r="C14" s="132" t="s">
        <v>8</v>
      </c>
      <c r="D14" s="132" t="s">
        <v>5797</v>
      </c>
      <c r="E14" s="131" t="s">
        <v>1229</v>
      </c>
      <c r="F14" s="132" t="s">
        <v>5798</v>
      </c>
      <c r="G14" s="112" t="s">
        <v>1231</v>
      </c>
      <c r="H14" s="112" t="s">
        <v>215</v>
      </c>
      <c r="I14" s="112" t="s">
        <v>216</v>
      </c>
      <c r="J14" s="111" t="s">
        <v>217</v>
      </c>
      <c r="K14" s="131" t="s">
        <v>221</v>
      </c>
      <c r="L14" s="113" t="s">
        <v>222</v>
      </c>
      <c r="M14" s="107"/>
      <c r="N14" s="107"/>
      <c r="O14" s="107"/>
      <c r="P14" s="107"/>
      <c r="Q14" s="107"/>
      <c r="R14" s="107"/>
      <c r="S14" s="107"/>
      <c r="T14" s="107"/>
      <c r="U14" s="107"/>
      <c r="V14" s="107"/>
      <c r="W14" s="107"/>
      <c r="X14" s="107"/>
      <c r="Y14" s="107"/>
      <c r="Z14" s="107"/>
    </row>
    <row r="15" ht="15.0" customHeight="1">
      <c r="A15" s="78" t="s">
        <v>224</v>
      </c>
      <c r="B15" s="78" t="s">
        <v>223</v>
      </c>
      <c r="C15" s="82" t="s">
        <v>52</v>
      </c>
      <c r="D15" s="82" t="s">
        <v>5799</v>
      </c>
      <c r="E15" s="79" t="s">
        <v>5800</v>
      </c>
      <c r="F15" s="148" t="s">
        <v>5227</v>
      </c>
      <c r="G15" s="148">
        <v>5.0</v>
      </c>
      <c r="H15" s="148">
        <v>5.0</v>
      </c>
      <c r="I15" s="287">
        <v>7.0</v>
      </c>
      <c r="J15" s="287">
        <v>20.0</v>
      </c>
      <c r="K15" s="287">
        <f t="shared" ref="K15:K23" si="1">J15/G15</f>
        <v>4</v>
      </c>
      <c r="L15" s="288" t="s">
        <v>61</v>
      </c>
    </row>
    <row r="16" ht="15.0" customHeight="1">
      <c r="A16" s="78" t="s">
        <v>224</v>
      </c>
      <c r="B16" s="78" t="s">
        <v>223</v>
      </c>
      <c r="C16" s="82" t="s">
        <v>52</v>
      </c>
      <c r="D16" s="78" t="s">
        <v>5801</v>
      </c>
      <c r="E16" s="80" t="s">
        <v>5802</v>
      </c>
      <c r="F16" s="147" t="s">
        <v>5803</v>
      </c>
      <c r="G16" s="148">
        <v>5.0</v>
      </c>
      <c r="H16" s="148">
        <v>5.0</v>
      </c>
      <c r="I16" s="287">
        <v>7.0</v>
      </c>
      <c r="J16" s="287">
        <v>10.0</v>
      </c>
      <c r="K16" s="287">
        <f t="shared" si="1"/>
        <v>2</v>
      </c>
      <c r="L16" s="288" t="s">
        <v>61</v>
      </c>
    </row>
    <row r="17" ht="15.0" customHeight="1">
      <c r="A17" s="85" t="s">
        <v>5804</v>
      </c>
      <c r="B17" s="85" t="s">
        <v>5805</v>
      </c>
      <c r="C17" s="82" t="s">
        <v>52</v>
      </c>
      <c r="D17" s="82" t="s">
        <v>5806</v>
      </c>
      <c r="E17" s="79" t="s">
        <v>5807</v>
      </c>
      <c r="F17" s="148" t="s">
        <v>5227</v>
      </c>
      <c r="G17" s="148">
        <v>1.0</v>
      </c>
      <c r="H17" s="148">
        <v>1.0</v>
      </c>
      <c r="I17" s="287">
        <v>1.0</v>
      </c>
      <c r="J17" s="287">
        <v>20.0</v>
      </c>
      <c r="K17" s="287">
        <f t="shared" si="1"/>
        <v>20</v>
      </c>
      <c r="L17" s="288" t="s">
        <v>61</v>
      </c>
    </row>
    <row r="18" ht="15.0" customHeight="1">
      <c r="A18" s="85" t="s">
        <v>5808</v>
      </c>
      <c r="B18" s="85" t="s">
        <v>5809</v>
      </c>
      <c r="C18" s="82" t="s">
        <v>52</v>
      </c>
      <c r="D18" s="78" t="s">
        <v>5801</v>
      </c>
      <c r="E18" s="80" t="s">
        <v>5802</v>
      </c>
      <c r="F18" s="147" t="s">
        <v>5803</v>
      </c>
      <c r="G18" s="148">
        <v>6.0</v>
      </c>
      <c r="H18" s="148">
        <v>6.0</v>
      </c>
      <c r="I18" s="287">
        <v>6.0</v>
      </c>
      <c r="J18" s="287">
        <v>10.0</v>
      </c>
      <c r="K18" s="289">
        <f t="shared" si="1"/>
        <v>1.666666667</v>
      </c>
      <c r="L18" s="288" t="s">
        <v>61</v>
      </c>
    </row>
    <row r="19" ht="15.0" customHeight="1">
      <c r="A19" s="85" t="s">
        <v>5810</v>
      </c>
      <c r="B19" s="85" t="s">
        <v>5811</v>
      </c>
      <c r="C19" s="82" t="s">
        <v>52</v>
      </c>
      <c r="D19" s="78" t="s">
        <v>5812</v>
      </c>
      <c r="E19" s="80" t="s">
        <v>5813</v>
      </c>
      <c r="F19" s="147" t="s">
        <v>5227</v>
      </c>
      <c r="G19" s="148">
        <v>3.0</v>
      </c>
      <c r="H19" s="148">
        <v>3.0</v>
      </c>
      <c r="I19" s="287">
        <v>3.0</v>
      </c>
      <c r="J19" s="287">
        <v>20.0</v>
      </c>
      <c r="K19" s="289">
        <f t="shared" si="1"/>
        <v>6.666666667</v>
      </c>
      <c r="L19" s="288" t="s">
        <v>61</v>
      </c>
    </row>
    <row r="20" ht="15.0" customHeight="1">
      <c r="A20" s="85" t="s">
        <v>5814</v>
      </c>
      <c r="B20" s="85" t="s">
        <v>5815</v>
      </c>
      <c r="C20" s="82" t="s">
        <v>52</v>
      </c>
      <c r="D20" s="78" t="s">
        <v>5816</v>
      </c>
      <c r="E20" s="80" t="s">
        <v>5817</v>
      </c>
      <c r="F20" s="147" t="s">
        <v>5227</v>
      </c>
      <c r="G20" s="148">
        <v>3.0</v>
      </c>
      <c r="H20" s="148">
        <v>3.0</v>
      </c>
      <c r="I20" s="287">
        <v>3.0</v>
      </c>
      <c r="J20" s="287">
        <v>20.0</v>
      </c>
      <c r="K20" s="289">
        <f t="shared" si="1"/>
        <v>6.666666667</v>
      </c>
      <c r="L20" s="288" t="s">
        <v>61</v>
      </c>
    </row>
    <row r="21" ht="15.0" customHeight="1">
      <c r="A21" s="85" t="s">
        <v>5818</v>
      </c>
      <c r="B21" s="85" t="s">
        <v>5819</v>
      </c>
      <c r="C21" s="82" t="s">
        <v>52</v>
      </c>
      <c r="D21" s="78" t="s">
        <v>5812</v>
      </c>
      <c r="E21" s="80" t="s">
        <v>5813</v>
      </c>
      <c r="F21" s="147" t="s">
        <v>5227</v>
      </c>
      <c r="G21" s="148">
        <v>2.0</v>
      </c>
      <c r="H21" s="148">
        <v>2.0</v>
      </c>
      <c r="I21" s="287">
        <v>2.0</v>
      </c>
      <c r="J21" s="287">
        <v>20.0</v>
      </c>
      <c r="K21" s="289">
        <f t="shared" si="1"/>
        <v>10</v>
      </c>
      <c r="L21" s="288" t="s">
        <v>61</v>
      </c>
    </row>
    <row r="22" ht="15.0" customHeight="1">
      <c r="A22" s="85" t="s">
        <v>5818</v>
      </c>
      <c r="B22" s="85" t="s">
        <v>5820</v>
      </c>
      <c r="C22" s="82" t="s">
        <v>52</v>
      </c>
      <c r="D22" s="78" t="s">
        <v>5821</v>
      </c>
      <c r="E22" s="80" t="s">
        <v>5822</v>
      </c>
      <c r="F22" s="147" t="s">
        <v>5227</v>
      </c>
      <c r="G22" s="148">
        <v>2.0</v>
      </c>
      <c r="H22" s="148">
        <v>2.0</v>
      </c>
      <c r="I22" s="287">
        <v>2.0</v>
      </c>
      <c r="J22" s="287">
        <v>20.0</v>
      </c>
      <c r="K22" s="289">
        <f t="shared" si="1"/>
        <v>10</v>
      </c>
      <c r="L22" s="288" t="s">
        <v>61</v>
      </c>
    </row>
    <row r="23" ht="15.0" customHeight="1">
      <c r="A23" s="85" t="s">
        <v>5804</v>
      </c>
      <c r="B23" s="85" t="s">
        <v>5823</v>
      </c>
      <c r="C23" s="82" t="s">
        <v>52</v>
      </c>
      <c r="D23" s="78" t="s">
        <v>5816</v>
      </c>
      <c r="E23" s="80" t="s">
        <v>5817</v>
      </c>
      <c r="F23" s="147" t="s">
        <v>5803</v>
      </c>
      <c r="G23" s="148">
        <v>1.0</v>
      </c>
      <c r="H23" s="148">
        <v>1.0</v>
      </c>
      <c r="I23" s="287">
        <v>1.0</v>
      </c>
      <c r="J23" s="287">
        <v>10.0</v>
      </c>
      <c r="K23" s="289">
        <f t="shared" si="1"/>
        <v>10</v>
      </c>
      <c r="L23" s="288" t="s">
        <v>61</v>
      </c>
    </row>
    <row r="24" ht="15.0" customHeight="1">
      <c r="A24" s="82" t="s">
        <v>1241</v>
      </c>
      <c r="B24" s="78" t="s">
        <v>1237</v>
      </c>
      <c r="C24" s="82" t="s">
        <v>52</v>
      </c>
      <c r="D24" s="82" t="s">
        <v>5824</v>
      </c>
      <c r="E24" s="82" t="s">
        <v>5825</v>
      </c>
      <c r="F24" s="82" t="s">
        <v>5826</v>
      </c>
      <c r="G24" s="82">
        <v>7.0</v>
      </c>
      <c r="H24" s="82">
        <v>7.0</v>
      </c>
      <c r="I24" s="288">
        <v>7.0</v>
      </c>
      <c r="J24" s="288">
        <v>20.0</v>
      </c>
      <c r="K24" s="290">
        <f>J24/I24</f>
        <v>2.857142857</v>
      </c>
      <c r="L24" s="288" t="s">
        <v>79</v>
      </c>
    </row>
    <row r="25" ht="15.0" customHeight="1">
      <c r="A25" s="82" t="s">
        <v>1272</v>
      </c>
      <c r="B25" s="78" t="s">
        <v>1273</v>
      </c>
      <c r="C25" s="82" t="s">
        <v>52</v>
      </c>
      <c r="D25" s="82" t="s">
        <v>5827</v>
      </c>
      <c r="E25" s="82" t="s">
        <v>5802</v>
      </c>
      <c r="F25" s="82" t="s">
        <v>5828</v>
      </c>
      <c r="G25" s="82">
        <v>7.0</v>
      </c>
      <c r="H25" s="82">
        <v>7.0</v>
      </c>
      <c r="I25" s="288">
        <v>7.0</v>
      </c>
      <c r="J25" s="288">
        <v>10.0</v>
      </c>
      <c r="K25" s="288">
        <v>1.43</v>
      </c>
      <c r="L25" s="288" t="s">
        <v>79</v>
      </c>
    </row>
    <row r="26" ht="15.0" customHeight="1">
      <c r="A26" s="82" t="s">
        <v>5829</v>
      </c>
      <c r="B26" s="82" t="s">
        <v>5830</v>
      </c>
      <c r="C26" s="82" t="s">
        <v>52</v>
      </c>
      <c r="D26" s="78" t="s">
        <v>5831</v>
      </c>
      <c r="E26" s="78" t="s">
        <v>5832</v>
      </c>
      <c r="F26" s="78" t="s">
        <v>5828</v>
      </c>
      <c r="G26" s="82">
        <v>4.0</v>
      </c>
      <c r="H26" s="82">
        <v>4.0</v>
      </c>
      <c r="I26" s="288">
        <v>4.0</v>
      </c>
      <c r="J26" s="288">
        <v>10.0</v>
      </c>
      <c r="K26" s="288">
        <v>2.5</v>
      </c>
      <c r="L26" s="288" t="s">
        <v>79</v>
      </c>
    </row>
    <row r="27" ht="15.0" customHeight="1">
      <c r="A27" s="82" t="s">
        <v>1252</v>
      </c>
      <c r="B27" s="82" t="s">
        <v>1253</v>
      </c>
      <c r="C27" s="82" t="s">
        <v>52</v>
      </c>
      <c r="D27" s="82" t="s">
        <v>5833</v>
      </c>
      <c r="E27" s="82" t="s">
        <v>5834</v>
      </c>
      <c r="F27" s="82" t="s">
        <v>5826</v>
      </c>
      <c r="G27" s="82">
        <v>4.0</v>
      </c>
      <c r="H27" s="82">
        <v>4.0</v>
      </c>
      <c r="I27" s="82">
        <v>4.0</v>
      </c>
      <c r="J27" s="82">
        <v>10.0</v>
      </c>
      <c r="K27" s="288">
        <f t="shared" ref="K27:K31" si="2">J27/I27</f>
        <v>2.5</v>
      </c>
      <c r="L27" s="288" t="s">
        <v>79</v>
      </c>
    </row>
    <row r="28" ht="15.0" customHeight="1">
      <c r="A28" s="82" t="s">
        <v>1281</v>
      </c>
      <c r="B28" s="78" t="s">
        <v>1282</v>
      </c>
      <c r="C28" s="82" t="s">
        <v>52</v>
      </c>
      <c r="D28" s="78" t="s">
        <v>5835</v>
      </c>
      <c r="E28" s="82" t="s">
        <v>5836</v>
      </c>
      <c r="F28" s="82" t="s">
        <v>5837</v>
      </c>
      <c r="G28" s="82">
        <v>4.0</v>
      </c>
      <c r="H28" s="82">
        <v>4.0</v>
      </c>
      <c r="I28" s="82">
        <v>4.0</v>
      </c>
      <c r="J28" s="82">
        <v>10.0</v>
      </c>
      <c r="K28" s="288">
        <f t="shared" si="2"/>
        <v>2.5</v>
      </c>
      <c r="L28" s="288" t="s">
        <v>79</v>
      </c>
    </row>
    <row r="29" ht="15.0" customHeight="1">
      <c r="A29" s="82" t="s">
        <v>1294</v>
      </c>
      <c r="B29" s="82" t="s">
        <v>1295</v>
      </c>
      <c r="C29" s="82" t="s">
        <v>52</v>
      </c>
      <c r="D29" s="82" t="s">
        <v>5838</v>
      </c>
      <c r="E29" s="82" t="s">
        <v>5839</v>
      </c>
      <c r="F29" s="82" t="s">
        <v>5837</v>
      </c>
      <c r="G29" s="82">
        <v>5.0</v>
      </c>
      <c r="H29" s="82">
        <v>5.0</v>
      </c>
      <c r="I29" s="82">
        <v>5.0</v>
      </c>
      <c r="J29" s="82">
        <v>10.0</v>
      </c>
      <c r="K29" s="288">
        <f t="shared" si="2"/>
        <v>2</v>
      </c>
      <c r="L29" s="288" t="s">
        <v>79</v>
      </c>
    </row>
    <row r="30" ht="15.0" customHeight="1">
      <c r="A30" s="82" t="s">
        <v>1294</v>
      </c>
      <c r="B30" s="82" t="s">
        <v>1295</v>
      </c>
      <c r="C30" s="82" t="s">
        <v>52</v>
      </c>
      <c r="D30" s="82" t="s">
        <v>5840</v>
      </c>
      <c r="E30" s="82" t="s">
        <v>5841</v>
      </c>
      <c r="F30" s="82" t="s">
        <v>5837</v>
      </c>
      <c r="G30" s="82">
        <v>5.0</v>
      </c>
      <c r="H30" s="82">
        <v>5.0</v>
      </c>
      <c r="I30" s="82">
        <v>5.0</v>
      </c>
      <c r="J30" s="82">
        <v>10.0</v>
      </c>
      <c r="K30" s="288">
        <f t="shared" si="2"/>
        <v>2</v>
      </c>
      <c r="L30" s="288" t="s">
        <v>79</v>
      </c>
    </row>
    <row r="31" ht="15.0" customHeight="1">
      <c r="A31" s="82" t="s">
        <v>1265</v>
      </c>
      <c r="B31" s="82" t="s">
        <v>1266</v>
      </c>
      <c r="C31" s="82" t="s">
        <v>52</v>
      </c>
      <c r="D31" s="82" t="s">
        <v>5842</v>
      </c>
      <c r="E31" s="82" t="s">
        <v>5843</v>
      </c>
      <c r="F31" s="82">
        <v>5.0</v>
      </c>
      <c r="G31" s="288">
        <v>5.0</v>
      </c>
      <c r="H31" s="288">
        <v>5.0</v>
      </c>
      <c r="I31" s="288">
        <v>5.0</v>
      </c>
      <c r="J31" s="288">
        <v>20.0</v>
      </c>
      <c r="K31" s="92">
        <f t="shared" si="2"/>
        <v>4</v>
      </c>
      <c r="L31" s="288" t="s">
        <v>79</v>
      </c>
    </row>
    <row r="32" ht="15.0" customHeight="1">
      <c r="A32" s="82" t="s">
        <v>1298</v>
      </c>
      <c r="B32" s="78" t="s">
        <v>1299</v>
      </c>
      <c r="C32" s="82" t="s">
        <v>52</v>
      </c>
      <c r="D32" s="82" t="s">
        <v>5844</v>
      </c>
      <c r="E32" s="82" t="s">
        <v>5845</v>
      </c>
      <c r="F32" s="82" t="s">
        <v>5828</v>
      </c>
      <c r="G32" s="82">
        <v>3.0</v>
      </c>
      <c r="H32" s="82">
        <v>3.0</v>
      </c>
      <c r="I32" s="291">
        <v>3.0</v>
      </c>
      <c r="J32" s="291">
        <v>10.0</v>
      </c>
      <c r="K32" s="291">
        <v>3.33</v>
      </c>
      <c r="L32" s="288" t="s">
        <v>51</v>
      </c>
    </row>
    <row r="33" ht="15.0" customHeight="1">
      <c r="A33" s="82" t="s">
        <v>1241</v>
      </c>
      <c r="B33" s="78" t="s">
        <v>1237</v>
      </c>
      <c r="C33" s="82" t="s">
        <v>52</v>
      </c>
      <c r="D33" s="82" t="s">
        <v>5824</v>
      </c>
      <c r="E33" s="82" t="s">
        <v>5825</v>
      </c>
      <c r="F33" s="82" t="s">
        <v>5826</v>
      </c>
      <c r="G33" s="82">
        <v>7.0</v>
      </c>
      <c r="H33" s="82">
        <v>7.0</v>
      </c>
      <c r="I33" s="291">
        <v>7.0</v>
      </c>
      <c r="J33" s="291">
        <v>20.0</v>
      </c>
      <c r="K33" s="291">
        <v>2.86</v>
      </c>
      <c r="L33" s="288" t="s">
        <v>51</v>
      </c>
    </row>
    <row r="34" ht="15.0" customHeight="1">
      <c r="A34" s="82" t="s">
        <v>1316</v>
      </c>
      <c r="B34" s="82" t="s">
        <v>1317</v>
      </c>
      <c r="C34" s="82" t="s">
        <v>52</v>
      </c>
      <c r="D34" s="82" t="s">
        <v>5846</v>
      </c>
      <c r="E34" s="82" t="s">
        <v>5847</v>
      </c>
      <c r="F34" s="82" t="s">
        <v>5372</v>
      </c>
      <c r="G34" s="82">
        <v>3.0</v>
      </c>
      <c r="H34" s="82">
        <v>3.0</v>
      </c>
      <c r="I34" s="291">
        <v>3.0</v>
      </c>
      <c r="J34" s="291">
        <v>20.0</v>
      </c>
      <c r="K34" s="291">
        <v>6.67</v>
      </c>
      <c r="L34" s="288" t="s">
        <v>51</v>
      </c>
    </row>
    <row r="35" ht="15.0" customHeight="1">
      <c r="A35" s="82" t="s">
        <v>5848</v>
      </c>
      <c r="B35" s="82" t="s">
        <v>5849</v>
      </c>
      <c r="C35" s="82" t="s">
        <v>52</v>
      </c>
      <c r="D35" s="82" t="s">
        <v>5827</v>
      </c>
      <c r="E35" s="82" t="s">
        <v>5802</v>
      </c>
      <c r="F35" s="82" t="s">
        <v>5828</v>
      </c>
      <c r="G35" s="82">
        <v>4.0</v>
      </c>
      <c r="H35" s="82">
        <v>4.0</v>
      </c>
      <c r="I35" s="291">
        <v>4.0</v>
      </c>
      <c r="J35" s="291">
        <v>10.0</v>
      </c>
      <c r="K35" s="291">
        <v>2.5</v>
      </c>
      <c r="L35" s="288" t="s">
        <v>51</v>
      </c>
    </row>
    <row r="36" ht="15.0" customHeight="1">
      <c r="A36" s="82" t="s">
        <v>1407</v>
      </c>
      <c r="B36" s="82" t="s">
        <v>1408</v>
      </c>
      <c r="C36" s="82" t="s">
        <v>52</v>
      </c>
      <c r="D36" s="82" t="s">
        <v>5850</v>
      </c>
      <c r="E36" s="82" t="s">
        <v>5851</v>
      </c>
      <c r="F36" s="82" t="s">
        <v>5372</v>
      </c>
      <c r="G36" s="82">
        <v>4.0</v>
      </c>
      <c r="H36" s="82">
        <v>4.0</v>
      </c>
      <c r="I36" s="291">
        <v>4.0</v>
      </c>
      <c r="J36" s="291">
        <v>20.0</v>
      </c>
      <c r="K36" s="291">
        <v>5.0</v>
      </c>
      <c r="L36" s="288" t="s">
        <v>51</v>
      </c>
    </row>
    <row r="37" ht="15.0" customHeight="1">
      <c r="A37" s="82" t="s">
        <v>1458</v>
      </c>
      <c r="B37" s="82" t="s">
        <v>1459</v>
      </c>
      <c r="C37" s="82" t="s">
        <v>52</v>
      </c>
      <c r="D37" s="78" t="s">
        <v>5852</v>
      </c>
      <c r="E37" s="78" t="s">
        <v>5853</v>
      </c>
      <c r="F37" s="78" t="s">
        <v>5854</v>
      </c>
      <c r="G37" s="82">
        <v>5.0</v>
      </c>
      <c r="H37" s="82">
        <v>5.0</v>
      </c>
      <c r="I37" s="291">
        <v>5.0</v>
      </c>
      <c r="J37" s="291">
        <v>20.0</v>
      </c>
      <c r="K37" s="291">
        <v>4.0</v>
      </c>
      <c r="L37" s="288" t="s">
        <v>51</v>
      </c>
    </row>
    <row r="38" ht="15.0" customHeight="1">
      <c r="A38" s="82" t="s">
        <v>1411</v>
      </c>
      <c r="B38" s="82" t="s">
        <v>1412</v>
      </c>
      <c r="C38" s="82" t="s">
        <v>52</v>
      </c>
      <c r="D38" s="82" t="s">
        <v>5827</v>
      </c>
      <c r="E38" s="82" t="s">
        <v>5802</v>
      </c>
      <c r="F38" s="82" t="s">
        <v>5828</v>
      </c>
      <c r="G38" s="82">
        <v>4.0</v>
      </c>
      <c r="H38" s="82">
        <v>4.0</v>
      </c>
      <c r="I38" s="291">
        <v>4.0</v>
      </c>
      <c r="J38" s="291">
        <v>10.0</v>
      </c>
      <c r="K38" s="291">
        <v>2.5</v>
      </c>
      <c r="L38" s="288" t="s">
        <v>51</v>
      </c>
    </row>
    <row r="39" ht="15.0" customHeight="1">
      <c r="A39" s="82" t="s">
        <v>1411</v>
      </c>
      <c r="B39" s="82" t="s">
        <v>1412</v>
      </c>
      <c r="C39" s="82" t="s">
        <v>52</v>
      </c>
      <c r="D39" s="78" t="s">
        <v>5855</v>
      </c>
      <c r="E39" s="78" t="s">
        <v>5856</v>
      </c>
      <c r="F39" s="78" t="s">
        <v>5372</v>
      </c>
      <c r="G39" s="82">
        <v>4.0</v>
      </c>
      <c r="H39" s="82">
        <v>4.0</v>
      </c>
      <c r="I39" s="291">
        <v>4.0</v>
      </c>
      <c r="J39" s="291">
        <v>20.0</v>
      </c>
      <c r="K39" s="291">
        <v>5.0</v>
      </c>
      <c r="L39" s="288" t="s">
        <v>51</v>
      </c>
    </row>
    <row r="40" ht="15.0" customHeight="1">
      <c r="A40" s="82" t="s">
        <v>5857</v>
      </c>
      <c r="B40" s="78" t="s">
        <v>5858</v>
      </c>
      <c r="C40" s="82" t="s">
        <v>52</v>
      </c>
      <c r="D40" s="82" t="s">
        <v>5827</v>
      </c>
      <c r="E40" s="82" t="s">
        <v>5802</v>
      </c>
      <c r="F40" s="82" t="s">
        <v>5828</v>
      </c>
      <c r="G40" s="82">
        <v>6.0</v>
      </c>
      <c r="H40" s="82">
        <v>6.0</v>
      </c>
      <c r="I40" s="291">
        <v>6.0</v>
      </c>
      <c r="J40" s="291">
        <v>10.0</v>
      </c>
      <c r="K40" s="291">
        <v>1.67</v>
      </c>
      <c r="L40" s="288" t="s">
        <v>51</v>
      </c>
    </row>
    <row r="41" ht="15.0" customHeight="1">
      <c r="A41" s="82" t="s">
        <v>5859</v>
      </c>
      <c r="B41" s="85" t="s">
        <v>5860</v>
      </c>
      <c r="C41" s="85" t="s">
        <v>52</v>
      </c>
      <c r="D41" s="82" t="s">
        <v>5827</v>
      </c>
      <c r="E41" s="82" t="s">
        <v>5802</v>
      </c>
      <c r="F41" s="82" t="s">
        <v>5828</v>
      </c>
      <c r="G41" s="82">
        <v>2.0</v>
      </c>
      <c r="H41" s="82">
        <v>2.0</v>
      </c>
      <c r="I41" s="291">
        <v>2.0</v>
      </c>
      <c r="J41" s="291">
        <v>10.0</v>
      </c>
      <c r="K41" s="291">
        <v>5.0</v>
      </c>
      <c r="L41" s="288" t="s">
        <v>51</v>
      </c>
    </row>
    <row r="42" ht="15.0" customHeight="1">
      <c r="A42" s="82" t="s">
        <v>1272</v>
      </c>
      <c r="B42" s="78" t="s">
        <v>1273</v>
      </c>
      <c r="C42" s="82" t="s">
        <v>52</v>
      </c>
      <c r="D42" s="82" t="s">
        <v>5827</v>
      </c>
      <c r="E42" s="82" t="s">
        <v>5802</v>
      </c>
      <c r="F42" s="82" t="s">
        <v>5828</v>
      </c>
      <c r="G42" s="82">
        <v>7.0</v>
      </c>
      <c r="H42" s="82">
        <v>7.0</v>
      </c>
      <c r="I42" s="291">
        <v>7.0</v>
      </c>
      <c r="J42" s="291">
        <v>10.0</v>
      </c>
      <c r="K42" s="291">
        <v>1.43</v>
      </c>
      <c r="L42" s="288" t="s">
        <v>51</v>
      </c>
    </row>
    <row r="43" ht="15.0" customHeight="1">
      <c r="A43" s="82" t="s">
        <v>1352</v>
      </c>
      <c r="B43" s="78" t="s">
        <v>1353</v>
      </c>
      <c r="C43" s="82" t="s">
        <v>52</v>
      </c>
      <c r="D43" s="82" t="s">
        <v>5827</v>
      </c>
      <c r="E43" s="82" t="s">
        <v>5802</v>
      </c>
      <c r="F43" s="82" t="s">
        <v>5828</v>
      </c>
      <c r="G43" s="82">
        <v>3.0</v>
      </c>
      <c r="H43" s="82">
        <v>3.0</v>
      </c>
      <c r="I43" s="291">
        <v>3.0</v>
      </c>
      <c r="J43" s="291">
        <v>10.0</v>
      </c>
      <c r="K43" s="291">
        <v>3.33</v>
      </c>
      <c r="L43" s="288" t="s">
        <v>51</v>
      </c>
    </row>
    <row r="44" ht="15.0" customHeight="1">
      <c r="A44" s="82" t="s">
        <v>1365</v>
      </c>
      <c r="B44" s="82" t="s">
        <v>1366</v>
      </c>
      <c r="C44" s="82" t="s">
        <v>52</v>
      </c>
      <c r="D44" s="78" t="s">
        <v>5861</v>
      </c>
      <c r="E44" s="78" t="s">
        <v>5862</v>
      </c>
      <c r="F44" s="78" t="s">
        <v>5863</v>
      </c>
      <c r="G44" s="82">
        <v>4.0</v>
      </c>
      <c r="H44" s="82">
        <v>4.0</v>
      </c>
      <c r="I44" s="291">
        <v>4.0</v>
      </c>
      <c r="J44" s="291">
        <v>20.0</v>
      </c>
      <c r="K44" s="291">
        <v>5.0</v>
      </c>
      <c r="L44" s="288" t="s">
        <v>51</v>
      </c>
    </row>
    <row r="45" ht="15.0" customHeight="1">
      <c r="A45" s="82" t="s">
        <v>1365</v>
      </c>
      <c r="B45" s="82" t="s">
        <v>1366</v>
      </c>
      <c r="C45" s="82" t="s">
        <v>52</v>
      </c>
      <c r="D45" s="78" t="s">
        <v>5864</v>
      </c>
      <c r="E45" s="78" t="s">
        <v>5865</v>
      </c>
      <c r="F45" s="78" t="s">
        <v>5372</v>
      </c>
      <c r="G45" s="82">
        <v>4.0</v>
      </c>
      <c r="H45" s="82">
        <v>4.0</v>
      </c>
      <c r="I45" s="291">
        <v>4.0</v>
      </c>
      <c r="J45" s="291">
        <v>20.0</v>
      </c>
      <c r="K45" s="291">
        <v>5.0</v>
      </c>
      <c r="L45" s="288" t="s">
        <v>51</v>
      </c>
    </row>
    <row r="46" ht="15.0" customHeight="1">
      <c r="A46" s="82" t="s">
        <v>1372</v>
      </c>
      <c r="B46" s="82" t="s">
        <v>1373</v>
      </c>
      <c r="C46" s="82" t="s">
        <v>52</v>
      </c>
      <c r="D46" s="78" t="s">
        <v>5866</v>
      </c>
      <c r="E46" s="78" t="s">
        <v>5867</v>
      </c>
      <c r="F46" s="78" t="s">
        <v>5854</v>
      </c>
      <c r="G46" s="82">
        <v>4.0</v>
      </c>
      <c r="H46" s="82">
        <v>4.0</v>
      </c>
      <c r="I46" s="291">
        <v>4.0</v>
      </c>
      <c r="J46" s="291">
        <v>20.0</v>
      </c>
      <c r="K46" s="291">
        <v>5.0</v>
      </c>
      <c r="L46" s="288" t="s">
        <v>51</v>
      </c>
    </row>
    <row r="47" ht="15.0" customHeight="1">
      <c r="A47" s="82" t="s">
        <v>5868</v>
      </c>
      <c r="B47" s="82" t="s">
        <v>5869</v>
      </c>
      <c r="C47" s="82" t="s">
        <v>52</v>
      </c>
      <c r="D47" s="78" t="s">
        <v>5870</v>
      </c>
      <c r="E47" s="78" t="s">
        <v>5871</v>
      </c>
      <c r="F47" s="78" t="s">
        <v>5372</v>
      </c>
      <c r="G47" s="82">
        <v>3.0</v>
      </c>
      <c r="H47" s="82">
        <v>3.0</v>
      </c>
      <c r="I47" s="291">
        <v>3.0</v>
      </c>
      <c r="J47" s="291">
        <v>20.0</v>
      </c>
      <c r="K47" s="291">
        <v>6.67</v>
      </c>
      <c r="L47" s="288" t="s">
        <v>51</v>
      </c>
    </row>
    <row r="48" ht="15.0" customHeight="1">
      <c r="A48" s="82" t="s">
        <v>5829</v>
      </c>
      <c r="B48" s="82" t="s">
        <v>5830</v>
      </c>
      <c r="C48" s="82" t="s">
        <v>52</v>
      </c>
      <c r="D48" s="78" t="s">
        <v>5831</v>
      </c>
      <c r="E48" s="78" t="s">
        <v>5832</v>
      </c>
      <c r="F48" s="78" t="s">
        <v>5828</v>
      </c>
      <c r="G48" s="82">
        <v>4.0</v>
      </c>
      <c r="H48" s="82">
        <v>4.0</v>
      </c>
      <c r="I48" s="291">
        <v>4.0</v>
      </c>
      <c r="J48" s="291">
        <v>10.0</v>
      </c>
      <c r="K48" s="291">
        <v>2.5</v>
      </c>
      <c r="L48" s="288" t="s">
        <v>51</v>
      </c>
    </row>
    <row r="49" ht="15.0" customHeight="1">
      <c r="A49" s="82" t="s">
        <v>5872</v>
      </c>
      <c r="B49" s="82" t="s">
        <v>5873</v>
      </c>
      <c r="C49" s="82" t="s">
        <v>5874</v>
      </c>
      <c r="D49" s="82" t="s">
        <v>5875</v>
      </c>
      <c r="E49" s="82" t="s">
        <v>5876</v>
      </c>
      <c r="F49" s="82" t="s">
        <v>5372</v>
      </c>
      <c r="G49" s="82">
        <v>4.0</v>
      </c>
      <c r="H49" s="82">
        <v>4.0</v>
      </c>
      <c r="I49" s="82">
        <v>4.0</v>
      </c>
      <c r="J49" s="82">
        <v>10.0</v>
      </c>
      <c r="K49" s="82">
        <v>2.5</v>
      </c>
      <c r="L49" s="288" t="s">
        <v>73</v>
      </c>
    </row>
    <row r="50" ht="15.0" customHeight="1">
      <c r="A50" s="82" t="s">
        <v>5877</v>
      </c>
      <c r="B50" s="95" t="s">
        <v>5878</v>
      </c>
      <c r="C50" s="82" t="s">
        <v>5874</v>
      </c>
      <c r="D50" s="82" t="s">
        <v>5879</v>
      </c>
      <c r="E50" s="82" t="s">
        <v>5880</v>
      </c>
      <c r="F50" s="82" t="s">
        <v>5372</v>
      </c>
      <c r="G50" s="82">
        <v>1.0</v>
      </c>
      <c r="H50" s="82">
        <v>1.0</v>
      </c>
      <c r="I50" s="82">
        <v>1.0</v>
      </c>
      <c r="J50" s="82">
        <v>10.0</v>
      </c>
      <c r="K50" s="82">
        <v>10.0</v>
      </c>
      <c r="L50" s="288" t="s">
        <v>73</v>
      </c>
    </row>
    <row r="51" ht="15.0" customHeight="1">
      <c r="A51" s="82" t="s">
        <v>1471</v>
      </c>
      <c r="B51" s="82" t="s">
        <v>1472</v>
      </c>
      <c r="C51" s="82" t="s">
        <v>52</v>
      </c>
      <c r="D51" s="82" t="s">
        <v>5881</v>
      </c>
      <c r="E51" s="79" t="s">
        <v>5882</v>
      </c>
      <c r="F51" s="82" t="s">
        <v>5372</v>
      </c>
      <c r="G51" s="82">
        <v>3.0</v>
      </c>
      <c r="H51" s="82">
        <v>3.0</v>
      </c>
      <c r="I51" s="82">
        <v>3.0</v>
      </c>
      <c r="J51" s="82">
        <v>10.0</v>
      </c>
      <c r="K51" s="82">
        <v>3.33</v>
      </c>
      <c r="L51" s="288" t="s">
        <v>73</v>
      </c>
    </row>
    <row r="52" ht="15.0" customHeight="1">
      <c r="A52" s="100" t="s">
        <v>1442</v>
      </c>
      <c r="B52" s="100" t="s">
        <v>1282</v>
      </c>
      <c r="C52" s="82" t="s">
        <v>52</v>
      </c>
      <c r="D52" s="100" t="s">
        <v>5883</v>
      </c>
      <c r="E52" s="79" t="s">
        <v>5884</v>
      </c>
      <c r="F52" s="78" t="s">
        <v>5885</v>
      </c>
      <c r="G52" s="99">
        <v>8.0</v>
      </c>
      <c r="H52" s="99">
        <v>8.0</v>
      </c>
      <c r="I52" s="82">
        <v>8.0</v>
      </c>
      <c r="J52" s="82">
        <v>10.0</v>
      </c>
      <c r="K52" s="92">
        <f>J52/I52</f>
        <v>1.25</v>
      </c>
      <c r="L52" s="288" t="s">
        <v>73</v>
      </c>
    </row>
    <row r="53" ht="15.0" customHeight="1">
      <c r="A53" s="82" t="s">
        <v>1483</v>
      </c>
      <c r="B53" s="82" t="s">
        <v>1484</v>
      </c>
      <c r="C53" s="82" t="s">
        <v>52</v>
      </c>
      <c r="D53" s="82" t="s">
        <v>5886</v>
      </c>
      <c r="E53" s="82" t="s">
        <v>5887</v>
      </c>
      <c r="F53" s="82" t="s">
        <v>5372</v>
      </c>
      <c r="G53" s="82">
        <v>5.0</v>
      </c>
      <c r="H53" s="82">
        <v>5.0</v>
      </c>
      <c r="I53" s="82">
        <v>5.0</v>
      </c>
      <c r="J53" s="82">
        <v>10.0</v>
      </c>
      <c r="K53" s="82">
        <v>2.0</v>
      </c>
      <c r="L53" s="288" t="s">
        <v>73</v>
      </c>
    </row>
    <row r="54" ht="15.0" customHeight="1">
      <c r="A54" s="82" t="s">
        <v>1486</v>
      </c>
      <c r="B54" s="82" t="s">
        <v>1487</v>
      </c>
      <c r="C54" s="82" t="s">
        <v>52</v>
      </c>
      <c r="D54" s="82" t="s">
        <v>5888</v>
      </c>
      <c r="E54" s="82" t="s">
        <v>5862</v>
      </c>
      <c r="F54" s="82" t="s">
        <v>5889</v>
      </c>
      <c r="G54" s="82">
        <v>4.0</v>
      </c>
      <c r="H54" s="82">
        <v>4.0</v>
      </c>
      <c r="I54" s="82">
        <v>4.0</v>
      </c>
      <c r="J54" s="82">
        <v>20.0</v>
      </c>
      <c r="K54" s="82">
        <f t="shared" ref="K54:K57" si="3">J54/I54</f>
        <v>5</v>
      </c>
      <c r="L54" s="288" t="s">
        <v>73</v>
      </c>
    </row>
    <row r="55" ht="15.0" customHeight="1">
      <c r="A55" s="100" t="s">
        <v>1486</v>
      </c>
      <c r="B55" s="100" t="s">
        <v>1487</v>
      </c>
      <c r="C55" s="100" t="s">
        <v>52</v>
      </c>
      <c r="D55" s="100" t="s">
        <v>5890</v>
      </c>
      <c r="E55" s="87" t="s">
        <v>5891</v>
      </c>
      <c r="F55" s="100" t="s">
        <v>5372</v>
      </c>
      <c r="G55" s="100">
        <v>4.0</v>
      </c>
      <c r="H55" s="100">
        <v>4.0</v>
      </c>
      <c r="I55" s="100">
        <v>4.0</v>
      </c>
      <c r="J55" s="100">
        <v>10.0</v>
      </c>
      <c r="K55" s="82">
        <f t="shared" si="3"/>
        <v>2.5</v>
      </c>
      <c r="L55" s="288" t="s">
        <v>73</v>
      </c>
    </row>
    <row r="56" ht="15.0" customHeight="1">
      <c r="A56" s="82" t="s">
        <v>1486</v>
      </c>
      <c r="B56" s="82" t="s">
        <v>1487</v>
      </c>
      <c r="C56" s="82" t="s">
        <v>52</v>
      </c>
      <c r="D56" s="82" t="s">
        <v>5892</v>
      </c>
      <c r="E56" s="87" t="s">
        <v>5893</v>
      </c>
      <c r="F56" s="86"/>
      <c r="G56" s="82">
        <v>4.0</v>
      </c>
      <c r="H56" s="82">
        <v>4.0</v>
      </c>
      <c r="I56" s="82">
        <v>4.0</v>
      </c>
      <c r="J56" s="152">
        <v>20.0</v>
      </c>
      <c r="K56" s="84">
        <f t="shared" si="3"/>
        <v>5</v>
      </c>
      <c r="L56" s="288" t="s">
        <v>73</v>
      </c>
    </row>
    <row r="57" ht="15.0" customHeight="1">
      <c r="A57" s="82" t="s">
        <v>1490</v>
      </c>
      <c r="B57" s="87" t="s">
        <v>1491</v>
      </c>
      <c r="C57" s="82" t="s">
        <v>52</v>
      </c>
      <c r="D57" s="82" t="s">
        <v>5894</v>
      </c>
      <c r="E57" s="87" t="s">
        <v>5895</v>
      </c>
      <c r="F57" s="82" t="s">
        <v>5896</v>
      </c>
      <c r="G57" s="82">
        <v>4.0</v>
      </c>
      <c r="H57" s="82">
        <v>4.0</v>
      </c>
      <c r="I57" s="82">
        <v>4.0</v>
      </c>
      <c r="J57" s="82">
        <v>20.0</v>
      </c>
      <c r="K57" s="82">
        <f t="shared" si="3"/>
        <v>5</v>
      </c>
      <c r="L57" s="288" t="s">
        <v>73</v>
      </c>
    </row>
    <row r="58" ht="15.0" customHeight="1">
      <c r="A58" s="82" t="s">
        <v>5897</v>
      </c>
      <c r="B58" s="82" t="s">
        <v>5898</v>
      </c>
      <c r="C58" s="82" t="s">
        <v>52</v>
      </c>
      <c r="D58" s="82" t="s">
        <v>5879</v>
      </c>
      <c r="E58" s="95" t="s">
        <v>5880</v>
      </c>
      <c r="F58" s="82" t="s">
        <v>5899</v>
      </c>
      <c r="G58" s="82">
        <v>4.0</v>
      </c>
      <c r="H58" s="82">
        <v>4.0</v>
      </c>
      <c r="I58" s="82">
        <v>4.0</v>
      </c>
      <c r="J58" s="82">
        <v>10.0</v>
      </c>
      <c r="K58" s="82">
        <v>2.5</v>
      </c>
      <c r="L58" s="288" t="s">
        <v>73</v>
      </c>
    </row>
    <row r="59" ht="15.0" customHeight="1">
      <c r="A59" s="82" t="s">
        <v>1497</v>
      </c>
      <c r="B59" s="82" t="s">
        <v>1498</v>
      </c>
      <c r="C59" s="82" t="s">
        <v>52</v>
      </c>
      <c r="D59" s="82" t="s">
        <v>5900</v>
      </c>
      <c r="E59" s="79" t="s">
        <v>5901</v>
      </c>
      <c r="F59" s="82" t="s">
        <v>5902</v>
      </c>
      <c r="G59" s="288">
        <v>1.0</v>
      </c>
      <c r="H59" s="288">
        <v>1.0</v>
      </c>
      <c r="I59" s="288">
        <v>4.0</v>
      </c>
      <c r="J59" s="288">
        <v>20.0</v>
      </c>
      <c r="K59" s="292">
        <f t="shared" ref="K59:K92" si="4">J59/G59</f>
        <v>20</v>
      </c>
      <c r="L59" s="288" t="s">
        <v>58</v>
      </c>
    </row>
    <row r="60" ht="15.0" customHeight="1">
      <c r="A60" s="82" t="s">
        <v>1497</v>
      </c>
      <c r="B60" s="82" t="s">
        <v>1498</v>
      </c>
      <c r="C60" s="82" t="s">
        <v>52</v>
      </c>
      <c r="D60" s="82" t="s">
        <v>5903</v>
      </c>
      <c r="E60" s="79" t="s">
        <v>5904</v>
      </c>
      <c r="F60" s="82" t="s">
        <v>5905</v>
      </c>
      <c r="G60" s="288">
        <v>1.0</v>
      </c>
      <c r="H60" s="288">
        <v>1.0</v>
      </c>
      <c r="I60" s="288">
        <v>4.0</v>
      </c>
      <c r="J60" s="288">
        <v>20.0</v>
      </c>
      <c r="K60" s="292">
        <f t="shared" si="4"/>
        <v>20</v>
      </c>
      <c r="L60" s="288" t="s">
        <v>58</v>
      </c>
    </row>
    <row r="61" ht="15.0" customHeight="1">
      <c r="A61" s="82" t="s">
        <v>1497</v>
      </c>
      <c r="B61" s="82" t="s">
        <v>1498</v>
      </c>
      <c r="C61" s="82" t="s">
        <v>52</v>
      </c>
      <c r="D61" s="82" t="s">
        <v>5906</v>
      </c>
      <c r="E61" s="79" t="s">
        <v>5907</v>
      </c>
      <c r="F61" s="82" t="s">
        <v>5908</v>
      </c>
      <c r="G61" s="288">
        <v>1.0</v>
      </c>
      <c r="H61" s="288">
        <v>1.0</v>
      </c>
      <c r="I61" s="288">
        <v>4.0</v>
      </c>
      <c r="J61" s="288">
        <v>20.0</v>
      </c>
      <c r="K61" s="292">
        <f t="shared" si="4"/>
        <v>20</v>
      </c>
      <c r="L61" s="288" t="s">
        <v>58</v>
      </c>
    </row>
    <row r="62" ht="15.0" customHeight="1">
      <c r="A62" s="82" t="s">
        <v>1497</v>
      </c>
      <c r="B62" s="82" t="s">
        <v>1498</v>
      </c>
      <c r="C62" s="82" t="s">
        <v>52</v>
      </c>
      <c r="D62" s="82" t="s">
        <v>5909</v>
      </c>
      <c r="E62" s="79" t="s">
        <v>5880</v>
      </c>
      <c r="F62" s="82" t="s">
        <v>5803</v>
      </c>
      <c r="G62" s="288">
        <v>1.0</v>
      </c>
      <c r="H62" s="288">
        <v>1.0</v>
      </c>
      <c r="I62" s="288">
        <v>4.0</v>
      </c>
      <c r="J62" s="288">
        <v>10.0</v>
      </c>
      <c r="K62" s="292">
        <f t="shared" si="4"/>
        <v>10</v>
      </c>
      <c r="L62" s="288" t="s">
        <v>58</v>
      </c>
    </row>
    <row r="63" ht="15.0" customHeight="1">
      <c r="A63" s="82" t="s">
        <v>1565</v>
      </c>
      <c r="B63" s="82" t="s">
        <v>1566</v>
      </c>
      <c r="C63" s="82" t="s">
        <v>52</v>
      </c>
      <c r="D63" s="82" t="s">
        <v>5910</v>
      </c>
      <c r="E63" s="79" t="s">
        <v>5901</v>
      </c>
      <c r="F63" s="82" t="s">
        <v>5902</v>
      </c>
      <c r="G63" s="288">
        <v>6.0</v>
      </c>
      <c r="H63" s="288">
        <v>6.0</v>
      </c>
      <c r="I63" s="288">
        <v>6.0</v>
      </c>
      <c r="J63" s="288">
        <v>20.0</v>
      </c>
      <c r="K63" s="292">
        <f t="shared" si="4"/>
        <v>3.333333333</v>
      </c>
      <c r="L63" s="288" t="s">
        <v>58</v>
      </c>
    </row>
    <row r="64" ht="15.0" customHeight="1">
      <c r="A64" s="82" t="s">
        <v>1565</v>
      </c>
      <c r="B64" s="82" t="s">
        <v>1566</v>
      </c>
      <c r="C64" s="82" t="s">
        <v>52</v>
      </c>
      <c r="D64" s="82" t="s">
        <v>5911</v>
      </c>
      <c r="E64" s="79" t="s">
        <v>5912</v>
      </c>
      <c r="F64" s="82" t="s">
        <v>5902</v>
      </c>
      <c r="G64" s="288">
        <v>6.0</v>
      </c>
      <c r="H64" s="288">
        <v>6.0</v>
      </c>
      <c r="I64" s="288">
        <v>6.0</v>
      </c>
      <c r="J64" s="288">
        <v>20.0</v>
      </c>
      <c r="K64" s="292">
        <f t="shared" si="4"/>
        <v>3.333333333</v>
      </c>
      <c r="L64" s="288" t="s">
        <v>58</v>
      </c>
    </row>
    <row r="65" ht="15.0" customHeight="1">
      <c r="A65" s="82" t="s">
        <v>1565</v>
      </c>
      <c r="B65" s="82" t="s">
        <v>1566</v>
      </c>
      <c r="C65" s="82" t="s">
        <v>52</v>
      </c>
      <c r="D65" s="82" t="s">
        <v>5913</v>
      </c>
      <c r="E65" s="79" t="s">
        <v>5880</v>
      </c>
      <c r="F65" s="82" t="s">
        <v>5803</v>
      </c>
      <c r="G65" s="288">
        <v>6.0</v>
      </c>
      <c r="H65" s="288">
        <v>6.0</v>
      </c>
      <c r="I65" s="288">
        <v>6.0</v>
      </c>
      <c r="J65" s="288">
        <v>10.0</v>
      </c>
      <c r="K65" s="292">
        <f t="shared" si="4"/>
        <v>1.666666667</v>
      </c>
      <c r="L65" s="288" t="s">
        <v>58</v>
      </c>
    </row>
    <row r="66" ht="15.0" customHeight="1">
      <c r="A66" s="82" t="s">
        <v>1576</v>
      </c>
      <c r="B66" s="82" t="s">
        <v>1577</v>
      </c>
      <c r="C66" s="82" t="s">
        <v>52</v>
      </c>
      <c r="D66" s="82" t="s">
        <v>5914</v>
      </c>
      <c r="E66" s="79" t="s">
        <v>5915</v>
      </c>
      <c r="F66" s="82" t="s">
        <v>5916</v>
      </c>
      <c r="G66" s="288">
        <v>2.0</v>
      </c>
      <c r="H66" s="288">
        <v>2.0</v>
      </c>
      <c r="I66" s="288">
        <v>2.0</v>
      </c>
      <c r="J66" s="288">
        <v>20.0</v>
      </c>
      <c r="K66" s="292">
        <f t="shared" si="4"/>
        <v>10</v>
      </c>
      <c r="L66" s="288" t="s">
        <v>58</v>
      </c>
    </row>
    <row r="67" ht="15.0" customHeight="1">
      <c r="A67" s="82" t="s">
        <v>1576</v>
      </c>
      <c r="B67" s="82" t="s">
        <v>1577</v>
      </c>
      <c r="C67" s="82" t="s">
        <v>52</v>
      </c>
      <c r="D67" s="82" t="s">
        <v>5917</v>
      </c>
      <c r="E67" s="79" t="s">
        <v>5918</v>
      </c>
      <c r="F67" s="82" t="s">
        <v>5803</v>
      </c>
      <c r="G67" s="288">
        <v>2.0</v>
      </c>
      <c r="H67" s="288">
        <v>2.0</v>
      </c>
      <c r="I67" s="288">
        <v>2.0</v>
      </c>
      <c r="J67" s="288">
        <v>10.0</v>
      </c>
      <c r="K67" s="292">
        <f t="shared" si="4"/>
        <v>5</v>
      </c>
      <c r="L67" s="288" t="s">
        <v>58</v>
      </c>
    </row>
    <row r="68" ht="15.0" customHeight="1">
      <c r="A68" s="82" t="s">
        <v>1624</v>
      </c>
      <c r="B68" s="82" t="s">
        <v>1625</v>
      </c>
      <c r="C68" s="82" t="s">
        <v>52</v>
      </c>
      <c r="D68" s="82" t="s">
        <v>5919</v>
      </c>
      <c r="E68" s="79" t="s">
        <v>5920</v>
      </c>
      <c r="F68" s="82" t="s">
        <v>5921</v>
      </c>
      <c r="G68" s="288">
        <v>1.0</v>
      </c>
      <c r="H68" s="288">
        <v>1.0</v>
      </c>
      <c r="I68" s="288">
        <v>6.0</v>
      </c>
      <c r="J68" s="288">
        <v>10.0</v>
      </c>
      <c r="K68" s="292">
        <f t="shared" si="4"/>
        <v>10</v>
      </c>
      <c r="L68" s="288" t="s">
        <v>58</v>
      </c>
    </row>
    <row r="69" ht="15.0" customHeight="1">
      <c r="A69" s="82" t="s">
        <v>1624</v>
      </c>
      <c r="B69" s="82" t="s">
        <v>1625</v>
      </c>
      <c r="C69" s="82" t="s">
        <v>52</v>
      </c>
      <c r="D69" s="82" t="s">
        <v>5922</v>
      </c>
      <c r="E69" s="79" t="s">
        <v>5923</v>
      </c>
      <c r="F69" s="82" t="s">
        <v>5924</v>
      </c>
      <c r="G69" s="288">
        <v>1.0</v>
      </c>
      <c r="H69" s="288">
        <v>1.0</v>
      </c>
      <c r="I69" s="288">
        <v>6.0</v>
      </c>
      <c r="J69" s="288">
        <v>20.0</v>
      </c>
      <c r="K69" s="292">
        <f t="shared" si="4"/>
        <v>20</v>
      </c>
      <c r="L69" s="288" t="s">
        <v>58</v>
      </c>
    </row>
    <row r="70" ht="15.0" customHeight="1">
      <c r="A70" s="82" t="s">
        <v>1649</v>
      </c>
      <c r="B70" s="82" t="s">
        <v>1650</v>
      </c>
      <c r="C70" s="82" t="s">
        <v>52</v>
      </c>
      <c r="D70" s="82" t="s">
        <v>5925</v>
      </c>
      <c r="E70" s="79" t="s">
        <v>5926</v>
      </c>
      <c r="F70" s="82" t="s">
        <v>5921</v>
      </c>
      <c r="G70" s="288">
        <v>2.0</v>
      </c>
      <c r="H70" s="288">
        <v>2.0</v>
      </c>
      <c r="I70" s="288">
        <v>6.0</v>
      </c>
      <c r="J70" s="288">
        <v>10.0</v>
      </c>
      <c r="K70" s="292">
        <f t="shared" si="4"/>
        <v>5</v>
      </c>
      <c r="L70" s="288" t="s">
        <v>58</v>
      </c>
    </row>
    <row r="71" ht="15.0" customHeight="1">
      <c r="A71" s="82" t="s">
        <v>5927</v>
      </c>
      <c r="B71" s="82" t="s">
        <v>5928</v>
      </c>
      <c r="C71" s="82" t="s">
        <v>52</v>
      </c>
      <c r="D71" s="82" t="s">
        <v>5929</v>
      </c>
      <c r="E71" s="79" t="s">
        <v>5880</v>
      </c>
      <c r="F71" s="82" t="s">
        <v>5803</v>
      </c>
      <c r="G71" s="288">
        <v>4.0</v>
      </c>
      <c r="H71" s="288">
        <v>4.0</v>
      </c>
      <c r="I71" s="288">
        <v>4.0</v>
      </c>
      <c r="J71" s="288">
        <v>10.0</v>
      </c>
      <c r="K71" s="292">
        <f t="shared" si="4"/>
        <v>2.5</v>
      </c>
      <c r="L71" s="288" t="s">
        <v>58</v>
      </c>
    </row>
    <row r="72" ht="15.0" customHeight="1">
      <c r="A72" s="85" t="s">
        <v>5930</v>
      </c>
      <c r="B72" s="85" t="s">
        <v>5931</v>
      </c>
      <c r="C72" s="85" t="s">
        <v>52</v>
      </c>
      <c r="D72" s="82" t="s">
        <v>5932</v>
      </c>
      <c r="E72" s="79" t="s">
        <v>5880</v>
      </c>
      <c r="F72" s="82" t="s">
        <v>5803</v>
      </c>
      <c r="G72" s="83">
        <v>5.0</v>
      </c>
      <c r="H72" s="83">
        <v>5.0</v>
      </c>
      <c r="I72" s="82">
        <v>5.0</v>
      </c>
      <c r="J72" s="82">
        <v>10.0</v>
      </c>
      <c r="K72" s="292">
        <f t="shared" si="4"/>
        <v>2</v>
      </c>
      <c r="L72" s="288" t="s">
        <v>58</v>
      </c>
    </row>
    <row r="73" ht="15.0" customHeight="1">
      <c r="A73" s="78" t="s">
        <v>1677</v>
      </c>
      <c r="B73" s="78" t="s">
        <v>1678</v>
      </c>
      <c r="C73" s="82" t="s">
        <v>52</v>
      </c>
      <c r="D73" s="82" t="s">
        <v>5933</v>
      </c>
      <c r="E73" s="79" t="s">
        <v>5934</v>
      </c>
      <c r="F73" s="86" t="s">
        <v>5921</v>
      </c>
      <c r="G73" s="82">
        <v>5.0</v>
      </c>
      <c r="H73" s="82">
        <v>5.0</v>
      </c>
      <c r="I73" s="82">
        <v>5.0</v>
      </c>
      <c r="J73" s="152">
        <v>10.0</v>
      </c>
      <c r="K73" s="292">
        <f t="shared" si="4"/>
        <v>2</v>
      </c>
      <c r="L73" s="288" t="s">
        <v>58</v>
      </c>
    </row>
    <row r="74" ht="15.0" customHeight="1">
      <c r="A74" s="82" t="s">
        <v>5935</v>
      </c>
      <c r="B74" s="82" t="s">
        <v>5936</v>
      </c>
      <c r="C74" s="82" t="s">
        <v>52</v>
      </c>
      <c r="D74" s="82" t="s">
        <v>5937</v>
      </c>
      <c r="E74" s="79" t="s">
        <v>5880</v>
      </c>
      <c r="F74" s="82" t="s">
        <v>5803</v>
      </c>
      <c r="G74" s="288">
        <v>3.0</v>
      </c>
      <c r="H74" s="288">
        <v>3.0</v>
      </c>
      <c r="I74" s="288">
        <v>3.0</v>
      </c>
      <c r="J74" s="288">
        <v>10.0</v>
      </c>
      <c r="K74" s="292">
        <f t="shared" si="4"/>
        <v>3.333333333</v>
      </c>
      <c r="L74" s="288" t="s">
        <v>58</v>
      </c>
    </row>
    <row r="75" ht="15.0" customHeight="1">
      <c r="A75" s="82" t="s">
        <v>5938</v>
      </c>
      <c r="B75" s="82" t="s">
        <v>5939</v>
      </c>
      <c r="C75" s="82" t="s">
        <v>52</v>
      </c>
      <c r="D75" s="82" t="s">
        <v>5940</v>
      </c>
      <c r="E75" s="79" t="s">
        <v>5941</v>
      </c>
      <c r="F75" s="86" t="s">
        <v>5208</v>
      </c>
      <c r="G75" s="82">
        <v>3.0</v>
      </c>
      <c r="H75" s="82">
        <v>3.0</v>
      </c>
      <c r="I75" s="82">
        <v>3.0</v>
      </c>
      <c r="J75" s="152">
        <v>20.0</v>
      </c>
      <c r="K75" s="292">
        <f t="shared" si="4"/>
        <v>6.666666667</v>
      </c>
      <c r="L75" s="288" t="s">
        <v>58</v>
      </c>
    </row>
    <row r="76" ht="15.0" customHeight="1">
      <c r="A76" s="78" t="s">
        <v>1685</v>
      </c>
      <c r="B76" s="82" t="s">
        <v>1686</v>
      </c>
      <c r="C76" s="82" t="s">
        <v>52</v>
      </c>
      <c r="D76" s="82" t="s">
        <v>5942</v>
      </c>
      <c r="E76" s="79" t="s">
        <v>5907</v>
      </c>
      <c r="F76" s="82" t="s">
        <v>5908</v>
      </c>
      <c r="G76" s="82">
        <v>2.0</v>
      </c>
      <c r="H76" s="82">
        <v>2.0</v>
      </c>
      <c r="I76" s="82">
        <v>3.0</v>
      </c>
      <c r="J76" s="293">
        <v>20.0</v>
      </c>
      <c r="K76" s="292">
        <f t="shared" si="4"/>
        <v>10</v>
      </c>
      <c r="L76" s="288" t="s">
        <v>58</v>
      </c>
    </row>
    <row r="77" ht="15.0" customHeight="1">
      <c r="A77" s="78" t="s">
        <v>1685</v>
      </c>
      <c r="B77" s="82" t="s">
        <v>1686</v>
      </c>
      <c r="C77" s="82" t="s">
        <v>52</v>
      </c>
      <c r="D77" s="82" t="s">
        <v>5943</v>
      </c>
      <c r="E77" s="79" t="s">
        <v>5880</v>
      </c>
      <c r="F77" s="82" t="s">
        <v>5803</v>
      </c>
      <c r="G77" s="82">
        <v>2.0</v>
      </c>
      <c r="H77" s="82">
        <v>2.0</v>
      </c>
      <c r="I77" s="82">
        <v>3.0</v>
      </c>
      <c r="J77" s="293">
        <v>10.0</v>
      </c>
      <c r="K77" s="292">
        <f t="shared" si="4"/>
        <v>5</v>
      </c>
      <c r="L77" s="288" t="s">
        <v>58</v>
      </c>
    </row>
    <row r="78" ht="15.0" customHeight="1">
      <c r="A78" s="82" t="s">
        <v>281</v>
      </c>
      <c r="B78" s="82" t="s">
        <v>1697</v>
      </c>
      <c r="C78" s="288" t="s">
        <v>52</v>
      </c>
      <c r="D78" s="82" t="s">
        <v>5944</v>
      </c>
      <c r="E78" s="79" t="s">
        <v>5945</v>
      </c>
      <c r="F78" s="86" t="s">
        <v>5921</v>
      </c>
      <c r="G78" s="288">
        <v>1.0</v>
      </c>
      <c r="H78" s="288">
        <v>1.0</v>
      </c>
      <c r="I78" s="288">
        <v>5.0</v>
      </c>
      <c r="J78" s="288">
        <v>10.0</v>
      </c>
      <c r="K78" s="292">
        <f t="shared" si="4"/>
        <v>10</v>
      </c>
      <c r="L78" s="288" t="s">
        <v>58</v>
      </c>
    </row>
    <row r="79" ht="15.0" customHeight="1">
      <c r="A79" s="82" t="s">
        <v>1710</v>
      </c>
      <c r="B79" s="82" t="s">
        <v>1711</v>
      </c>
      <c r="C79" s="82" t="s">
        <v>52</v>
      </c>
      <c r="D79" s="82" t="s">
        <v>5946</v>
      </c>
      <c r="E79" s="79" t="s">
        <v>5843</v>
      </c>
      <c r="F79" s="86" t="s">
        <v>5921</v>
      </c>
      <c r="G79" s="82">
        <v>5.0</v>
      </c>
      <c r="H79" s="82">
        <v>5.0</v>
      </c>
      <c r="I79" s="82">
        <v>5.0</v>
      </c>
      <c r="J79" s="293">
        <v>10.0</v>
      </c>
      <c r="K79" s="292">
        <f t="shared" si="4"/>
        <v>2</v>
      </c>
      <c r="L79" s="288" t="s">
        <v>58</v>
      </c>
    </row>
    <row r="80" ht="15.0" customHeight="1">
      <c r="A80" s="82" t="s">
        <v>5947</v>
      </c>
      <c r="B80" s="82" t="s">
        <v>5948</v>
      </c>
      <c r="C80" s="82" t="s">
        <v>52</v>
      </c>
      <c r="D80" s="82" t="s">
        <v>5949</v>
      </c>
      <c r="E80" s="79" t="s">
        <v>5880</v>
      </c>
      <c r="F80" s="82" t="s">
        <v>5803</v>
      </c>
      <c r="G80" s="288">
        <v>6.0</v>
      </c>
      <c r="H80" s="288">
        <v>6.0</v>
      </c>
      <c r="I80" s="288">
        <v>6.0</v>
      </c>
      <c r="J80" s="288">
        <v>10.0</v>
      </c>
      <c r="K80" s="292">
        <f t="shared" si="4"/>
        <v>1.666666667</v>
      </c>
      <c r="L80" s="288" t="s">
        <v>58</v>
      </c>
    </row>
    <row r="81" ht="15.0" customHeight="1">
      <c r="A81" s="82" t="s">
        <v>1728</v>
      </c>
      <c r="B81" s="82" t="s">
        <v>1729</v>
      </c>
      <c r="C81" s="82" t="s">
        <v>52</v>
      </c>
      <c r="D81" s="82" t="s">
        <v>5950</v>
      </c>
      <c r="E81" s="79" t="s">
        <v>5880</v>
      </c>
      <c r="F81" s="82" t="s">
        <v>5803</v>
      </c>
      <c r="G81" s="82">
        <v>3.0</v>
      </c>
      <c r="H81" s="82">
        <v>3.0</v>
      </c>
      <c r="I81" s="82">
        <v>3.0</v>
      </c>
      <c r="J81" s="293">
        <v>10.0</v>
      </c>
      <c r="K81" s="292">
        <f t="shared" si="4"/>
        <v>3.333333333</v>
      </c>
      <c r="L81" s="288" t="s">
        <v>58</v>
      </c>
    </row>
    <row r="82" ht="15.0" customHeight="1">
      <c r="A82" s="82" t="s">
        <v>1731</v>
      </c>
      <c r="B82" s="82" t="s">
        <v>1732</v>
      </c>
      <c r="C82" s="82" t="s">
        <v>52</v>
      </c>
      <c r="D82" s="82" t="s">
        <v>5951</v>
      </c>
      <c r="E82" s="79" t="s">
        <v>5952</v>
      </c>
      <c r="F82" s="86" t="s">
        <v>5953</v>
      </c>
      <c r="G82" s="82">
        <v>4.0</v>
      </c>
      <c r="H82" s="82">
        <v>4.0</v>
      </c>
      <c r="I82" s="82">
        <v>4.0</v>
      </c>
      <c r="J82" s="152">
        <v>20.0</v>
      </c>
      <c r="K82" s="292">
        <f t="shared" si="4"/>
        <v>5</v>
      </c>
      <c r="L82" s="288" t="s">
        <v>58</v>
      </c>
    </row>
    <row r="83" ht="15.0" customHeight="1">
      <c r="A83" s="82" t="s">
        <v>1731</v>
      </c>
      <c r="B83" s="82" t="s">
        <v>1732</v>
      </c>
      <c r="C83" s="82" t="s">
        <v>52</v>
      </c>
      <c r="D83" s="82" t="s">
        <v>5954</v>
      </c>
      <c r="E83" s="79" t="s">
        <v>5880</v>
      </c>
      <c r="F83" s="82" t="s">
        <v>5803</v>
      </c>
      <c r="G83" s="82">
        <v>4.0</v>
      </c>
      <c r="H83" s="82">
        <v>4.0</v>
      </c>
      <c r="I83" s="82">
        <v>4.0</v>
      </c>
      <c r="J83" s="152">
        <v>10.0</v>
      </c>
      <c r="K83" s="292">
        <f t="shared" si="4"/>
        <v>2.5</v>
      </c>
      <c r="L83" s="288" t="s">
        <v>58</v>
      </c>
    </row>
    <row r="84" ht="15.0" customHeight="1">
      <c r="A84" s="157" t="s">
        <v>5955</v>
      </c>
      <c r="B84" s="157" t="s">
        <v>5956</v>
      </c>
      <c r="C84" s="157" t="s">
        <v>52</v>
      </c>
      <c r="D84" s="82" t="s">
        <v>5957</v>
      </c>
      <c r="E84" s="79" t="s">
        <v>5880</v>
      </c>
      <c r="F84" s="82" t="s">
        <v>5803</v>
      </c>
      <c r="G84" s="156">
        <v>6.0</v>
      </c>
      <c r="H84" s="82">
        <v>6.0</v>
      </c>
      <c r="I84" s="82">
        <v>6.0</v>
      </c>
      <c r="J84" s="293">
        <v>10.0</v>
      </c>
      <c r="K84" s="292">
        <f t="shared" si="4"/>
        <v>1.666666667</v>
      </c>
      <c r="L84" s="288" t="s">
        <v>58</v>
      </c>
    </row>
    <row r="85" ht="15.0" customHeight="1">
      <c r="A85" s="82" t="s">
        <v>1731</v>
      </c>
      <c r="B85" s="78" t="s">
        <v>1738</v>
      </c>
      <c r="C85" s="82" t="s">
        <v>52</v>
      </c>
      <c r="D85" s="82" t="s">
        <v>5958</v>
      </c>
      <c r="E85" s="79" t="s">
        <v>5923</v>
      </c>
      <c r="F85" s="82" t="s">
        <v>5924</v>
      </c>
      <c r="G85" s="82">
        <v>4.0</v>
      </c>
      <c r="H85" s="82">
        <v>4.0</v>
      </c>
      <c r="I85" s="82">
        <v>4.0</v>
      </c>
      <c r="J85" s="152">
        <v>20.0</v>
      </c>
      <c r="K85" s="292">
        <f t="shared" si="4"/>
        <v>5</v>
      </c>
      <c r="L85" s="288" t="s">
        <v>58</v>
      </c>
    </row>
    <row r="86" ht="15.0" customHeight="1">
      <c r="A86" s="82" t="s">
        <v>1731</v>
      </c>
      <c r="B86" s="78" t="s">
        <v>1738</v>
      </c>
      <c r="C86" s="82" t="s">
        <v>52</v>
      </c>
      <c r="D86" s="82" t="s">
        <v>5959</v>
      </c>
      <c r="E86" s="79" t="s">
        <v>5880</v>
      </c>
      <c r="F86" s="82" t="s">
        <v>5803</v>
      </c>
      <c r="G86" s="82">
        <v>4.0</v>
      </c>
      <c r="H86" s="82">
        <v>4.0</v>
      </c>
      <c r="I86" s="82">
        <v>4.0</v>
      </c>
      <c r="J86" s="152">
        <v>10.0</v>
      </c>
      <c r="K86" s="292">
        <f t="shared" si="4"/>
        <v>2.5</v>
      </c>
      <c r="L86" s="288" t="s">
        <v>58</v>
      </c>
    </row>
    <row r="87" ht="15.0" customHeight="1">
      <c r="A87" s="78" t="s">
        <v>224</v>
      </c>
      <c r="B87" s="78" t="s">
        <v>5960</v>
      </c>
      <c r="C87" s="82" t="s">
        <v>52</v>
      </c>
      <c r="D87" s="82" t="s">
        <v>5961</v>
      </c>
      <c r="E87" s="79" t="s">
        <v>5962</v>
      </c>
      <c r="F87" s="82" t="s">
        <v>5803</v>
      </c>
      <c r="G87" s="288">
        <v>5.0</v>
      </c>
      <c r="H87" s="288">
        <v>5.0</v>
      </c>
      <c r="I87" s="288">
        <v>7.0</v>
      </c>
      <c r="J87" s="288">
        <v>10.0</v>
      </c>
      <c r="K87" s="292">
        <f t="shared" si="4"/>
        <v>2</v>
      </c>
      <c r="L87" s="288" t="s">
        <v>58</v>
      </c>
    </row>
    <row r="88" ht="15.0" customHeight="1">
      <c r="A88" s="78" t="s">
        <v>224</v>
      </c>
      <c r="B88" s="78" t="s">
        <v>5960</v>
      </c>
      <c r="C88" s="82" t="s">
        <v>52</v>
      </c>
      <c r="D88" s="82" t="s">
        <v>5963</v>
      </c>
      <c r="E88" s="79" t="s">
        <v>5880</v>
      </c>
      <c r="F88" s="82" t="s">
        <v>5803</v>
      </c>
      <c r="G88" s="288">
        <v>5.0</v>
      </c>
      <c r="H88" s="288">
        <v>5.0</v>
      </c>
      <c r="I88" s="288">
        <v>7.0</v>
      </c>
      <c r="J88" s="288">
        <v>10.0</v>
      </c>
      <c r="K88" s="292">
        <f t="shared" si="4"/>
        <v>2</v>
      </c>
      <c r="L88" s="288" t="s">
        <v>58</v>
      </c>
    </row>
    <row r="89" ht="15.0" customHeight="1">
      <c r="A89" s="157" t="s">
        <v>1740</v>
      </c>
      <c r="B89" s="157" t="s">
        <v>1741</v>
      </c>
      <c r="C89" s="157" t="s">
        <v>52</v>
      </c>
      <c r="D89" s="82" t="s">
        <v>5964</v>
      </c>
      <c r="E89" s="79" t="s">
        <v>5923</v>
      </c>
      <c r="F89" s="82" t="s">
        <v>5924</v>
      </c>
      <c r="G89" s="156">
        <v>3.0</v>
      </c>
      <c r="H89" s="156">
        <v>3.0</v>
      </c>
      <c r="I89" s="100">
        <v>3.0</v>
      </c>
      <c r="J89" s="100">
        <v>20.0</v>
      </c>
      <c r="K89" s="292">
        <f t="shared" si="4"/>
        <v>6.666666667</v>
      </c>
      <c r="L89" s="288" t="s">
        <v>58</v>
      </c>
    </row>
    <row r="90" ht="15.0" customHeight="1">
      <c r="A90" s="100" t="s">
        <v>1760</v>
      </c>
      <c r="B90" s="100" t="s">
        <v>1761</v>
      </c>
      <c r="C90" s="82" t="s">
        <v>52</v>
      </c>
      <c r="D90" s="85" t="s">
        <v>5965</v>
      </c>
      <c r="E90" s="85" t="s">
        <v>5966</v>
      </c>
      <c r="F90" s="85" t="s">
        <v>5967</v>
      </c>
      <c r="G90" s="148">
        <v>2.0</v>
      </c>
      <c r="H90" s="148">
        <v>2.0</v>
      </c>
      <c r="I90" s="287">
        <v>3.0</v>
      </c>
      <c r="J90" s="287">
        <v>10.0</v>
      </c>
      <c r="K90" s="287">
        <f t="shared" si="4"/>
        <v>5</v>
      </c>
      <c r="L90" s="288" t="s">
        <v>1764</v>
      </c>
    </row>
    <row r="91" ht="15.0" customHeight="1">
      <c r="A91" s="157" t="s">
        <v>5968</v>
      </c>
      <c r="B91" s="85" t="s">
        <v>5969</v>
      </c>
      <c r="C91" s="82" t="s">
        <v>52</v>
      </c>
      <c r="D91" s="85" t="s">
        <v>5970</v>
      </c>
      <c r="E91" s="85" t="s">
        <v>5971</v>
      </c>
      <c r="F91" s="85" t="s">
        <v>5972</v>
      </c>
      <c r="G91" s="148">
        <v>3.0</v>
      </c>
      <c r="H91" s="148">
        <v>3.0</v>
      </c>
      <c r="I91" s="287">
        <v>3.0</v>
      </c>
      <c r="J91" s="287">
        <v>20.0</v>
      </c>
      <c r="K91" s="287">
        <f t="shared" si="4"/>
        <v>6.666666667</v>
      </c>
      <c r="L91" s="288" t="s">
        <v>1764</v>
      </c>
    </row>
    <row r="92" ht="15.0" customHeight="1">
      <c r="A92" s="157" t="s">
        <v>5973</v>
      </c>
      <c r="B92" s="85" t="s">
        <v>5974</v>
      </c>
      <c r="C92" s="82" t="s">
        <v>52</v>
      </c>
      <c r="D92" s="85" t="s">
        <v>5975</v>
      </c>
      <c r="E92" s="85" t="s">
        <v>5976</v>
      </c>
      <c r="F92" s="85" t="s">
        <v>5972</v>
      </c>
      <c r="G92" s="148">
        <v>2.0</v>
      </c>
      <c r="H92" s="148">
        <v>2.0</v>
      </c>
      <c r="I92" s="287">
        <v>2.0</v>
      </c>
      <c r="J92" s="287">
        <v>20.0</v>
      </c>
      <c r="K92" s="287">
        <f t="shared" si="4"/>
        <v>10</v>
      </c>
      <c r="L92" s="288" t="s">
        <v>1764</v>
      </c>
    </row>
    <row r="93" ht="15.0" customHeight="1">
      <c r="A93" s="85" t="s">
        <v>5977</v>
      </c>
      <c r="B93" s="85" t="s">
        <v>5978</v>
      </c>
      <c r="C93" s="85" t="s">
        <v>52</v>
      </c>
      <c r="D93" s="82" t="s">
        <v>5979</v>
      </c>
      <c r="E93" s="82" t="s">
        <v>5980</v>
      </c>
      <c r="F93" s="82" t="s">
        <v>5372</v>
      </c>
      <c r="G93" s="191">
        <v>1.0</v>
      </c>
      <c r="H93" s="162">
        <v>1.0</v>
      </c>
      <c r="I93" s="148">
        <v>1.0</v>
      </c>
      <c r="J93" s="148">
        <v>10.0</v>
      </c>
      <c r="K93" s="148">
        <v>10.0</v>
      </c>
      <c r="L93" s="288" t="s">
        <v>1764</v>
      </c>
    </row>
    <row r="94" ht="15.0" customHeight="1">
      <c r="A94" s="82" t="s">
        <v>1781</v>
      </c>
      <c r="B94" s="82" t="s">
        <v>1782</v>
      </c>
      <c r="C94" s="82" t="s">
        <v>1783</v>
      </c>
      <c r="D94" s="82" t="s">
        <v>5981</v>
      </c>
      <c r="E94" s="82" t="s">
        <v>5982</v>
      </c>
      <c r="F94" s="82" t="s">
        <v>5983</v>
      </c>
      <c r="G94" s="82">
        <v>2.0</v>
      </c>
      <c r="H94" s="82">
        <v>2.0</v>
      </c>
      <c r="I94" s="294">
        <v>3.0</v>
      </c>
      <c r="J94" s="294">
        <v>20.0</v>
      </c>
      <c r="K94" s="294">
        <f>20/2</f>
        <v>10</v>
      </c>
      <c r="L94" s="288" t="s">
        <v>71</v>
      </c>
    </row>
    <row r="95" ht="15.0" customHeight="1">
      <c r="A95" s="82" t="s">
        <v>5984</v>
      </c>
      <c r="B95" s="82" t="s">
        <v>4069</v>
      </c>
      <c r="C95" s="82" t="s">
        <v>1783</v>
      </c>
      <c r="D95" s="82" t="s">
        <v>5985</v>
      </c>
      <c r="E95" s="82" t="s">
        <v>5986</v>
      </c>
      <c r="F95" s="82" t="s">
        <v>5589</v>
      </c>
      <c r="G95" s="288">
        <v>3.0</v>
      </c>
      <c r="H95" s="288">
        <v>3.0</v>
      </c>
      <c r="I95" s="294">
        <v>3.0</v>
      </c>
      <c r="J95" s="155">
        <v>20.0</v>
      </c>
      <c r="K95" s="155">
        <f>20/3</f>
        <v>6.666666667</v>
      </c>
      <c r="L95" s="288" t="s">
        <v>71</v>
      </c>
    </row>
    <row r="96" ht="15.0" customHeight="1">
      <c r="A96" s="82" t="s">
        <v>5987</v>
      </c>
      <c r="B96" s="82" t="s">
        <v>1811</v>
      </c>
      <c r="C96" s="82" t="s">
        <v>52</v>
      </c>
      <c r="D96" s="82" t="s">
        <v>5988</v>
      </c>
      <c r="E96" s="79" t="s">
        <v>5989</v>
      </c>
      <c r="F96" s="82"/>
      <c r="G96" s="83">
        <v>2.0</v>
      </c>
      <c r="H96" s="92">
        <v>1.0</v>
      </c>
      <c r="I96" s="82">
        <v>2.0</v>
      </c>
      <c r="J96" s="82">
        <v>10.0</v>
      </c>
      <c r="K96" s="92">
        <f t="shared" ref="K96:K108" si="5">J96/I96</f>
        <v>5</v>
      </c>
      <c r="L96" s="288" t="s">
        <v>296</v>
      </c>
    </row>
    <row r="97" ht="15.0" customHeight="1">
      <c r="A97" s="82" t="s">
        <v>5990</v>
      </c>
      <c r="B97" s="82" t="s">
        <v>5991</v>
      </c>
      <c r="C97" s="82" t="s">
        <v>52</v>
      </c>
      <c r="D97" s="82" t="s">
        <v>5992</v>
      </c>
      <c r="E97" s="79" t="s">
        <v>5880</v>
      </c>
      <c r="F97" s="82" t="s">
        <v>5993</v>
      </c>
      <c r="G97" s="82">
        <v>4.0</v>
      </c>
      <c r="H97" s="82">
        <v>4.0</v>
      </c>
      <c r="I97" s="291">
        <v>4.0</v>
      </c>
      <c r="J97" s="291">
        <v>10.0</v>
      </c>
      <c r="K97" s="291">
        <f t="shared" si="5"/>
        <v>2.5</v>
      </c>
      <c r="L97" s="288" t="s">
        <v>296</v>
      </c>
    </row>
    <row r="98" ht="15.0" customHeight="1">
      <c r="A98" s="82" t="s">
        <v>5990</v>
      </c>
      <c r="B98" s="82" t="s">
        <v>5991</v>
      </c>
      <c r="C98" s="85" t="s">
        <v>52</v>
      </c>
      <c r="D98" s="82" t="s">
        <v>5992</v>
      </c>
      <c r="E98" s="79" t="s">
        <v>5880</v>
      </c>
      <c r="F98" s="82" t="s">
        <v>5993</v>
      </c>
      <c r="G98" s="82">
        <v>4.0</v>
      </c>
      <c r="H98" s="82">
        <v>4.0</v>
      </c>
      <c r="I98" s="291">
        <v>4.0</v>
      </c>
      <c r="J98" s="291">
        <v>10.0</v>
      </c>
      <c r="K98" s="291">
        <f t="shared" si="5"/>
        <v>2.5</v>
      </c>
      <c r="L98" s="288" t="s">
        <v>296</v>
      </c>
    </row>
    <row r="99" ht="15.0" customHeight="1">
      <c r="A99" s="82" t="s">
        <v>1787</v>
      </c>
      <c r="B99" s="82" t="s">
        <v>1788</v>
      </c>
      <c r="C99" s="82" t="s">
        <v>52</v>
      </c>
      <c r="D99" s="82" t="s">
        <v>5992</v>
      </c>
      <c r="E99" s="79" t="s">
        <v>5880</v>
      </c>
      <c r="F99" s="82" t="s">
        <v>5993</v>
      </c>
      <c r="G99" s="82">
        <v>4.0</v>
      </c>
      <c r="H99" s="92">
        <v>4.0</v>
      </c>
      <c r="I99" s="82">
        <v>4.0</v>
      </c>
      <c r="J99" s="82">
        <v>10.0</v>
      </c>
      <c r="K99" s="92">
        <f t="shared" si="5"/>
        <v>2.5</v>
      </c>
      <c r="L99" s="288" t="s">
        <v>296</v>
      </c>
    </row>
    <row r="100" ht="15.0" customHeight="1">
      <c r="A100" s="82" t="s">
        <v>5994</v>
      </c>
      <c r="B100" s="82" t="s">
        <v>5995</v>
      </c>
      <c r="C100" s="82" t="s">
        <v>52</v>
      </c>
      <c r="D100" s="82" t="s">
        <v>5992</v>
      </c>
      <c r="E100" s="79" t="s">
        <v>5880</v>
      </c>
      <c r="F100" s="82" t="s">
        <v>5993</v>
      </c>
      <c r="G100" s="83">
        <v>4.0</v>
      </c>
      <c r="H100" s="92">
        <v>4.0</v>
      </c>
      <c r="I100" s="82">
        <v>4.0</v>
      </c>
      <c r="J100" s="82">
        <v>10.0</v>
      </c>
      <c r="K100" s="92">
        <f t="shared" si="5"/>
        <v>2.5</v>
      </c>
      <c r="L100" s="288" t="s">
        <v>296</v>
      </c>
    </row>
    <row r="101" ht="15.0" customHeight="1">
      <c r="A101" s="78" t="s">
        <v>1803</v>
      </c>
      <c r="B101" s="78" t="s">
        <v>1282</v>
      </c>
      <c r="C101" s="82" t="s">
        <v>52</v>
      </c>
      <c r="D101" s="82" t="s">
        <v>5996</v>
      </c>
      <c r="E101" s="79" t="s">
        <v>5997</v>
      </c>
      <c r="F101" s="82" t="s">
        <v>5993</v>
      </c>
      <c r="G101" s="99">
        <v>8.0</v>
      </c>
      <c r="H101" s="185">
        <v>8.0</v>
      </c>
      <c r="I101" s="82">
        <v>8.0</v>
      </c>
      <c r="J101" s="82">
        <v>10.0</v>
      </c>
      <c r="K101" s="92">
        <f t="shared" si="5"/>
        <v>1.25</v>
      </c>
      <c r="L101" s="288" t="s">
        <v>296</v>
      </c>
    </row>
    <row r="102" ht="15.0" customHeight="1">
      <c r="A102" s="82" t="s">
        <v>1818</v>
      </c>
      <c r="B102" s="82" t="s">
        <v>1484</v>
      </c>
      <c r="C102" s="82" t="s">
        <v>52</v>
      </c>
      <c r="D102" s="82" t="s">
        <v>5998</v>
      </c>
      <c r="E102" s="79" t="s">
        <v>5887</v>
      </c>
      <c r="F102" s="82"/>
      <c r="G102" s="99">
        <v>5.0</v>
      </c>
      <c r="H102" s="185">
        <v>4.0</v>
      </c>
      <c r="I102" s="82">
        <v>5.0</v>
      </c>
      <c r="J102" s="82">
        <v>10.0</v>
      </c>
      <c r="K102" s="92">
        <f t="shared" si="5"/>
        <v>2</v>
      </c>
      <c r="L102" s="288" t="s">
        <v>296</v>
      </c>
    </row>
    <row r="103" ht="15.0" customHeight="1">
      <c r="A103" s="82" t="s">
        <v>5999</v>
      </c>
      <c r="B103" s="95" t="s">
        <v>6000</v>
      </c>
      <c r="C103" s="82" t="s">
        <v>52</v>
      </c>
      <c r="D103" s="82" t="s">
        <v>6001</v>
      </c>
      <c r="E103" s="79" t="s">
        <v>6002</v>
      </c>
      <c r="F103" s="82" t="s">
        <v>6003</v>
      </c>
      <c r="G103" s="99">
        <v>4.0</v>
      </c>
      <c r="H103" s="291">
        <v>4.0</v>
      </c>
      <c r="I103" s="291">
        <v>4.0</v>
      </c>
      <c r="J103" s="291">
        <v>10.0</v>
      </c>
      <c r="K103" s="291">
        <f t="shared" si="5"/>
        <v>2.5</v>
      </c>
      <c r="L103" s="288" t="s">
        <v>90</v>
      </c>
    </row>
    <row r="104" ht="15.0" customHeight="1">
      <c r="A104" s="82" t="s">
        <v>6004</v>
      </c>
      <c r="B104" s="82" t="s">
        <v>1838</v>
      </c>
      <c r="C104" s="82" t="s">
        <v>52</v>
      </c>
      <c r="D104" s="82" t="s">
        <v>6001</v>
      </c>
      <c r="E104" s="79" t="s">
        <v>6002</v>
      </c>
      <c r="F104" s="82" t="s">
        <v>6003</v>
      </c>
      <c r="G104" s="99">
        <v>4.0</v>
      </c>
      <c r="H104" s="291">
        <v>4.0</v>
      </c>
      <c r="I104" s="291">
        <v>4.0</v>
      </c>
      <c r="J104" s="291">
        <v>10.0</v>
      </c>
      <c r="K104" s="291">
        <f t="shared" si="5"/>
        <v>2.5</v>
      </c>
      <c r="L104" s="288" t="s">
        <v>90</v>
      </c>
    </row>
    <row r="105" ht="15.0" customHeight="1">
      <c r="A105" s="82" t="s">
        <v>6005</v>
      </c>
      <c r="B105" s="82" t="s">
        <v>5809</v>
      </c>
      <c r="C105" s="82" t="s">
        <v>52</v>
      </c>
      <c r="D105" s="82" t="s">
        <v>6001</v>
      </c>
      <c r="E105" s="79" t="s">
        <v>6002</v>
      </c>
      <c r="F105" s="82" t="s">
        <v>6003</v>
      </c>
      <c r="G105" s="99">
        <v>6.0</v>
      </c>
      <c r="H105" s="291">
        <v>6.0</v>
      </c>
      <c r="I105" s="291">
        <v>6.0</v>
      </c>
      <c r="J105" s="291">
        <v>10.0</v>
      </c>
      <c r="K105" s="292">
        <f t="shared" si="5"/>
        <v>1.666666667</v>
      </c>
      <c r="L105" s="288" t="s">
        <v>90</v>
      </c>
    </row>
    <row r="106" ht="15.0" customHeight="1">
      <c r="A106" s="82" t="s">
        <v>6006</v>
      </c>
      <c r="B106" s="82" t="s">
        <v>1840</v>
      </c>
      <c r="C106" s="82" t="s">
        <v>52</v>
      </c>
      <c r="D106" s="82" t="s">
        <v>6001</v>
      </c>
      <c r="E106" s="79" t="s">
        <v>6002</v>
      </c>
      <c r="F106" s="82" t="s">
        <v>6003</v>
      </c>
      <c r="G106" s="99">
        <v>4.0</v>
      </c>
      <c r="H106" s="291">
        <v>4.0</v>
      </c>
      <c r="I106" s="291">
        <v>4.0</v>
      </c>
      <c r="J106" s="291">
        <v>10.0</v>
      </c>
      <c r="K106" s="291">
        <f t="shared" si="5"/>
        <v>2.5</v>
      </c>
      <c r="L106" s="288" t="s">
        <v>90</v>
      </c>
    </row>
    <row r="107" ht="15.0" customHeight="1">
      <c r="A107" s="82" t="s">
        <v>6007</v>
      </c>
      <c r="B107" s="82" t="s">
        <v>5991</v>
      </c>
      <c r="C107" s="82" t="s">
        <v>52</v>
      </c>
      <c r="D107" s="82" t="s">
        <v>6001</v>
      </c>
      <c r="E107" s="79" t="s">
        <v>6002</v>
      </c>
      <c r="F107" s="82" t="s">
        <v>6003</v>
      </c>
      <c r="G107" s="99">
        <v>4.0</v>
      </c>
      <c r="H107" s="291">
        <v>4.0</v>
      </c>
      <c r="I107" s="291">
        <v>4.0</v>
      </c>
      <c r="J107" s="291">
        <v>10.0</v>
      </c>
      <c r="K107" s="291">
        <f t="shared" si="5"/>
        <v>2.5</v>
      </c>
      <c r="L107" s="288" t="s">
        <v>90</v>
      </c>
    </row>
    <row r="108" ht="15.0" customHeight="1">
      <c r="A108" s="82" t="s">
        <v>1956</v>
      </c>
      <c r="B108" s="82" t="s">
        <v>6008</v>
      </c>
      <c r="C108" s="82" t="s">
        <v>52</v>
      </c>
      <c r="D108" s="82" t="s">
        <v>6001</v>
      </c>
      <c r="E108" s="79" t="s">
        <v>6002</v>
      </c>
      <c r="F108" s="82" t="s">
        <v>6003</v>
      </c>
      <c r="G108" s="99">
        <v>4.0</v>
      </c>
      <c r="H108" s="291">
        <v>4.0</v>
      </c>
      <c r="I108" s="291">
        <v>4.0</v>
      </c>
      <c r="J108" s="291">
        <v>10.0</v>
      </c>
      <c r="K108" s="291">
        <f t="shared" si="5"/>
        <v>2.5</v>
      </c>
      <c r="L108" s="288" t="s">
        <v>90</v>
      </c>
    </row>
    <row r="109" ht="15.0" customHeight="1">
      <c r="A109" s="82" t="s">
        <v>6009</v>
      </c>
      <c r="B109" s="82" t="s">
        <v>6010</v>
      </c>
      <c r="C109" s="82" t="s">
        <v>52</v>
      </c>
      <c r="D109" s="82" t="s">
        <v>6001</v>
      </c>
      <c r="E109" s="79" t="s">
        <v>6002</v>
      </c>
      <c r="F109" s="82" t="s">
        <v>6003</v>
      </c>
      <c r="G109" s="99">
        <v>4.0</v>
      </c>
      <c r="H109" s="291">
        <v>4.0</v>
      </c>
      <c r="I109" s="291">
        <v>4.0</v>
      </c>
      <c r="J109" s="291">
        <v>10.0</v>
      </c>
      <c r="K109" s="292">
        <f t="shared" ref="K109:K110" si="6">J109/H109</f>
        <v>2.5</v>
      </c>
      <c r="L109" s="288" t="s">
        <v>90</v>
      </c>
    </row>
    <row r="110" ht="15.0" customHeight="1">
      <c r="A110" s="82" t="s">
        <v>6011</v>
      </c>
      <c r="B110" s="82" t="s">
        <v>6012</v>
      </c>
      <c r="C110" s="82" t="s">
        <v>52</v>
      </c>
      <c r="D110" s="82" t="s">
        <v>6001</v>
      </c>
      <c r="E110" s="79" t="s">
        <v>6002</v>
      </c>
      <c r="F110" s="82" t="s">
        <v>6003</v>
      </c>
      <c r="G110" s="99">
        <v>4.0</v>
      </c>
      <c r="H110" s="291">
        <v>4.0</v>
      </c>
      <c r="I110" s="291">
        <v>4.0</v>
      </c>
      <c r="J110" s="291">
        <v>10.0</v>
      </c>
      <c r="K110" s="291">
        <f t="shared" si="6"/>
        <v>2.5</v>
      </c>
      <c r="L110" s="288" t="s">
        <v>90</v>
      </c>
    </row>
    <row r="111" ht="15.0" customHeight="1">
      <c r="A111" s="82" t="s">
        <v>6006</v>
      </c>
      <c r="B111" s="82" t="s">
        <v>1840</v>
      </c>
      <c r="C111" s="82" t="s">
        <v>52</v>
      </c>
      <c r="D111" s="82" t="s">
        <v>6013</v>
      </c>
      <c r="E111" s="79" t="s">
        <v>6014</v>
      </c>
      <c r="F111" s="82" t="s">
        <v>5227</v>
      </c>
      <c r="G111" s="99">
        <v>4.0</v>
      </c>
      <c r="H111" s="291">
        <v>4.0</v>
      </c>
      <c r="I111" s="291">
        <v>4.0</v>
      </c>
      <c r="J111" s="291">
        <v>20.0</v>
      </c>
      <c r="K111" s="291">
        <f>J111/I111</f>
        <v>5</v>
      </c>
      <c r="L111" s="288" t="s">
        <v>90</v>
      </c>
    </row>
    <row r="112" ht="15.0" customHeight="1">
      <c r="A112" s="148" t="s">
        <v>1849</v>
      </c>
      <c r="B112" s="148" t="s">
        <v>1850</v>
      </c>
      <c r="C112" s="148" t="s">
        <v>52</v>
      </c>
      <c r="D112" s="148" t="s">
        <v>6015</v>
      </c>
      <c r="E112" s="188" t="s">
        <v>6016</v>
      </c>
      <c r="F112" s="160" t="s">
        <v>5227</v>
      </c>
      <c r="G112" s="160">
        <v>2.0</v>
      </c>
      <c r="H112" s="160">
        <v>1.0</v>
      </c>
      <c r="I112" s="160">
        <v>6.0</v>
      </c>
      <c r="J112" s="160" t="s">
        <v>6017</v>
      </c>
      <c r="K112" s="162">
        <f>J112/G112</f>
        <v>10</v>
      </c>
      <c r="L112" s="288" t="s">
        <v>92</v>
      </c>
    </row>
    <row r="113" ht="15.0" customHeight="1">
      <c r="A113" s="82" t="s">
        <v>1865</v>
      </c>
      <c r="B113" s="82" t="s">
        <v>6018</v>
      </c>
      <c r="C113" s="82" t="s">
        <v>52</v>
      </c>
      <c r="D113" s="82" t="s">
        <v>6019</v>
      </c>
      <c r="E113" s="79" t="s">
        <v>6020</v>
      </c>
      <c r="F113" s="82" t="s">
        <v>6021</v>
      </c>
      <c r="G113" s="82">
        <v>2.0</v>
      </c>
      <c r="H113" s="82">
        <v>2.0</v>
      </c>
      <c r="I113" s="291">
        <v>2.0</v>
      </c>
      <c r="J113" s="291">
        <v>20.0</v>
      </c>
      <c r="K113" s="291">
        <v>10.0</v>
      </c>
      <c r="L113" s="288" t="s">
        <v>72</v>
      </c>
    </row>
    <row r="114" ht="15.0" customHeight="1">
      <c r="A114" s="82" t="s">
        <v>1865</v>
      </c>
      <c r="B114" s="82" t="s">
        <v>6018</v>
      </c>
      <c r="C114" s="82" t="s">
        <v>52</v>
      </c>
      <c r="D114" s="78" t="s">
        <v>6022</v>
      </c>
      <c r="E114" s="80" t="s">
        <v>6023</v>
      </c>
      <c r="F114" s="82" t="s">
        <v>6021</v>
      </c>
      <c r="G114" s="82">
        <v>2.0</v>
      </c>
      <c r="H114" s="82">
        <v>2.0</v>
      </c>
      <c r="I114" s="291">
        <v>2.0</v>
      </c>
      <c r="J114" s="291">
        <v>20.0</v>
      </c>
      <c r="K114" s="291">
        <v>10.0</v>
      </c>
      <c r="L114" s="288" t="s">
        <v>72</v>
      </c>
    </row>
    <row r="115" ht="15.0" customHeight="1">
      <c r="A115" s="82" t="s">
        <v>1873</v>
      </c>
      <c r="B115" s="78" t="s">
        <v>1874</v>
      </c>
      <c r="C115" s="82" t="s">
        <v>52</v>
      </c>
      <c r="D115" s="82" t="s">
        <v>6024</v>
      </c>
      <c r="E115" s="82" t="s">
        <v>6025</v>
      </c>
      <c r="F115" s="82" t="s">
        <v>5372</v>
      </c>
      <c r="G115" s="82">
        <v>6.0</v>
      </c>
      <c r="H115" s="82">
        <v>6.0</v>
      </c>
      <c r="I115" s="291">
        <v>6.0</v>
      </c>
      <c r="J115" s="291">
        <v>20.0</v>
      </c>
      <c r="K115" s="291">
        <v>3.33</v>
      </c>
      <c r="L115" s="288" t="s">
        <v>60</v>
      </c>
    </row>
    <row r="116" ht="15.0" customHeight="1">
      <c r="A116" s="82" t="s">
        <v>6026</v>
      </c>
      <c r="B116" s="78" t="s">
        <v>6027</v>
      </c>
      <c r="C116" s="82" t="s">
        <v>52</v>
      </c>
      <c r="D116" s="82" t="s">
        <v>5827</v>
      </c>
      <c r="E116" s="82" t="s">
        <v>5802</v>
      </c>
      <c r="F116" s="82" t="s">
        <v>5828</v>
      </c>
      <c r="G116" s="82">
        <v>4.0</v>
      </c>
      <c r="H116" s="82">
        <v>4.0</v>
      </c>
      <c r="I116" s="291">
        <v>4.0</v>
      </c>
      <c r="J116" s="291">
        <v>10.0</v>
      </c>
      <c r="K116" s="291">
        <v>2.5</v>
      </c>
      <c r="L116" s="288" t="s">
        <v>60</v>
      </c>
    </row>
    <row r="117" ht="15.0" customHeight="1">
      <c r="A117" s="100" t="s">
        <v>6028</v>
      </c>
      <c r="B117" s="100" t="s">
        <v>6012</v>
      </c>
      <c r="C117" s="82" t="s">
        <v>52</v>
      </c>
      <c r="D117" s="82" t="s">
        <v>6029</v>
      </c>
      <c r="E117" s="82" t="s">
        <v>6030</v>
      </c>
      <c r="F117" s="82" t="s">
        <v>5372</v>
      </c>
      <c r="G117" s="82">
        <v>4.0</v>
      </c>
      <c r="H117" s="82">
        <v>4.0</v>
      </c>
      <c r="I117" s="291">
        <v>4.0</v>
      </c>
      <c r="J117" s="291">
        <v>20.0</v>
      </c>
      <c r="K117" s="291">
        <v>5.0</v>
      </c>
      <c r="L117" s="288" t="s">
        <v>60</v>
      </c>
    </row>
    <row r="118" ht="15.0" customHeight="1">
      <c r="A118" s="100" t="s">
        <v>1922</v>
      </c>
      <c r="B118" s="100" t="s">
        <v>1840</v>
      </c>
      <c r="C118" s="82" t="s">
        <v>52</v>
      </c>
      <c r="D118" s="82" t="s">
        <v>6031</v>
      </c>
      <c r="E118" s="82" t="s">
        <v>6032</v>
      </c>
      <c r="F118" s="82" t="s">
        <v>5372</v>
      </c>
      <c r="G118" s="82">
        <v>4.0</v>
      </c>
      <c r="H118" s="82">
        <v>4.0</v>
      </c>
      <c r="I118" s="291">
        <v>4.0</v>
      </c>
      <c r="J118" s="291">
        <v>20.0</v>
      </c>
      <c r="K118" s="291">
        <v>5.0</v>
      </c>
      <c r="L118" s="288" t="s">
        <v>60</v>
      </c>
    </row>
    <row r="119" ht="15.0" customHeight="1">
      <c r="A119" s="100" t="s">
        <v>1889</v>
      </c>
      <c r="B119" s="100" t="s">
        <v>1890</v>
      </c>
      <c r="C119" s="82" t="s">
        <v>52</v>
      </c>
      <c r="D119" s="82" t="s">
        <v>6033</v>
      </c>
      <c r="E119" s="82" t="s">
        <v>6034</v>
      </c>
      <c r="F119" s="82" t="s">
        <v>5828</v>
      </c>
      <c r="G119" s="82">
        <v>2.0</v>
      </c>
      <c r="H119" s="82">
        <v>2.0</v>
      </c>
      <c r="I119" s="291">
        <v>2.0</v>
      </c>
      <c r="J119" s="291">
        <v>10.0</v>
      </c>
      <c r="K119" s="291">
        <v>5.0</v>
      </c>
      <c r="L119" s="288" t="s">
        <v>60</v>
      </c>
    </row>
    <row r="120" ht="15.0" customHeight="1">
      <c r="A120" s="100" t="s">
        <v>1897</v>
      </c>
      <c r="B120" s="100" t="s">
        <v>1898</v>
      </c>
      <c r="C120" s="82" t="s">
        <v>52</v>
      </c>
      <c r="D120" s="82" t="s">
        <v>6035</v>
      </c>
      <c r="E120" s="82" t="s">
        <v>3120</v>
      </c>
      <c r="F120" s="82" t="s">
        <v>5372</v>
      </c>
      <c r="G120" s="82">
        <v>6.0</v>
      </c>
      <c r="H120" s="82">
        <v>6.0</v>
      </c>
      <c r="I120" s="291">
        <v>6.0</v>
      </c>
      <c r="J120" s="291">
        <v>20.0</v>
      </c>
      <c r="K120" s="291">
        <v>3.33</v>
      </c>
      <c r="L120" s="288" t="s">
        <v>60</v>
      </c>
    </row>
    <row r="121" ht="15.0" customHeight="1">
      <c r="A121" s="82" t="s">
        <v>1298</v>
      </c>
      <c r="B121" s="78" t="s">
        <v>1299</v>
      </c>
      <c r="C121" s="82" t="s">
        <v>52</v>
      </c>
      <c r="D121" s="82" t="s">
        <v>5844</v>
      </c>
      <c r="E121" s="82" t="s">
        <v>5845</v>
      </c>
      <c r="F121" s="82" t="s">
        <v>5828</v>
      </c>
      <c r="G121" s="82">
        <v>3.0</v>
      </c>
      <c r="H121" s="82">
        <v>3.0</v>
      </c>
      <c r="I121" s="291">
        <v>3.0</v>
      </c>
      <c r="J121" s="291">
        <v>10.0</v>
      </c>
      <c r="K121" s="291">
        <v>3.33</v>
      </c>
      <c r="L121" s="288" t="s">
        <v>60</v>
      </c>
    </row>
    <row r="122" ht="15.0" customHeight="1">
      <c r="A122" s="82" t="s">
        <v>1241</v>
      </c>
      <c r="B122" s="78" t="s">
        <v>1237</v>
      </c>
      <c r="C122" s="82" t="s">
        <v>52</v>
      </c>
      <c r="D122" s="82" t="s">
        <v>5824</v>
      </c>
      <c r="E122" s="82" t="s">
        <v>5825</v>
      </c>
      <c r="F122" s="82" t="s">
        <v>5826</v>
      </c>
      <c r="G122" s="82">
        <v>7.0</v>
      </c>
      <c r="H122" s="82">
        <v>7.0</v>
      </c>
      <c r="I122" s="291">
        <v>7.0</v>
      </c>
      <c r="J122" s="291">
        <v>20.0</v>
      </c>
      <c r="K122" s="291">
        <v>2.86</v>
      </c>
      <c r="L122" s="288" t="s">
        <v>60</v>
      </c>
    </row>
    <row r="123" ht="15.0" customHeight="1">
      <c r="A123" s="82" t="s">
        <v>1316</v>
      </c>
      <c r="B123" s="82" t="s">
        <v>1317</v>
      </c>
      <c r="C123" s="82" t="s">
        <v>52</v>
      </c>
      <c r="D123" s="82" t="s">
        <v>5846</v>
      </c>
      <c r="E123" s="82" t="s">
        <v>5847</v>
      </c>
      <c r="F123" s="82" t="s">
        <v>5372</v>
      </c>
      <c r="G123" s="82">
        <v>3.0</v>
      </c>
      <c r="H123" s="82">
        <v>3.0</v>
      </c>
      <c r="I123" s="291">
        <v>3.0</v>
      </c>
      <c r="J123" s="291">
        <v>20.0</v>
      </c>
      <c r="K123" s="291">
        <v>6.67</v>
      </c>
      <c r="L123" s="288" t="s">
        <v>60</v>
      </c>
    </row>
    <row r="124" ht="15.0" customHeight="1">
      <c r="A124" s="82" t="s">
        <v>5848</v>
      </c>
      <c r="B124" s="82" t="s">
        <v>5849</v>
      </c>
      <c r="C124" s="82" t="s">
        <v>52</v>
      </c>
      <c r="D124" s="82" t="s">
        <v>5827</v>
      </c>
      <c r="E124" s="82" t="s">
        <v>5802</v>
      </c>
      <c r="F124" s="82" t="s">
        <v>5828</v>
      </c>
      <c r="G124" s="82">
        <v>4.0</v>
      </c>
      <c r="H124" s="82">
        <v>4.0</v>
      </c>
      <c r="I124" s="291">
        <v>4.0</v>
      </c>
      <c r="J124" s="291">
        <v>10.0</v>
      </c>
      <c r="K124" s="291">
        <v>2.5</v>
      </c>
      <c r="L124" s="288" t="s">
        <v>60</v>
      </c>
    </row>
    <row r="125" ht="15.0" customHeight="1">
      <c r="A125" s="82" t="s">
        <v>1407</v>
      </c>
      <c r="B125" s="82" t="s">
        <v>1408</v>
      </c>
      <c r="C125" s="82" t="s">
        <v>52</v>
      </c>
      <c r="D125" s="82" t="s">
        <v>5850</v>
      </c>
      <c r="E125" s="82" t="s">
        <v>5851</v>
      </c>
      <c r="F125" s="82" t="s">
        <v>5372</v>
      </c>
      <c r="G125" s="82">
        <v>4.0</v>
      </c>
      <c r="H125" s="82">
        <v>4.0</v>
      </c>
      <c r="I125" s="291">
        <v>4.0</v>
      </c>
      <c r="J125" s="291">
        <v>20.0</v>
      </c>
      <c r="K125" s="291">
        <v>5.0</v>
      </c>
      <c r="L125" s="288" t="s">
        <v>60</v>
      </c>
    </row>
    <row r="126" ht="15.0" customHeight="1">
      <c r="A126" s="82" t="s">
        <v>1458</v>
      </c>
      <c r="B126" s="82" t="s">
        <v>1459</v>
      </c>
      <c r="C126" s="82" t="s">
        <v>52</v>
      </c>
      <c r="D126" s="78" t="s">
        <v>5852</v>
      </c>
      <c r="E126" s="78" t="s">
        <v>5853</v>
      </c>
      <c r="F126" s="78" t="s">
        <v>5854</v>
      </c>
      <c r="G126" s="82">
        <v>5.0</v>
      </c>
      <c r="H126" s="82">
        <v>5.0</v>
      </c>
      <c r="I126" s="291">
        <v>5.0</v>
      </c>
      <c r="J126" s="291">
        <v>20.0</v>
      </c>
      <c r="K126" s="291">
        <v>4.0</v>
      </c>
      <c r="L126" s="288" t="s">
        <v>60</v>
      </c>
    </row>
    <row r="127" ht="15.0" customHeight="1">
      <c r="A127" s="82" t="s">
        <v>1411</v>
      </c>
      <c r="B127" s="82" t="s">
        <v>1412</v>
      </c>
      <c r="C127" s="82" t="s">
        <v>52</v>
      </c>
      <c r="D127" s="82" t="s">
        <v>5827</v>
      </c>
      <c r="E127" s="82" t="s">
        <v>5802</v>
      </c>
      <c r="F127" s="82" t="s">
        <v>5828</v>
      </c>
      <c r="G127" s="82">
        <v>4.0</v>
      </c>
      <c r="H127" s="82">
        <v>4.0</v>
      </c>
      <c r="I127" s="291">
        <v>4.0</v>
      </c>
      <c r="J127" s="291">
        <v>10.0</v>
      </c>
      <c r="K127" s="291">
        <v>2.5</v>
      </c>
      <c r="L127" s="288" t="s">
        <v>60</v>
      </c>
    </row>
    <row r="128" ht="15.0" customHeight="1">
      <c r="A128" s="82" t="s">
        <v>1411</v>
      </c>
      <c r="B128" s="82" t="s">
        <v>1412</v>
      </c>
      <c r="C128" s="82" t="s">
        <v>52</v>
      </c>
      <c r="D128" s="78" t="s">
        <v>5855</v>
      </c>
      <c r="E128" s="78" t="s">
        <v>5856</v>
      </c>
      <c r="F128" s="78" t="s">
        <v>5372</v>
      </c>
      <c r="G128" s="82">
        <v>4.0</v>
      </c>
      <c r="H128" s="82">
        <v>4.0</v>
      </c>
      <c r="I128" s="291">
        <v>4.0</v>
      </c>
      <c r="J128" s="291">
        <v>20.0</v>
      </c>
      <c r="K128" s="291">
        <v>5.0</v>
      </c>
      <c r="L128" s="288" t="s">
        <v>60</v>
      </c>
    </row>
    <row r="129" ht="15.0" customHeight="1">
      <c r="A129" s="82" t="s">
        <v>5857</v>
      </c>
      <c r="B129" s="78" t="s">
        <v>5858</v>
      </c>
      <c r="C129" s="82" t="s">
        <v>52</v>
      </c>
      <c r="D129" s="82" t="s">
        <v>5827</v>
      </c>
      <c r="E129" s="82" t="s">
        <v>5802</v>
      </c>
      <c r="F129" s="82" t="s">
        <v>5828</v>
      </c>
      <c r="G129" s="82">
        <v>6.0</v>
      </c>
      <c r="H129" s="82">
        <v>6.0</v>
      </c>
      <c r="I129" s="291">
        <v>6.0</v>
      </c>
      <c r="J129" s="291">
        <v>10.0</v>
      </c>
      <c r="K129" s="291">
        <v>1.67</v>
      </c>
      <c r="L129" s="288" t="s">
        <v>60</v>
      </c>
    </row>
    <row r="130" ht="15.0" customHeight="1">
      <c r="A130" s="82" t="s">
        <v>5859</v>
      </c>
      <c r="B130" s="85" t="s">
        <v>5860</v>
      </c>
      <c r="C130" s="85" t="s">
        <v>52</v>
      </c>
      <c r="D130" s="82" t="s">
        <v>5827</v>
      </c>
      <c r="E130" s="82" t="s">
        <v>5802</v>
      </c>
      <c r="F130" s="82" t="s">
        <v>5828</v>
      </c>
      <c r="G130" s="82">
        <v>2.0</v>
      </c>
      <c r="H130" s="82">
        <v>2.0</v>
      </c>
      <c r="I130" s="291">
        <v>2.0</v>
      </c>
      <c r="J130" s="291">
        <v>10.0</v>
      </c>
      <c r="K130" s="291">
        <v>5.0</v>
      </c>
      <c r="L130" s="288" t="s">
        <v>60</v>
      </c>
    </row>
    <row r="131" ht="15.0" customHeight="1">
      <c r="A131" s="82" t="s">
        <v>1272</v>
      </c>
      <c r="B131" s="78" t="s">
        <v>1273</v>
      </c>
      <c r="C131" s="82" t="s">
        <v>52</v>
      </c>
      <c r="D131" s="82" t="s">
        <v>5827</v>
      </c>
      <c r="E131" s="82" t="s">
        <v>5802</v>
      </c>
      <c r="F131" s="82" t="s">
        <v>5828</v>
      </c>
      <c r="G131" s="82">
        <v>7.0</v>
      </c>
      <c r="H131" s="82">
        <v>7.0</v>
      </c>
      <c r="I131" s="291">
        <v>7.0</v>
      </c>
      <c r="J131" s="291">
        <v>10.0</v>
      </c>
      <c r="K131" s="291">
        <v>1.43</v>
      </c>
      <c r="L131" s="288" t="s">
        <v>60</v>
      </c>
    </row>
    <row r="132" ht="15.0" customHeight="1">
      <c r="A132" s="82" t="s">
        <v>6036</v>
      </c>
      <c r="B132" s="78" t="s">
        <v>1353</v>
      </c>
      <c r="C132" s="82" t="s">
        <v>52</v>
      </c>
      <c r="D132" s="82" t="s">
        <v>5827</v>
      </c>
      <c r="E132" s="82" t="s">
        <v>5802</v>
      </c>
      <c r="F132" s="82" t="s">
        <v>5828</v>
      </c>
      <c r="G132" s="82">
        <v>3.0</v>
      </c>
      <c r="H132" s="82">
        <v>3.0</v>
      </c>
      <c r="I132" s="291">
        <v>3.0</v>
      </c>
      <c r="J132" s="291">
        <v>10.0</v>
      </c>
      <c r="K132" s="291">
        <v>3.33</v>
      </c>
      <c r="L132" s="288" t="s">
        <v>60</v>
      </c>
    </row>
    <row r="133" ht="15.0" customHeight="1">
      <c r="A133" s="82" t="s">
        <v>1365</v>
      </c>
      <c r="B133" s="82" t="s">
        <v>1366</v>
      </c>
      <c r="C133" s="82" t="s">
        <v>52</v>
      </c>
      <c r="D133" s="78" t="s">
        <v>5861</v>
      </c>
      <c r="E133" s="78" t="s">
        <v>5862</v>
      </c>
      <c r="F133" s="78" t="s">
        <v>5863</v>
      </c>
      <c r="G133" s="82">
        <v>4.0</v>
      </c>
      <c r="H133" s="82">
        <v>4.0</v>
      </c>
      <c r="I133" s="291">
        <v>4.0</v>
      </c>
      <c r="J133" s="291">
        <v>20.0</v>
      </c>
      <c r="K133" s="291">
        <v>5.0</v>
      </c>
      <c r="L133" s="288" t="s">
        <v>60</v>
      </c>
    </row>
    <row r="134" ht="15.0" customHeight="1">
      <c r="A134" s="82" t="s">
        <v>1365</v>
      </c>
      <c r="B134" s="82" t="s">
        <v>1366</v>
      </c>
      <c r="C134" s="82" t="s">
        <v>52</v>
      </c>
      <c r="D134" s="78" t="s">
        <v>5864</v>
      </c>
      <c r="E134" s="78" t="s">
        <v>5865</v>
      </c>
      <c r="F134" s="78" t="s">
        <v>5372</v>
      </c>
      <c r="G134" s="82">
        <v>4.0</v>
      </c>
      <c r="H134" s="82">
        <v>4.0</v>
      </c>
      <c r="I134" s="291">
        <v>4.0</v>
      </c>
      <c r="J134" s="291">
        <v>20.0</v>
      </c>
      <c r="K134" s="291">
        <v>5.0</v>
      </c>
      <c r="L134" s="288" t="s">
        <v>60</v>
      </c>
    </row>
    <row r="135" ht="15.0" customHeight="1">
      <c r="A135" s="82" t="s">
        <v>1372</v>
      </c>
      <c r="B135" s="82" t="s">
        <v>1373</v>
      </c>
      <c r="C135" s="82" t="s">
        <v>52</v>
      </c>
      <c r="D135" s="78" t="s">
        <v>5866</v>
      </c>
      <c r="E135" s="78" t="s">
        <v>5867</v>
      </c>
      <c r="F135" s="78" t="s">
        <v>5854</v>
      </c>
      <c r="G135" s="82">
        <v>4.0</v>
      </c>
      <c r="H135" s="82">
        <v>4.0</v>
      </c>
      <c r="I135" s="291">
        <v>4.0</v>
      </c>
      <c r="J135" s="291">
        <v>20.0</v>
      </c>
      <c r="K135" s="291">
        <v>5.0</v>
      </c>
      <c r="L135" s="288" t="s">
        <v>60</v>
      </c>
    </row>
    <row r="136" ht="15.0" customHeight="1">
      <c r="A136" s="82" t="s">
        <v>5868</v>
      </c>
      <c r="B136" s="82" t="s">
        <v>5869</v>
      </c>
      <c r="C136" s="82" t="s">
        <v>52</v>
      </c>
      <c r="D136" s="78" t="s">
        <v>5870</v>
      </c>
      <c r="E136" s="78" t="s">
        <v>5871</v>
      </c>
      <c r="F136" s="78" t="s">
        <v>5372</v>
      </c>
      <c r="G136" s="82">
        <v>3.0</v>
      </c>
      <c r="H136" s="82">
        <v>3.0</v>
      </c>
      <c r="I136" s="291">
        <v>3.0</v>
      </c>
      <c r="J136" s="291">
        <v>20.0</v>
      </c>
      <c r="K136" s="291">
        <v>6.67</v>
      </c>
      <c r="L136" s="288" t="s">
        <v>60</v>
      </c>
    </row>
    <row r="137" ht="15.0" customHeight="1">
      <c r="A137" s="82" t="s">
        <v>5829</v>
      </c>
      <c r="B137" s="82" t="s">
        <v>5830</v>
      </c>
      <c r="C137" s="82" t="s">
        <v>52</v>
      </c>
      <c r="D137" s="78" t="s">
        <v>5831</v>
      </c>
      <c r="E137" s="78" t="s">
        <v>5832</v>
      </c>
      <c r="F137" s="78" t="s">
        <v>5828</v>
      </c>
      <c r="G137" s="82">
        <v>4.0</v>
      </c>
      <c r="H137" s="82">
        <v>4.0</v>
      </c>
      <c r="I137" s="291">
        <v>4.0</v>
      </c>
      <c r="J137" s="291">
        <v>10.0</v>
      </c>
      <c r="K137" s="291">
        <v>2.5</v>
      </c>
      <c r="L137" s="288" t="s">
        <v>60</v>
      </c>
    </row>
    <row r="138" ht="15.0" customHeight="1">
      <c r="A138" s="100" t="s">
        <v>6037</v>
      </c>
      <c r="B138" s="100" t="s">
        <v>6038</v>
      </c>
      <c r="C138" s="100" t="s">
        <v>52</v>
      </c>
      <c r="D138" s="157" t="s">
        <v>6039</v>
      </c>
      <c r="E138" s="154" t="s">
        <v>6040</v>
      </c>
      <c r="F138" s="164" t="s">
        <v>5227</v>
      </c>
      <c r="G138" s="168">
        <v>4.0</v>
      </c>
      <c r="H138" s="168">
        <v>4.0</v>
      </c>
      <c r="I138" s="164">
        <v>4.0</v>
      </c>
      <c r="J138" s="164">
        <v>20.0</v>
      </c>
      <c r="K138" s="295">
        <f>J138/I138</f>
        <v>5</v>
      </c>
      <c r="L138" s="288" t="s">
        <v>82</v>
      </c>
    </row>
    <row r="139" ht="15.0" customHeight="1">
      <c r="A139" s="100" t="s">
        <v>1953</v>
      </c>
      <c r="B139" s="100" t="s">
        <v>1484</v>
      </c>
      <c r="C139" s="100" t="s">
        <v>52</v>
      </c>
      <c r="D139" s="157" t="s">
        <v>6041</v>
      </c>
      <c r="E139" s="154" t="s">
        <v>6042</v>
      </c>
      <c r="F139" s="164" t="s">
        <v>5227</v>
      </c>
      <c r="G139" s="168">
        <v>5.0</v>
      </c>
      <c r="H139" s="164">
        <v>5.0</v>
      </c>
      <c r="I139" s="164">
        <v>5.0</v>
      </c>
      <c r="J139" s="164">
        <v>20.0</v>
      </c>
      <c r="K139" s="164">
        <f>20/5</f>
        <v>4</v>
      </c>
      <c r="L139" s="288" t="s">
        <v>82</v>
      </c>
    </row>
    <row r="140" ht="15.75" customHeight="1">
      <c r="A140" s="100" t="s">
        <v>6043</v>
      </c>
      <c r="B140" s="100" t="s">
        <v>1282</v>
      </c>
      <c r="C140" s="100" t="s">
        <v>52</v>
      </c>
      <c r="D140" s="157" t="s">
        <v>6044</v>
      </c>
      <c r="E140" s="154" t="s">
        <v>6045</v>
      </c>
      <c r="F140" s="164" t="s">
        <v>6046</v>
      </c>
      <c r="G140" s="168">
        <v>8.0</v>
      </c>
      <c r="H140" s="168">
        <v>8.0</v>
      </c>
      <c r="I140" s="164">
        <v>8.0</v>
      </c>
      <c r="J140" s="164">
        <v>10.0</v>
      </c>
      <c r="K140" s="296">
        <f t="shared" ref="K140:K156" si="7">J140/I140</f>
        <v>1.25</v>
      </c>
      <c r="L140" s="288" t="s">
        <v>82</v>
      </c>
    </row>
    <row r="141" ht="15.75" customHeight="1">
      <c r="A141" s="157" t="s">
        <v>1961</v>
      </c>
      <c r="B141" s="157" t="s">
        <v>290</v>
      </c>
      <c r="C141" s="100" t="s">
        <v>52</v>
      </c>
      <c r="D141" s="157" t="s">
        <v>6047</v>
      </c>
      <c r="E141" s="154" t="s">
        <v>6048</v>
      </c>
      <c r="F141" s="164" t="s">
        <v>6046</v>
      </c>
      <c r="G141" s="168">
        <v>8.0</v>
      </c>
      <c r="H141" s="168">
        <v>6.0</v>
      </c>
      <c r="I141" s="164">
        <v>8.0</v>
      </c>
      <c r="J141" s="164">
        <v>10.0</v>
      </c>
      <c r="K141" s="296">
        <f t="shared" si="7"/>
        <v>1.25</v>
      </c>
      <c r="L141" s="288" t="s">
        <v>82</v>
      </c>
    </row>
    <row r="142" ht="15.75" customHeight="1">
      <c r="A142" s="157" t="s">
        <v>1961</v>
      </c>
      <c r="B142" s="157" t="s">
        <v>290</v>
      </c>
      <c r="C142" s="100" t="s">
        <v>52</v>
      </c>
      <c r="D142" s="157" t="s">
        <v>6049</v>
      </c>
      <c r="E142" s="154" t="s">
        <v>6050</v>
      </c>
      <c r="F142" s="164" t="s">
        <v>5227</v>
      </c>
      <c r="G142" s="167">
        <v>8.0</v>
      </c>
      <c r="H142" s="168">
        <v>6.0</v>
      </c>
      <c r="I142" s="164">
        <v>8.0</v>
      </c>
      <c r="J142" s="164">
        <v>20.0</v>
      </c>
      <c r="K142" s="296">
        <f t="shared" si="7"/>
        <v>2.5</v>
      </c>
      <c r="L142" s="288" t="s">
        <v>82</v>
      </c>
    </row>
    <row r="143" ht="15.75" customHeight="1">
      <c r="A143" s="157" t="s">
        <v>6051</v>
      </c>
      <c r="B143" s="157" t="s">
        <v>6052</v>
      </c>
      <c r="C143" s="100" t="s">
        <v>52</v>
      </c>
      <c r="D143" s="157" t="s">
        <v>6053</v>
      </c>
      <c r="E143" s="154" t="s">
        <v>5918</v>
      </c>
      <c r="F143" s="164" t="s">
        <v>6046</v>
      </c>
      <c r="G143" s="167">
        <v>4.0</v>
      </c>
      <c r="H143" s="168">
        <v>4.0</v>
      </c>
      <c r="I143" s="164">
        <v>4.0</v>
      </c>
      <c r="J143" s="164">
        <v>10.0</v>
      </c>
      <c r="K143" s="296">
        <f t="shared" si="7"/>
        <v>2.5</v>
      </c>
      <c r="L143" s="288" t="s">
        <v>82</v>
      </c>
    </row>
    <row r="144" ht="15.75" customHeight="1">
      <c r="A144" s="157" t="s">
        <v>6054</v>
      </c>
      <c r="B144" s="157" t="s">
        <v>6055</v>
      </c>
      <c r="C144" s="100" t="s">
        <v>52</v>
      </c>
      <c r="D144" s="157" t="s">
        <v>6053</v>
      </c>
      <c r="E144" s="154" t="s">
        <v>5918</v>
      </c>
      <c r="F144" s="164" t="s">
        <v>6046</v>
      </c>
      <c r="G144" s="167">
        <v>4.0</v>
      </c>
      <c r="H144" s="168">
        <v>4.0</v>
      </c>
      <c r="I144" s="164">
        <v>4.0</v>
      </c>
      <c r="J144" s="164">
        <v>10.0</v>
      </c>
      <c r="K144" s="296">
        <f t="shared" si="7"/>
        <v>2.5</v>
      </c>
      <c r="L144" s="288" t="s">
        <v>82</v>
      </c>
    </row>
    <row r="145" ht="15.75" customHeight="1">
      <c r="A145" s="157" t="s">
        <v>6056</v>
      </c>
      <c r="B145" s="157" t="s">
        <v>6008</v>
      </c>
      <c r="C145" s="100" t="s">
        <v>52</v>
      </c>
      <c r="D145" s="157" t="s">
        <v>6053</v>
      </c>
      <c r="E145" s="154" t="s">
        <v>5918</v>
      </c>
      <c r="F145" s="164" t="s">
        <v>6046</v>
      </c>
      <c r="G145" s="167">
        <v>4.0</v>
      </c>
      <c r="H145" s="168">
        <v>4.0</v>
      </c>
      <c r="I145" s="164">
        <v>4.0</v>
      </c>
      <c r="J145" s="164">
        <v>10.0</v>
      </c>
      <c r="K145" s="296">
        <f t="shared" si="7"/>
        <v>2.5</v>
      </c>
      <c r="L145" s="288" t="s">
        <v>82</v>
      </c>
    </row>
    <row r="146" ht="15.75" customHeight="1">
      <c r="A146" s="157" t="s">
        <v>6057</v>
      </c>
      <c r="B146" s="157" t="s">
        <v>5991</v>
      </c>
      <c r="C146" s="100" t="s">
        <v>52</v>
      </c>
      <c r="D146" s="157" t="s">
        <v>6053</v>
      </c>
      <c r="E146" s="154" t="s">
        <v>5918</v>
      </c>
      <c r="F146" s="164" t="s">
        <v>6046</v>
      </c>
      <c r="G146" s="167">
        <v>4.0</v>
      </c>
      <c r="H146" s="168">
        <v>4.0</v>
      </c>
      <c r="I146" s="164">
        <v>4.0</v>
      </c>
      <c r="J146" s="164">
        <v>10.0</v>
      </c>
      <c r="K146" s="296">
        <f t="shared" si="7"/>
        <v>2.5</v>
      </c>
      <c r="L146" s="288" t="s">
        <v>82</v>
      </c>
    </row>
    <row r="147" ht="15.75" customHeight="1">
      <c r="A147" s="157" t="s">
        <v>6054</v>
      </c>
      <c r="B147" s="157" t="s">
        <v>6055</v>
      </c>
      <c r="C147" s="100" t="s">
        <v>52</v>
      </c>
      <c r="D147" s="157" t="s">
        <v>6058</v>
      </c>
      <c r="E147" s="154" t="s">
        <v>5880</v>
      </c>
      <c r="F147" s="164" t="s">
        <v>6046</v>
      </c>
      <c r="G147" s="167">
        <v>4.0</v>
      </c>
      <c r="H147" s="168">
        <v>4.0</v>
      </c>
      <c r="I147" s="164">
        <v>4.0</v>
      </c>
      <c r="J147" s="164">
        <v>10.0</v>
      </c>
      <c r="K147" s="296">
        <f t="shared" si="7"/>
        <v>2.5</v>
      </c>
      <c r="L147" s="288" t="s">
        <v>82</v>
      </c>
    </row>
    <row r="148" ht="15.75" customHeight="1">
      <c r="A148" s="157" t="s">
        <v>6051</v>
      </c>
      <c r="B148" s="157" t="s">
        <v>6052</v>
      </c>
      <c r="C148" s="100" t="s">
        <v>52</v>
      </c>
      <c r="D148" s="157" t="s">
        <v>6058</v>
      </c>
      <c r="E148" s="154" t="s">
        <v>5880</v>
      </c>
      <c r="F148" s="164" t="s">
        <v>6046</v>
      </c>
      <c r="G148" s="167">
        <v>4.0</v>
      </c>
      <c r="H148" s="168">
        <v>4.0</v>
      </c>
      <c r="I148" s="164">
        <v>4.0</v>
      </c>
      <c r="J148" s="164">
        <v>10.0</v>
      </c>
      <c r="K148" s="296">
        <f t="shared" si="7"/>
        <v>2.5</v>
      </c>
      <c r="L148" s="288" t="s">
        <v>82</v>
      </c>
    </row>
    <row r="149" ht="15.75" customHeight="1">
      <c r="A149" s="157" t="s">
        <v>6056</v>
      </c>
      <c r="B149" s="157" t="s">
        <v>6008</v>
      </c>
      <c r="C149" s="100" t="s">
        <v>52</v>
      </c>
      <c r="D149" s="157" t="s">
        <v>6058</v>
      </c>
      <c r="E149" s="154" t="s">
        <v>5880</v>
      </c>
      <c r="F149" s="164" t="s">
        <v>6046</v>
      </c>
      <c r="G149" s="167">
        <v>4.0</v>
      </c>
      <c r="H149" s="168">
        <v>4.0</v>
      </c>
      <c r="I149" s="164">
        <v>4.0</v>
      </c>
      <c r="J149" s="164">
        <v>10.0</v>
      </c>
      <c r="K149" s="296">
        <f t="shared" si="7"/>
        <v>2.5</v>
      </c>
      <c r="L149" s="288" t="s">
        <v>82</v>
      </c>
    </row>
    <row r="150" ht="15.75" customHeight="1">
      <c r="A150" s="100" t="s">
        <v>1933</v>
      </c>
      <c r="B150" s="157" t="s">
        <v>1273</v>
      </c>
      <c r="C150" s="100" t="s">
        <v>52</v>
      </c>
      <c r="D150" s="157" t="s">
        <v>6058</v>
      </c>
      <c r="E150" s="154" t="s">
        <v>5880</v>
      </c>
      <c r="F150" s="164" t="s">
        <v>6046</v>
      </c>
      <c r="G150" s="167">
        <v>7.0</v>
      </c>
      <c r="H150" s="168">
        <v>7.0</v>
      </c>
      <c r="I150" s="164">
        <v>7.0</v>
      </c>
      <c r="J150" s="164">
        <v>10.0</v>
      </c>
      <c r="K150" s="297">
        <f t="shared" si="7"/>
        <v>1.428571429</v>
      </c>
      <c r="L150" s="288" t="s">
        <v>82</v>
      </c>
    </row>
    <row r="151" ht="15.0" customHeight="1">
      <c r="A151" s="157" t="s">
        <v>6057</v>
      </c>
      <c r="B151" s="157" t="s">
        <v>5991</v>
      </c>
      <c r="C151" s="100" t="s">
        <v>52</v>
      </c>
      <c r="D151" s="157" t="s">
        <v>6058</v>
      </c>
      <c r="E151" s="154" t="s">
        <v>5880</v>
      </c>
      <c r="F151" s="164" t="s">
        <v>6046</v>
      </c>
      <c r="G151" s="167">
        <v>4.0</v>
      </c>
      <c r="H151" s="168">
        <v>4.0</v>
      </c>
      <c r="I151" s="164">
        <v>4.0</v>
      </c>
      <c r="J151" s="164">
        <v>10.0</v>
      </c>
      <c r="K151" s="296">
        <f t="shared" si="7"/>
        <v>2.5</v>
      </c>
      <c r="L151" s="288" t="s">
        <v>82</v>
      </c>
    </row>
    <row r="152" ht="15.0" customHeight="1">
      <c r="A152" s="100" t="s">
        <v>1925</v>
      </c>
      <c r="B152" s="100" t="s">
        <v>1926</v>
      </c>
      <c r="C152" s="100" t="s">
        <v>52</v>
      </c>
      <c r="D152" s="157" t="s">
        <v>6059</v>
      </c>
      <c r="E152" s="154" t="s">
        <v>6060</v>
      </c>
      <c r="F152" s="164" t="s">
        <v>5227</v>
      </c>
      <c r="G152" s="167">
        <v>1.0</v>
      </c>
      <c r="H152" s="168">
        <v>1.0</v>
      </c>
      <c r="I152" s="164">
        <v>1.0</v>
      </c>
      <c r="J152" s="164">
        <v>20.0</v>
      </c>
      <c r="K152" s="296">
        <f t="shared" si="7"/>
        <v>20</v>
      </c>
      <c r="L152" s="288" t="s">
        <v>82</v>
      </c>
    </row>
    <row r="153" ht="15.0" customHeight="1">
      <c r="A153" s="100" t="s">
        <v>1925</v>
      </c>
      <c r="B153" s="100" t="s">
        <v>6061</v>
      </c>
      <c r="C153" s="100" t="s">
        <v>52</v>
      </c>
      <c r="D153" s="157" t="s">
        <v>6062</v>
      </c>
      <c r="E153" s="154" t="s">
        <v>6063</v>
      </c>
      <c r="F153" s="164" t="s">
        <v>5227</v>
      </c>
      <c r="G153" s="167">
        <v>1.0</v>
      </c>
      <c r="H153" s="168">
        <v>1.0</v>
      </c>
      <c r="I153" s="164">
        <v>1.0</v>
      </c>
      <c r="J153" s="164">
        <v>20.0</v>
      </c>
      <c r="K153" s="296">
        <f t="shared" si="7"/>
        <v>20</v>
      </c>
      <c r="L153" s="288" t="s">
        <v>82</v>
      </c>
    </row>
    <row r="154" ht="15.0" customHeight="1">
      <c r="A154" s="157" t="s">
        <v>6064</v>
      </c>
      <c r="B154" s="157" t="s">
        <v>5991</v>
      </c>
      <c r="C154" s="100" t="s">
        <v>52</v>
      </c>
      <c r="D154" s="157" t="s">
        <v>6065</v>
      </c>
      <c r="E154" s="154" t="s">
        <v>6066</v>
      </c>
      <c r="F154" s="164" t="s">
        <v>5227</v>
      </c>
      <c r="G154" s="167">
        <v>4.0</v>
      </c>
      <c r="H154" s="168">
        <v>4.0</v>
      </c>
      <c r="I154" s="164">
        <v>4.0</v>
      </c>
      <c r="J154" s="164">
        <v>20.0</v>
      </c>
      <c r="K154" s="296">
        <f t="shared" si="7"/>
        <v>5</v>
      </c>
      <c r="L154" s="288" t="s">
        <v>82</v>
      </c>
    </row>
    <row r="155" ht="15.0" customHeight="1">
      <c r="A155" s="157" t="s">
        <v>1967</v>
      </c>
      <c r="B155" s="157" t="s">
        <v>1968</v>
      </c>
      <c r="C155" s="100" t="s">
        <v>52</v>
      </c>
      <c r="D155" s="157" t="s">
        <v>6067</v>
      </c>
      <c r="E155" s="154" t="s">
        <v>6068</v>
      </c>
      <c r="F155" s="164" t="s">
        <v>5227</v>
      </c>
      <c r="G155" s="167">
        <v>4.0</v>
      </c>
      <c r="H155" s="168">
        <v>4.0</v>
      </c>
      <c r="I155" s="164">
        <v>4.0</v>
      </c>
      <c r="J155" s="164">
        <v>20.0</v>
      </c>
      <c r="K155" s="296">
        <f t="shared" si="7"/>
        <v>5</v>
      </c>
      <c r="L155" s="288" t="s">
        <v>82</v>
      </c>
    </row>
    <row r="156" ht="15.0" customHeight="1">
      <c r="A156" s="157" t="s">
        <v>1967</v>
      </c>
      <c r="B156" s="157" t="s">
        <v>1968</v>
      </c>
      <c r="C156" s="100" t="s">
        <v>52</v>
      </c>
      <c r="D156" s="157" t="s">
        <v>6069</v>
      </c>
      <c r="E156" s="154" t="s">
        <v>5865</v>
      </c>
      <c r="F156" s="164" t="s">
        <v>5227</v>
      </c>
      <c r="G156" s="167">
        <v>4.0</v>
      </c>
      <c r="H156" s="168">
        <v>4.0</v>
      </c>
      <c r="I156" s="164">
        <v>4.0</v>
      </c>
      <c r="J156" s="164">
        <v>20.0</v>
      </c>
      <c r="K156" s="296">
        <f t="shared" si="7"/>
        <v>5</v>
      </c>
      <c r="L156" s="288" t="s">
        <v>82</v>
      </c>
    </row>
    <row r="157" ht="15.0" customHeight="1">
      <c r="A157" s="82" t="s">
        <v>1865</v>
      </c>
      <c r="B157" s="82" t="s">
        <v>6018</v>
      </c>
      <c r="C157" s="82" t="s">
        <v>52</v>
      </c>
      <c r="D157" s="82" t="s">
        <v>6019</v>
      </c>
      <c r="E157" s="79" t="s">
        <v>6020</v>
      </c>
      <c r="F157" s="82" t="s">
        <v>6021</v>
      </c>
      <c r="G157" s="82">
        <v>2.0</v>
      </c>
      <c r="H157" s="82">
        <v>2.0</v>
      </c>
      <c r="I157" s="291">
        <v>2.0</v>
      </c>
      <c r="J157" s="291">
        <v>20.0</v>
      </c>
      <c r="K157" s="291">
        <v>10.0</v>
      </c>
      <c r="L157" s="288" t="s">
        <v>80</v>
      </c>
    </row>
    <row r="158" ht="15.0" customHeight="1">
      <c r="A158" s="82" t="s">
        <v>1865</v>
      </c>
      <c r="B158" s="82" t="s">
        <v>6018</v>
      </c>
      <c r="C158" s="82" t="s">
        <v>52</v>
      </c>
      <c r="D158" s="78" t="s">
        <v>6022</v>
      </c>
      <c r="E158" s="80" t="s">
        <v>6023</v>
      </c>
      <c r="F158" s="82" t="s">
        <v>6021</v>
      </c>
      <c r="G158" s="82">
        <v>2.0</v>
      </c>
      <c r="H158" s="82">
        <v>2.0</v>
      </c>
      <c r="I158" s="291">
        <v>2.0</v>
      </c>
      <c r="J158" s="291">
        <v>20.0</v>
      </c>
      <c r="K158" s="291">
        <v>10.0</v>
      </c>
      <c r="L158" s="288" t="s">
        <v>80</v>
      </c>
    </row>
    <row r="159" ht="15.0" customHeight="1">
      <c r="A159" s="82" t="s">
        <v>5999</v>
      </c>
      <c r="B159" s="95" t="s">
        <v>6000</v>
      </c>
      <c r="C159" s="82" t="s">
        <v>52</v>
      </c>
      <c r="D159" s="82" t="s">
        <v>6001</v>
      </c>
      <c r="E159" s="79" t="s">
        <v>6002</v>
      </c>
      <c r="F159" s="82" t="s">
        <v>6003</v>
      </c>
      <c r="G159" s="99">
        <v>4.0</v>
      </c>
      <c r="H159" s="291">
        <v>4.0</v>
      </c>
      <c r="I159" s="291">
        <v>4.0</v>
      </c>
      <c r="J159" s="291">
        <v>10.0</v>
      </c>
      <c r="K159" s="291">
        <f t="shared" ref="K159:K160" si="8">J159/I159</f>
        <v>2.5</v>
      </c>
      <c r="L159" s="288" t="s">
        <v>67</v>
      </c>
    </row>
    <row r="160" ht="15.0" customHeight="1">
      <c r="A160" s="82" t="s">
        <v>6004</v>
      </c>
      <c r="B160" s="82" t="s">
        <v>1838</v>
      </c>
      <c r="C160" s="82" t="s">
        <v>52</v>
      </c>
      <c r="D160" s="82" t="s">
        <v>6001</v>
      </c>
      <c r="E160" s="79" t="s">
        <v>6002</v>
      </c>
      <c r="F160" s="82" t="s">
        <v>6003</v>
      </c>
      <c r="G160" s="99">
        <v>4.0</v>
      </c>
      <c r="H160" s="291">
        <v>4.0</v>
      </c>
      <c r="I160" s="291">
        <v>4.0</v>
      </c>
      <c r="J160" s="291">
        <v>10.0</v>
      </c>
      <c r="K160" s="291">
        <f t="shared" si="8"/>
        <v>2.5</v>
      </c>
      <c r="L160" s="288" t="s">
        <v>67</v>
      </c>
    </row>
    <row r="161" ht="15.0" customHeight="1">
      <c r="A161" s="82" t="s">
        <v>6011</v>
      </c>
      <c r="B161" s="82" t="s">
        <v>6012</v>
      </c>
      <c r="C161" s="82" t="s">
        <v>52</v>
      </c>
      <c r="D161" s="82" t="s">
        <v>6001</v>
      </c>
      <c r="E161" s="79" t="s">
        <v>6002</v>
      </c>
      <c r="F161" s="82" t="s">
        <v>6003</v>
      </c>
      <c r="G161" s="99">
        <v>4.0</v>
      </c>
      <c r="H161" s="291">
        <v>4.0</v>
      </c>
      <c r="I161" s="291">
        <v>4.0</v>
      </c>
      <c r="J161" s="291">
        <v>10.0</v>
      </c>
      <c r="K161" s="291">
        <f>J161/H161</f>
        <v>2.5</v>
      </c>
      <c r="L161" s="288" t="s">
        <v>67</v>
      </c>
    </row>
    <row r="162" ht="15.0" customHeight="1">
      <c r="A162" s="82" t="s">
        <v>5999</v>
      </c>
      <c r="B162" s="95" t="s">
        <v>6000</v>
      </c>
      <c r="C162" s="78" t="s">
        <v>52</v>
      </c>
      <c r="D162" s="82" t="s">
        <v>6070</v>
      </c>
      <c r="E162" s="79" t="s">
        <v>6071</v>
      </c>
      <c r="F162" s="82" t="s">
        <v>6003</v>
      </c>
      <c r="G162" s="99">
        <v>4.0</v>
      </c>
      <c r="H162" s="291">
        <v>4.0</v>
      </c>
      <c r="I162" s="291">
        <v>4.0</v>
      </c>
      <c r="J162" s="291">
        <v>10.0</v>
      </c>
      <c r="K162" s="291">
        <f t="shared" ref="K162:K163" si="9">J162/I162</f>
        <v>2.5</v>
      </c>
      <c r="L162" s="288" t="s">
        <v>67</v>
      </c>
    </row>
    <row r="163" ht="15.0" customHeight="1">
      <c r="A163" s="82" t="s">
        <v>6004</v>
      </c>
      <c r="B163" s="82" t="s">
        <v>1838</v>
      </c>
      <c r="C163" s="82" t="s">
        <v>52</v>
      </c>
      <c r="D163" s="82" t="s">
        <v>6070</v>
      </c>
      <c r="E163" s="79" t="s">
        <v>6071</v>
      </c>
      <c r="F163" s="82" t="s">
        <v>6003</v>
      </c>
      <c r="G163" s="99">
        <v>4.0</v>
      </c>
      <c r="H163" s="291">
        <v>4.0</v>
      </c>
      <c r="I163" s="291">
        <v>4.0</v>
      </c>
      <c r="J163" s="291">
        <v>10.0</v>
      </c>
      <c r="K163" s="291">
        <f t="shared" si="9"/>
        <v>2.5</v>
      </c>
      <c r="L163" s="288" t="s">
        <v>67</v>
      </c>
    </row>
    <row r="164" ht="15.0" customHeight="1">
      <c r="A164" s="82" t="s">
        <v>6011</v>
      </c>
      <c r="B164" s="82" t="s">
        <v>6012</v>
      </c>
      <c r="C164" s="82" t="s">
        <v>52</v>
      </c>
      <c r="D164" s="82" t="s">
        <v>6070</v>
      </c>
      <c r="E164" s="79" t="s">
        <v>6071</v>
      </c>
      <c r="F164" s="82" t="s">
        <v>6003</v>
      </c>
      <c r="G164" s="99">
        <v>4.0</v>
      </c>
      <c r="H164" s="291">
        <v>4.0</v>
      </c>
      <c r="I164" s="291">
        <v>4.0</v>
      </c>
      <c r="J164" s="291">
        <v>10.0</v>
      </c>
      <c r="K164" s="291">
        <f>J164/H164</f>
        <v>2.5</v>
      </c>
      <c r="L164" s="288" t="s">
        <v>67</v>
      </c>
    </row>
    <row r="165" ht="15.0" customHeight="1">
      <c r="A165" s="148" t="s">
        <v>2008</v>
      </c>
      <c r="B165" s="148" t="s">
        <v>2009</v>
      </c>
      <c r="C165" s="148" t="s">
        <v>52</v>
      </c>
      <c r="D165" s="148" t="s">
        <v>6072</v>
      </c>
      <c r="E165" s="161" t="s">
        <v>6073</v>
      </c>
      <c r="F165" s="298" t="s">
        <v>5372</v>
      </c>
      <c r="G165" s="299">
        <v>3.0</v>
      </c>
      <c r="H165" s="299">
        <v>3.0</v>
      </c>
      <c r="I165" s="299">
        <v>4.0</v>
      </c>
      <c r="J165" s="299">
        <v>20.0</v>
      </c>
      <c r="K165" s="300">
        <f t="shared" ref="K165:K166" si="10">J165/G165</f>
        <v>6.666666667</v>
      </c>
      <c r="L165" s="288" t="s">
        <v>87</v>
      </c>
    </row>
    <row r="166" ht="15.0" customHeight="1">
      <c r="A166" s="148" t="s">
        <v>2008</v>
      </c>
      <c r="B166" s="148" t="s">
        <v>2009</v>
      </c>
      <c r="C166" s="148" t="s">
        <v>52</v>
      </c>
      <c r="D166" s="148" t="s">
        <v>6074</v>
      </c>
      <c r="E166" s="161" t="s">
        <v>6075</v>
      </c>
      <c r="F166" s="160" t="s">
        <v>6076</v>
      </c>
      <c r="G166" s="299">
        <v>3.0</v>
      </c>
      <c r="H166" s="299">
        <v>3.0</v>
      </c>
      <c r="I166" s="299">
        <v>4.0</v>
      </c>
      <c r="J166" s="299">
        <v>20.0</v>
      </c>
      <c r="K166" s="300">
        <f t="shared" si="10"/>
        <v>6.666666667</v>
      </c>
      <c r="L166" s="288" t="s">
        <v>87</v>
      </c>
    </row>
    <row r="167" ht="15.0" customHeight="1">
      <c r="A167" s="149" t="s">
        <v>350</v>
      </c>
      <c r="B167" s="149" t="s">
        <v>382</v>
      </c>
      <c r="C167" s="149" t="s">
        <v>52</v>
      </c>
      <c r="D167" s="148" t="s">
        <v>6077</v>
      </c>
      <c r="E167" s="172" t="s">
        <v>6078</v>
      </c>
      <c r="F167" s="148" t="s">
        <v>6079</v>
      </c>
      <c r="G167" s="191">
        <v>6.0</v>
      </c>
      <c r="H167" s="162">
        <v>3.0</v>
      </c>
      <c r="I167" s="148">
        <v>6.0</v>
      </c>
      <c r="J167" s="148">
        <v>20.0</v>
      </c>
      <c r="K167" s="148">
        <v>3.33</v>
      </c>
      <c r="L167" s="288" t="s">
        <v>87</v>
      </c>
    </row>
    <row r="168" ht="15.0" customHeight="1">
      <c r="A168" s="149" t="s">
        <v>350</v>
      </c>
      <c r="B168" s="149" t="s">
        <v>382</v>
      </c>
      <c r="C168" s="149" t="s">
        <v>52</v>
      </c>
      <c r="D168" s="148" t="s">
        <v>6080</v>
      </c>
      <c r="E168" s="172" t="s">
        <v>6081</v>
      </c>
      <c r="F168" s="148" t="s">
        <v>5372</v>
      </c>
      <c r="G168" s="191">
        <v>6.0</v>
      </c>
      <c r="H168" s="162">
        <v>3.0</v>
      </c>
      <c r="I168" s="148">
        <v>6.0</v>
      </c>
      <c r="J168" s="148">
        <v>10.0</v>
      </c>
      <c r="K168" s="148">
        <v>1.67</v>
      </c>
      <c r="L168" s="288" t="s">
        <v>87</v>
      </c>
    </row>
    <row r="169" ht="15.0" customHeight="1">
      <c r="A169" s="149" t="s">
        <v>350</v>
      </c>
      <c r="B169" s="149" t="s">
        <v>382</v>
      </c>
      <c r="C169" s="149" t="s">
        <v>52</v>
      </c>
      <c r="D169" s="149" t="s">
        <v>6082</v>
      </c>
      <c r="E169" s="172" t="s">
        <v>6083</v>
      </c>
      <c r="F169" s="149" t="s">
        <v>5372</v>
      </c>
      <c r="G169" s="301">
        <v>6.0</v>
      </c>
      <c r="H169" s="302">
        <v>3.0</v>
      </c>
      <c r="I169" s="148">
        <v>6.0</v>
      </c>
      <c r="J169" s="148">
        <v>10.0</v>
      </c>
      <c r="K169" s="148">
        <v>1.67</v>
      </c>
      <c r="L169" s="288" t="s">
        <v>87</v>
      </c>
    </row>
    <row r="170" ht="15.0" customHeight="1">
      <c r="A170" s="100" t="s">
        <v>1555</v>
      </c>
      <c r="B170" s="100" t="s">
        <v>1556</v>
      </c>
      <c r="C170" s="100" t="s">
        <v>52</v>
      </c>
      <c r="D170" s="100" t="s">
        <v>6084</v>
      </c>
      <c r="E170" s="154" t="s">
        <v>1564</v>
      </c>
      <c r="F170" s="303" t="s">
        <v>5372</v>
      </c>
      <c r="G170" s="304">
        <v>6.0</v>
      </c>
      <c r="H170" s="304">
        <v>6.0</v>
      </c>
      <c r="I170" s="304">
        <v>6.0</v>
      </c>
      <c r="J170" s="304">
        <v>20.0</v>
      </c>
      <c r="K170" s="305">
        <f t="shared" ref="K170:K183" si="11">J170/G170</f>
        <v>3.333333333</v>
      </c>
      <c r="L170" s="288" t="s">
        <v>59</v>
      </c>
    </row>
    <row r="171" ht="15.0" customHeight="1">
      <c r="A171" s="100" t="s">
        <v>1565</v>
      </c>
      <c r="B171" s="100" t="s">
        <v>1566</v>
      </c>
      <c r="C171" s="100" t="s">
        <v>52</v>
      </c>
      <c r="D171" s="100" t="s">
        <v>6085</v>
      </c>
      <c r="E171" s="154" t="s">
        <v>1575</v>
      </c>
      <c r="F171" s="303" t="s">
        <v>5372</v>
      </c>
      <c r="G171" s="304">
        <v>5.0</v>
      </c>
      <c r="H171" s="304">
        <v>5.0</v>
      </c>
      <c r="I171" s="304">
        <v>5.0</v>
      </c>
      <c r="J171" s="304">
        <v>20.0</v>
      </c>
      <c r="K171" s="305">
        <f t="shared" si="11"/>
        <v>4</v>
      </c>
      <c r="L171" s="288" t="s">
        <v>59</v>
      </c>
    </row>
    <row r="172" ht="15.0" customHeight="1">
      <c r="A172" s="100" t="s">
        <v>1565</v>
      </c>
      <c r="B172" s="100" t="s">
        <v>1566</v>
      </c>
      <c r="C172" s="100" t="s">
        <v>52</v>
      </c>
      <c r="D172" s="100" t="s">
        <v>6086</v>
      </c>
      <c r="E172" s="154" t="s">
        <v>6087</v>
      </c>
      <c r="F172" s="303" t="s">
        <v>5372</v>
      </c>
      <c r="G172" s="304">
        <v>5.0</v>
      </c>
      <c r="H172" s="304">
        <v>5.0</v>
      </c>
      <c r="I172" s="304">
        <v>5.0</v>
      </c>
      <c r="J172" s="304">
        <v>20.0</v>
      </c>
      <c r="K172" s="305">
        <f t="shared" si="11"/>
        <v>4</v>
      </c>
      <c r="L172" s="288" t="s">
        <v>59</v>
      </c>
    </row>
    <row r="173" ht="15.0" customHeight="1">
      <c r="A173" s="100" t="s">
        <v>1565</v>
      </c>
      <c r="B173" s="100" t="s">
        <v>1566</v>
      </c>
      <c r="C173" s="100" t="s">
        <v>52</v>
      </c>
      <c r="D173" s="100" t="s">
        <v>6088</v>
      </c>
      <c r="E173" s="154" t="s">
        <v>5912</v>
      </c>
      <c r="F173" s="303" t="s">
        <v>5372</v>
      </c>
      <c r="G173" s="304">
        <v>5.0</v>
      </c>
      <c r="H173" s="304">
        <v>5.0</v>
      </c>
      <c r="I173" s="304">
        <v>5.0</v>
      </c>
      <c r="J173" s="304">
        <v>20.0</v>
      </c>
      <c r="K173" s="305">
        <f t="shared" si="11"/>
        <v>4</v>
      </c>
      <c r="L173" s="288" t="s">
        <v>59</v>
      </c>
    </row>
    <row r="174" ht="15.0" customHeight="1">
      <c r="A174" s="100" t="s">
        <v>1565</v>
      </c>
      <c r="B174" s="100" t="s">
        <v>1566</v>
      </c>
      <c r="C174" s="100" t="s">
        <v>52</v>
      </c>
      <c r="D174" s="100" t="s">
        <v>6089</v>
      </c>
      <c r="E174" s="154" t="s">
        <v>6002</v>
      </c>
      <c r="F174" s="166" t="s">
        <v>6076</v>
      </c>
      <c r="G174" s="304">
        <v>5.0</v>
      </c>
      <c r="H174" s="304">
        <v>5.0</v>
      </c>
      <c r="I174" s="304">
        <v>5.0</v>
      </c>
      <c r="J174" s="304">
        <v>10.0</v>
      </c>
      <c r="K174" s="305">
        <f t="shared" si="11"/>
        <v>2</v>
      </c>
      <c r="L174" s="288" t="s">
        <v>59</v>
      </c>
    </row>
    <row r="175" ht="15.0" customHeight="1">
      <c r="A175" s="100" t="s">
        <v>2020</v>
      </c>
      <c r="B175" s="100" t="s">
        <v>2021</v>
      </c>
      <c r="C175" s="100" t="s">
        <v>52</v>
      </c>
      <c r="D175" s="100" t="s">
        <v>6090</v>
      </c>
      <c r="E175" s="154" t="s">
        <v>6091</v>
      </c>
      <c r="F175" s="303" t="s">
        <v>5372</v>
      </c>
      <c r="G175" s="304">
        <v>3.0</v>
      </c>
      <c r="H175" s="304">
        <v>3.0</v>
      </c>
      <c r="I175" s="304">
        <v>4.0</v>
      </c>
      <c r="J175" s="304">
        <v>20.0</v>
      </c>
      <c r="K175" s="305">
        <f t="shared" si="11"/>
        <v>6.666666667</v>
      </c>
      <c r="L175" s="288" t="s">
        <v>59</v>
      </c>
    </row>
    <row r="176" ht="15.0" customHeight="1">
      <c r="A176" s="100" t="s">
        <v>6092</v>
      </c>
      <c r="B176" s="100" t="s">
        <v>6093</v>
      </c>
      <c r="C176" s="100" t="s">
        <v>52</v>
      </c>
      <c r="D176" s="100" t="s">
        <v>6094</v>
      </c>
      <c r="E176" s="154" t="s">
        <v>5813</v>
      </c>
      <c r="F176" s="303" t="s">
        <v>5372</v>
      </c>
      <c r="G176" s="304">
        <v>2.0</v>
      </c>
      <c r="H176" s="304">
        <v>2.0</v>
      </c>
      <c r="I176" s="304">
        <v>2.0</v>
      </c>
      <c r="J176" s="304">
        <v>20.0</v>
      </c>
      <c r="K176" s="305">
        <f t="shared" si="11"/>
        <v>10</v>
      </c>
      <c r="L176" s="288" t="s">
        <v>59</v>
      </c>
    </row>
    <row r="177" ht="15.0" customHeight="1">
      <c r="A177" s="100" t="s">
        <v>6095</v>
      </c>
      <c r="B177" s="100" t="s">
        <v>6096</v>
      </c>
      <c r="C177" s="100" t="s">
        <v>52</v>
      </c>
      <c r="D177" s="100" t="s">
        <v>6097</v>
      </c>
      <c r="E177" s="154" t="s">
        <v>6002</v>
      </c>
      <c r="F177" s="166" t="s">
        <v>6076</v>
      </c>
      <c r="G177" s="304">
        <v>5.0</v>
      </c>
      <c r="H177" s="304">
        <v>5.0</v>
      </c>
      <c r="I177" s="304">
        <v>5.0</v>
      </c>
      <c r="J177" s="304">
        <v>10.0</v>
      </c>
      <c r="K177" s="305">
        <f t="shared" si="11"/>
        <v>2</v>
      </c>
      <c r="L177" s="288" t="s">
        <v>59</v>
      </c>
    </row>
    <row r="178" ht="15.0" customHeight="1">
      <c r="A178" s="100" t="s">
        <v>6098</v>
      </c>
      <c r="B178" s="100" t="s">
        <v>6099</v>
      </c>
      <c r="C178" s="100" t="s">
        <v>52</v>
      </c>
      <c r="D178" s="100" t="s">
        <v>6100</v>
      </c>
      <c r="E178" s="154" t="s">
        <v>6002</v>
      </c>
      <c r="F178" s="166" t="s">
        <v>6076</v>
      </c>
      <c r="G178" s="304">
        <v>6.0</v>
      </c>
      <c r="H178" s="304">
        <v>6.0</v>
      </c>
      <c r="I178" s="304">
        <v>6.0</v>
      </c>
      <c r="J178" s="304">
        <v>10.0</v>
      </c>
      <c r="K178" s="305">
        <f t="shared" si="11"/>
        <v>1.666666667</v>
      </c>
      <c r="L178" s="288" t="s">
        <v>59</v>
      </c>
    </row>
    <row r="179" ht="15.0" customHeight="1">
      <c r="A179" s="100" t="s">
        <v>2008</v>
      </c>
      <c r="B179" s="100" t="s">
        <v>2009</v>
      </c>
      <c r="C179" s="100" t="s">
        <v>52</v>
      </c>
      <c r="D179" s="100" t="s">
        <v>6101</v>
      </c>
      <c r="E179" s="154" t="s">
        <v>6073</v>
      </c>
      <c r="F179" s="303" t="s">
        <v>5372</v>
      </c>
      <c r="G179" s="304">
        <v>3.0</v>
      </c>
      <c r="H179" s="304">
        <v>3.0</v>
      </c>
      <c r="I179" s="304">
        <v>4.0</v>
      </c>
      <c r="J179" s="304">
        <v>20.0</v>
      </c>
      <c r="K179" s="305">
        <f t="shared" si="11"/>
        <v>6.666666667</v>
      </c>
      <c r="L179" s="288" t="s">
        <v>59</v>
      </c>
    </row>
    <row r="180" ht="15.0" customHeight="1">
      <c r="A180" s="100" t="s">
        <v>2008</v>
      </c>
      <c r="B180" s="100" t="s">
        <v>2009</v>
      </c>
      <c r="C180" s="100" t="s">
        <v>52</v>
      </c>
      <c r="D180" s="100" t="s">
        <v>6102</v>
      </c>
      <c r="E180" s="154" t="s">
        <v>6075</v>
      </c>
      <c r="F180" s="166" t="s">
        <v>6076</v>
      </c>
      <c r="G180" s="304">
        <v>3.0</v>
      </c>
      <c r="H180" s="304">
        <v>3.0</v>
      </c>
      <c r="I180" s="304">
        <v>4.0</v>
      </c>
      <c r="J180" s="304">
        <v>20.0</v>
      </c>
      <c r="K180" s="305">
        <f t="shared" si="11"/>
        <v>6.666666667</v>
      </c>
      <c r="L180" s="288" t="s">
        <v>59</v>
      </c>
    </row>
    <row r="181" ht="15.0" customHeight="1">
      <c r="A181" s="100" t="s">
        <v>2037</v>
      </c>
      <c r="B181" s="100" t="s">
        <v>2038</v>
      </c>
      <c r="C181" s="100" t="s">
        <v>52</v>
      </c>
      <c r="D181" s="100" t="s">
        <v>6103</v>
      </c>
      <c r="E181" s="154" t="s">
        <v>6104</v>
      </c>
      <c r="F181" s="303" t="s">
        <v>5372</v>
      </c>
      <c r="G181" s="304">
        <v>4.0</v>
      </c>
      <c r="H181" s="304">
        <v>4.0</v>
      </c>
      <c r="I181" s="304">
        <v>4.0</v>
      </c>
      <c r="J181" s="304">
        <v>20.0</v>
      </c>
      <c r="K181" s="305">
        <f t="shared" si="11"/>
        <v>5</v>
      </c>
      <c r="L181" s="288" t="s">
        <v>59</v>
      </c>
    </row>
    <row r="182" ht="15.0" customHeight="1">
      <c r="A182" s="100" t="s">
        <v>2037</v>
      </c>
      <c r="B182" s="100" t="s">
        <v>2038</v>
      </c>
      <c r="C182" s="100" t="s">
        <v>52</v>
      </c>
      <c r="D182" s="100" t="s">
        <v>6105</v>
      </c>
      <c r="E182" s="154" t="s">
        <v>2962</v>
      </c>
      <c r="F182" s="303" t="s">
        <v>5372</v>
      </c>
      <c r="G182" s="304">
        <v>4.0</v>
      </c>
      <c r="H182" s="304">
        <v>4.0</v>
      </c>
      <c r="I182" s="304">
        <v>4.0</v>
      </c>
      <c r="J182" s="304">
        <v>20.0</v>
      </c>
      <c r="K182" s="305">
        <f t="shared" si="11"/>
        <v>5</v>
      </c>
      <c r="L182" s="288" t="s">
        <v>59</v>
      </c>
    </row>
    <row r="183" ht="15.0" customHeight="1">
      <c r="A183" s="100" t="s">
        <v>6106</v>
      </c>
      <c r="B183" s="100" t="s">
        <v>6107</v>
      </c>
      <c r="C183" s="100" t="s">
        <v>52</v>
      </c>
      <c r="D183" s="100" t="s">
        <v>6108</v>
      </c>
      <c r="E183" s="154" t="s">
        <v>5941</v>
      </c>
      <c r="F183" s="303" t="s">
        <v>5372</v>
      </c>
      <c r="G183" s="304">
        <v>3.0</v>
      </c>
      <c r="H183" s="304">
        <v>3.0</v>
      </c>
      <c r="I183" s="304">
        <v>3.0</v>
      </c>
      <c r="J183" s="304">
        <v>10.0</v>
      </c>
      <c r="K183" s="305">
        <f t="shared" si="11"/>
        <v>3.333333333</v>
      </c>
      <c r="L183" s="288" t="s">
        <v>59</v>
      </c>
    </row>
    <row r="184" ht="15.0" customHeight="1">
      <c r="A184" s="82" t="s">
        <v>5999</v>
      </c>
      <c r="B184" s="95" t="s">
        <v>6000</v>
      </c>
      <c r="C184" s="78" t="s">
        <v>52</v>
      </c>
      <c r="D184" s="82" t="s">
        <v>6070</v>
      </c>
      <c r="E184" s="79" t="s">
        <v>6071</v>
      </c>
      <c r="F184" s="82" t="s">
        <v>6003</v>
      </c>
      <c r="G184" s="99">
        <v>4.0</v>
      </c>
      <c r="H184" s="291">
        <v>4.0</v>
      </c>
      <c r="I184" s="291">
        <v>4.0</v>
      </c>
      <c r="J184" s="291">
        <v>10.0</v>
      </c>
      <c r="K184" s="292">
        <f t="shared" ref="K184:K192" si="12">J184/I184</f>
        <v>2.5</v>
      </c>
      <c r="L184" s="288" t="s">
        <v>91</v>
      </c>
    </row>
    <row r="185" ht="15.0" customHeight="1">
      <c r="A185" s="82" t="s">
        <v>6004</v>
      </c>
      <c r="B185" s="82" t="s">
        <v>1838</v>
      </c>
      <c r="C185" s="82" t="s">
        <v>52</v>
      </c>
      <c r="D185" s="82" t="s">
        <v>6070</v>
      </c>
      <c r="E185" s="79" t="s">
        <v>6071</v>
      </c>
      <c r="F185" s="82" t="s">
        <v>6003</v>
      </c>
      <c r="G185" s="99">
        <v>4.0</v>
      </c>
      <c r="H185" s="291">
        <v>4.0</v>
      </c>
      <c r="I185" s="291">
        <v>4.0</v>
      </c>
      <c r="J185" s="291">
        <v>10.0</v>
      </c>
      <c r="K185" s="292">
        <f t="shared" si="12"/>
        <v>2.5</v>
      </c>
      <c r="L185" s="288" t="s">
        <v>91</v>
      </c>
    </row>
    <row r="186" ht="15.0" customHeight="1">
      <c r="A186" s="82" t="s">
        <v>6005</v>
      </c>
      <c r="B186" s="82" t="s">
        <v>5809</v>
      </c>
      <c r="C186" s="82" t="s">
        <v>52</v>
      </c>
      <c r="D186" s="82" t="s">
        <v>6070</v>
      </c>
      <c r="E186" s="79" t="s">
        <v>6071</v>
      </c>
      <c r="F186" s="82" t="s">
        <v>6003</v>
      </c>
      <c r="G186" s="99">
        <v>6.0</v>
      </c>
      <c r="H186" s="291">
        <v>6.0</v>
      </c>
      <c r="I186" s="291">
        <v>6.0</v>
      </c>
      <c r="J186" s="291">
        <v>10.0</v>
      </c>
      <c r="K186" s="292">
        <f t="shared" si="12"/>
        <v>1.666666667</v>
      </c>
      <c r="L186" s="288" t="s">
        <v>91</v>
      </c>
    </row>
    <row r="187" ht="15.0" customHeight="1">
      <c r="A187" s="82" t="s">
        <v>6006</v>
      </c>
      <c r="B187" s="82" t="s">
        <v>1840</v>
      </c>
      <c r="C187" s="82" t="s">
        <v>52</v>
      </c>
      <c r="D187" s="82" t="s">
        <v>6070</v>
      </c>
      <c r="E187" s="79" t="s">
        <v>6071</v>
      </c>
      <c r="F187" s="82" t="s">
        <v>6003</v>
      </c>
      <c r="G187" s="99">
        <v>4.0</v>
      </c>
      <c r="H187" s="291">
        <v>4.0</v>
      </c>
      <c r="I187" s="291">
        <v>4.0</v>
      </c>
      <c r="J187" s="291">
        <v>10.0</v>
      </c>
      <c r="K187" s="292">
        <f t="shared" si="12"/>
        <v>2.5</v>
      </c>
      <c r="L187" s="288" t="s">
        <v>91</v>
      </c>
    </row>
    <row r="188" ht="15.0" customHeight="1">
      <c r="A188" s="82" t="s">
        <v>6007</v>
      </c>
      <c r="B188" s="82" t="s">
        <v>5991</v>
      </c>
      <c r="C188" s="82" t="s">
        <v>52</v>
      </c>
      <c r="D188" s="82" t="s">
        <v>6070</v>
      </c>
      <c r="E188" s="79" t="s">
        <v>6071</v>
      </c>
      <c r="F188" s="82" t="s">
        <v>6003</v>
      </c>
      <c r="G188" s="99">
        <v>4.0</v>
      </c>
      <c r="H188" s="291">
        <v>4.0</v>
      </c>
      <c r="I188" s="291">
        <v>4.0</v>
      </c>
      <c r="J188" s="291">
        <v>10.0</v>
      </c>
      <c r="K188" s="292">
        <f t="shared" si="12"/>
        <v>2.5</v>
      </c>
      <c r="L188" s="288" t="s">
        <v>91</v>
      </c>
    </row>
    <row r="189" ht="15.0" customHeight="1">
      <c r="A189" s="82" t="s">
        <v>1956</v>
      </c>
      <c r="B189" s="82" t="s">
        <v>6008</v>
      </c>
      <c r="C189" s="82" t="s">
        <v>52</v>
      </c>
      <c r="D189" s="82" t="s">
        <v>6070</v>
      </c>
      <c r="E189" s="79" t="s">
        <v>6071</v>
      </c>
      <c r="F189" s="82" t="s">
        <v>6003</v>
      </c>
      <c r="G189" s="99">
        <v>4.0</v>
      </c>
      <c r="H189" s="291">
        <v>4.0</v>
      </c>
      <c r="I189" s="291">
        <v>4.0</v>
      </c>
      <c r="J189" s="291">
        <v>10.0</v>
      </c>
      <c r="K189" s="292">
        <f t="shared" si="12"/>
        <v>2.5</v>
      </c>
      <c r="L189" s="288" t="s">
        <v>91</v>
      </c>
    </row>
    <row r="190" ht="15.0" customHeight="1">
      <c r="A190" s="82" t="s">
        <v>6009</v>
      </c>
      <c r="B190" s="82" t="s">
        <v>6010</v>
      </c>
      <c r="C190" s="82" t="s">
        <v>52</v>
      </c>
      <c r="D190" s="82" t="s">
        <v>6070</v>
      </c>
      <c r="E190" s="79" t="s">
        <v>6071</v>
      </c>
      <c r="F190" s="82" t="s">
        <v>6003</v>
      </c>
      <c r="G190" s="99">
        <v>4.0</v>
      </c>
      <c r="H190" s="291">
        <v>3.0</v>
      </c>
      <c r="I190" s="291">
        <v>4.0</v>
      </c>
      <c r="J190" s="291">
        <v>10.0</v>
      </c>
      <c r="K190" s="292">
        <f t="shared" si="12"/>
        <v>2.5</v>
      </c>
      <c r="L190" s="288" t="s">
        <v>91</v>
      </c>
    </row>
    <row r="191" ht="15.0" customHeight="1">
      <c r="A191" s="82" t="s">
        <v>6011</v>
      </c>
      <c r="B191" s="82" t="s">
        <v>6012</v>
      </c>
      <c r="C191" s="82" t="s">
        <v>52</v>
      </c>
      <c r="D191" s="82" t="s">
        <v>6070</v>
      </c>
      <c r="E191" s="79" t="s">
        <v>6071</v>
      </c>
      <c r="F191" s="82" t="s">
        <v>6003</v>
      </c>
      <c r="G191" s="99">
        <v>4.0</v>
      </c>
      <c r="H191" s="291">
        <v>4.0</v>
      </c>
      <c r="I191" s="291">
        <v>4.0</v>
      </c>
      <c r="J191" s="291">
        <v>10.0</v>
      </c>
      <c r="K191" s="292">
        <f t="shared" si="12"/>
        <v>2.5</v>
      </c>
      <c r="L191" s="288" t="s">
        <v>91</v>
      </c>
    </row>
    <row r="192" ht="15.0" customHeight="1">
      <c r="A192" s="82" t="s">
        <v>6006</v>
      </c>
      <c r="B192" s="82" t="s">
        <v>1840</v>
      </c>
      <c r="C192" s="82" t="s">
        <v>52</v>
      </c>
      <c r="D192" s="82" t="s">
        <v>6013</v>
      </c>
      <c r="E192" s="79" t="s">
        <v>6014</v>
      </c>
      <c r="F192" s="82" t="s">
        <v>5227</v>
      </c>
      <c r="G192" s="99">
        <v>4.0</v>
      </c>
      <c r="H192" s="291">
        <v>4.0</v>
      </c>
      <c r="I192" s="291">
        <v>4.0</v>
      </c>
      <c r="J192" s="291">
        <v>20.0</v>
      </c>
      <c r="K192" s="292">
        <f t="shared" si="12"/>
        <v>5</v>
      </c>
      <c r="L192" s="288" t="s">
        <v>91</v>
      </c>
    </row>
    <row r="193" ht="15.0" customHeight="1">
      <c r="A193" s="78" t="s">
        <v>350</v>
      </c>
      <c r="B193" s="78" t="s">
        <v>382</v>
      </c>
      <c r="C193" s="100" t="s">
        <v>52</v>
      </c>
      <c r="D193" s="78" t="s">
        <v>6077</v>
      </c>
      <c r="E193" s="154" t="s">
        <v>6078</v>
      </c>
      <c r="F193" s="160" t="s">
        <v>6079</v>
      </c>
      <c r="G193" s="82">
        <v>6.0</v>
      </c>
      <c r="H193" s="82">
        <v>3.0</v>
      </c>
      <c r="I193" s="82">
        <v>6.0</v>
      </c>
      <c r="J193" s="82">
        <v>20.0</v>
      </c>
      <c r="K193" s="92">
        <f t="shared" ref="K193:K195" si="13">J193/G193</f>
        <v>3.333333333</v>
      </c>
      <c r="L193" s="288" t="s">
        <v>85</v>
      </c>
    </row>
    <row r="194" ht="15.0" customHeight="1">
      <c r="A194" s="78" t="s">
        <v>350</v>
      </c>
      <c r="B194" s="78" t="s">
        <v>382</v>
      </c>
      <c r="C194" s="100" t="s">
        <v>52</v>
      </c>
      <c r="D194" s="78" t="s">
        <v>6109</v>
      </c>
      <c r="E194" s="154" t="s">
        <v>6081</v>
      </c>
      <c r="F194" s="160" t="s">
        <v>5372</v>
      </c>
      <c r="G194" s="82">
        <v>6.0</v>
      </c>
      <c r="H194" s="82">
        <v>3.0</v>
      </c>
      <c r="I194" s="82">
        <v>6.0</v>
      </c>
      <c r="J194" s="82">
        <v>10.0</v>
      </c>
      <c r="K194" s="92">
        <f t="shared" si="13"/>
        <v>1.666666667</v>
      </c>
      <c r="L194" s="288" t="s">
        <v>85</v>
      </c>
    </row>
    <row r="195" ht="15.0" customHeight="1">
      <c r="A195" s="78" t="s">
        <v>350</v>
      </c>
      <c r="B195" s="78" t="s">
        <v>382</v>
      </c>
      <c r="C195" s="100" t="s">
        <v>52</v>
      </c>
      <c r="D195" s="78" t="s">
        <v>6082</v>
      </c>
      <c r="E195" s="154" t="s">
        <v>6083</v>
      </c>
      <c r="F195" s="160" t="s">
        <v>5372</v>
      </c>
      <c r="G195" s="82">
        <v>6.0</v>
      </c>
      <c r="H195" s="82">
        <v>3.0</v>
      </c>
      <c r="I195" s="82">
        <v>6.0</v>
      </c>
      <c r="J195" s="82">
        <v>10.0</v>
      </c>
      <c r="K195" s="92">
        <f t="shared" si="13"/>
        <v>1.666666667</v>
      </c>
      <c r="L195" s="288" t="s">
        <v>85</v>
      </c>
    </row>
    <row r="196" ht="15.0" customHeight="1">
      <c r="A196" s="82" t="s">
        <v>6110</v>
      </c>
      <c r="B196" s="82" t="s">
        <v>6111</v>
      </c>
      <c r="C196" s="82" t="s">
        <v>52</v>
      </c>
      <c r="D196" s="82" t="s">
        <v>6112</v>
      </c>
      <c r="E196" s="87" t="s">
        <v>5880</v>
      </c>
      <c r="F196" s="82" t="s">
        <v>5885</v>
      </c>
      <c r="G196" s="82">
        <v>5.0</v>
      </c>
      <c r="H196" s="82">
        <v>5.0</v>
      </c>
      <c r="I196" s="288">
        <v>5.0</v>
      </c>
      <c r="J196" s="288">
        <v>10.0</v>
      </c>
      <c r="K196" s="290">
        <f t="shared" ref="K196:K204" si="14">J196/I196</f>
        <v>2</v>
      </c>
      <c r="L196" s="288" t="s">
        <v>515</v>
      </c>
    </row>
    <row r="197" ht="15.0" customHeight="1">
      <c r="A197" s="82" t="s">
        <v>2378</v>
      </c>
      <c r="B197" s="82" t="s">
        <v>1838</v>
      </c>
      <c r="C197" s="82" t="s">
        <v>52</v>
      </c>
      <c r="D197" s="82" t="s">
        <v>6112</v>
      </c>
      <c r="E197" s="87" t="s">
        <v>5880</v>
      </c>
      <c r="F197" s="82" t="s">
        <v>5885</v>
      </c>
      <c r="G197" s="82">
        <v>4.0</v>
      </c>
      <c r="H197" s="82">
        <v>4.0</v>
      </c>
      <c r="I197" s="288">
        <v>4.0</v>
      </c>
      <c r="J197" s="288">
        <v>10.0</v>
      </c>
      <c r="K197" s="290">
        <f t="shared" si="14"/>
        <v>2.5</v>
      </c>
      <c r="L197" s="288" t="s">
        <v>515</v>
      </c>
    </row>
    <row r="198" ht="15.0" customHeight="1">
      <c r="A198" s="82" t="s">
        <v>6113</v>
      </c>
      <c r="B198" s="82" t="s">
        <v>1295</v>
      </c>
      <c r="C198" s="82" t="s">
        <v>52</v>
      </c>
      <c r="D198" s="78" t="s">
        <v>6114</v>
      </c>
      <c r="E198" s="153" t="s">
        <v>5841</v>
      </c>
      <c r="F198" s="82" t="s">
        <v>5885</v>
      </c>
      <c r="G198" s="99">
        <v>5.0</v>
      </c>
      <c r="H198" s="99">
        <v>5.0</v>
      </c>
      <c r="I198" s="82">
        <v>5.0</v>
      </c>
      <c r="J198" s="82">
        <v>10.0</v>
      </c>
      <c r="K198" s="92">
        <f t="shared" si="14"/>
        <v>2</v>
      </c>
      <c r="L198" s="288" t="s">
        <v>515</v>
      </c>
    </row>
    <row r="199" ht="15.0" customHeight="1">
      <c r="A199" s="82" t="s">
        <v>6113</v>
      </c>
      <c r="B199" s="82" t="s">
        <v>1295</v>
      </c>
      <c r="C199" s="82" t="s">
        <v>52</v>
      </c>
      <c r="D199" s="82" t="s">
        <v>6115</v>
      </c>
      <c r="E199" s="90" t="s">
        <v>6116</v>
      </c>
      <c r="F199" s="82" t="s">
        <v>5885</v>
      </c>
      <c r="G199" s="99">
        <v>5.0</v>
      </c>
      <c r="H199" s="99">
        <v>5.0</v>
      </c>
      <c r="I199" s="82">
        <v>5.0</v>
      </c>
      <c r="J199" s="82">
        <v>10.0</v>
      </c>
      <c r="K199" s="92">
        <f t="shared" si="14"/>
        <v>2</v>
      </c>
      <c r="L199" s="288" t="s">
        <v>515</v>
      </c>
    </row>
    <row r="200" ht="15.0" customHeight="1">
      <c r="A200" s="100" t="s">
        <v>1442</v>
      </c>
      <c r="B200" s="100" t="s">
        <v>1282</v>
      </c>
      <c r="C200" s="82" t="s">
        <v>52</v>
      </c>
      <c r="D200" s="100" t="s">
        <v>5883</v>
      </c>
      <c r="E200" s="95" t="s">
        <v>5884</v>
      </c>
      <c r="F200" s="78" t="s">
        <v>5885</v>
      </c>
      <c r="G200" s="99">
        <v>8.0</v>
      </c>
      <c r="H200" s="99">
        <v>8.0</v>
      </c>
      <c r="I200" s="82">
        <v>8.0</v>
      </c>
      <c r="J200" s="82">
        <v>10.0</v>
      </c>
      <c r="K200" s="92">
        <f t="shared" si="14"/>
        <v>1.25</v>
      </c>
      <c r="L200" s="288" t="s">
        <v>515</v>
      </c>
    </row>
    <row r="201" ht="15.0" customHeight="1">
      <c r="A201" s="78" t="s">
        <v>1272</v>
      </c>
      <c r="B201" s="82" t="s">
        <v>1422</v>
      </c>
      <c r="C201" s="82" t="s">
        <v>52</v>
      </c>
      <c r="D201" s="82" t="s">
        <v>6112</v>
      </c>
      <c r="E201" s="87" t="s">
        <v>5880</v>
      </c>
      <c r="F201" s="82" t="s">
        <v>5885</v>
      </c>
      <c r="G201" s="82">
        <v>7.0</v>
      </c>
      <c r="H201" s="82">
        <v>7.0</v>
      </c>
      <c r="I201" s="82">
        <v>7.0</v>
      </c>
      <c r="J201" s="82">
        <v>10.0</v>
      </c>
      <c r="K201" s="92">
        <f t="shared" si="14"/>
        <v>1.428571429</v>
      </c>
      <c r="L201" s="288" t="s">
        <v>515</v>
      </c>
    </row>
    <row r="202" ht="15.0" customHeight="1">
      <c r="A202" s="100" t="s">
        <v>2369</v>
      </c>
      <c r="B202" s="100" t="s">
        <v>2370</v>
      </c>
      <c r="C202" s="82" t="s">
        <v>52</v>
      </c>
      <c r="D202" s="82" t="s">
        <v>6117</v>
      </c>
      <c r="E202" s="95" t="s">
        <v>6034</v>
      </c>
      <c r="F202" s="86" t="s">
        <v>5885</v>
      </c>
      <c r="G202" s="82">
        <v>2.0</v>
      </c>
      <c r="H202" s="82">
        <v>2.0</v>
      </c>
      <c r="I202" s="82">
        <v>2.0</v>
      </c>
      <c r="J202" s="82">
        <v>10.0</v>
      </c>
      <c r="K202" s="92">
        <f t="shared" si="14"/>
        <v>5</v>
      </c>
      <c r="L202" s="288" t="s">
        <v>515</v>
      </c>
    </row>
    <row r="203" ht="15.0" customHeight="1">
      <c r="A203" s="82" t="s">
        <v>1261</v>
      </c>
      <c r="B203" s="78" t="s">
        <v>1253</v>
      </c>
      <c r="C203" s="82" t="s">
        <v>52</v>
      </c>
      <c r="D203" s="82" t="s">
        <v>6118</v>
      </c>
      <c r="E203" s="87" t="s">
        <v>6119</v>
      </c>
      <c r="F203" s="82" t="s">
        <v>5885</v>
      </c>
      <c r="G203" s="99">
        <v>4.0</v>
      </c>
      <c r="H203" s="99">
        <v>4.0</v>
      </c>
      <c r="I203" s="82">
        <v>4.0</v>
      </c>
      <c r="J203" s="82">
        <v>20.0</v>
      </c>
      <c r="K203" s="92">
        <f t="shared" si="14"/>
        <v>5</v>
      </c>
      <c r="L203" s="288" t="s">
        <v>515</v>
      </c>
    </row>
    <row r="204" ht="15.0" customHeight="1">
      <c r="A204" s="82" t="s">
        <v>2382</v>
      </c>
      <c r="B204" s="82" t="s">
        <v>2383</v>
      </c>
      <c r="C204" s="82" t="s">
        <v>52</v>
      </c>
      <c r="D204" s="82" t="s">
        <v>6120</v>
      </c>
      <c r="E204" s="95" t="s">
        <v>5923</v>
      </c>
      <c r="F204" s="82" t="s">
        <v>5885</v>
      </c>
      <c r="G204" s="99">
        <v>7.0</v>
      </c>
      <c r="H204" s="99">
        <v>7.0</v>
      </c>
      <c r="I204" s="82">
        <v>7.0</v>
      </c>
      <c r="J204" s="82">
        <v>20.0</v>
      </c>
      <c r="K204" s="92">
        <f t="shared" si="14"/>
        <v>2.857142857</v>
      </c>
      <c r="L204" s="288" t="s">
        <v>515</v>
      </c>
    </row>
    <row r="205" ht="15.0" customHeight="1">
      <c r="A205" s="82" t="s">
        <v>6121</v>
      </c>
      <c r="B205" s="78" t="s">
        <v>6122</v>
      </c>
      <c r="C205" s="82" t="s">
        <v>52</v>
      </c>
      <c r="D205" s="82" t="s">
        <v>6123</v>
      </c>
      <c r="E205" s="87" t="s">
        <v>6124</v>
      </c>
      <c r="F205" s="82" t="s">
        <v>5213</v>
      </c>
      <c r="G205" s="82">
        <v>3.0</v>
      </c>
      <c r="H205" s="82">
        <v>3.0</v>
      </c>
      <c r="I205" s="288">
        <v>3.0</v>
      </c>
      <c r="J205" s="288">
        <v>20.0</v>
      </c>
      <c r="K205" s="290">
        <v>6.666666666666667</v>
      </c>
      <c r="L205" s="288" t="s">
        <v>528</v>
      </c>
    </row>
    <row r="206" ht="15.0" customHeight="1">
      <c r="A206" s="82" t="s">
        <v>6125</v>
      </c>
      <c r="B206" s="82" t="s">
        <v>6000</v>
      </c>
      <c r="C206" s="82" t="s">
        <v>52</v>
      </c>
      <c r="D206" s="82" t="s">
        <v>6126</v>
      </c>
      <c r="E206" s="87" t="s">
        <v>6002</v>
      </c>
      <c r="F206" s="82" t="s">
        <v>6127</v>
      </c>
      <c r="G206" s="82">
        <v>4.0</v>
      </c>
      <c r="H206" s="82">
        <v>4.0</v>
      </c>
      <c r="I206" s="288">
        <v>4.0</v>
      </c>
      <c r="J206" s="288">
        <v>10.0</v>
      </c>
      <c r="K206" s="290">
        <v>2.5</v>
      </c>
      <c r="L206" s="288" t="s">
        <v>528</v>
      </c>
    </row>
    <row r="207" ht="15.0" customHeight="1">
      <c r="A207" s="82" t="s">
        <v>6128</v>
      </c>
      <c r="B207" s="82" t="s">
        <v>6129</v>
      </c>
      <c r="C207" s="82" t="s">
        <v>52</v>
      </c>
      <c r="D207" s="78" t="s">
        <v>6130</v>
      </c>
      <c r="E207" s="153" t="s">
        <v>6131</v>
      </c>
      <c r="F207" s="82" t="s">
        <v>6132</v>
      </c>
      <c r="G207" s="99">
        <v>6.0</v>
      </c>
      <c r="H207" s="99">
        <v>1.0</v>
      </c>
      <c r="I207" s="82">
        <v>6.0</v>
      </c>
      <c r="J207" s="82">
        <v>20.0</v>
      </c>
      <c r="K207" s="290">
        <v>3.3333333333333335</v>
      </c>
      <c r="L207" s="288" t="s">
        <v>528</v>
      </c>
    </row>
    <row r="208" ht="15.0" customHeight="1">
      <c r="A208" s="82" t="s">
        <v>6133</v>
      </c>
      <c r="B208" s="82" t="s">
        <v>1815</v>
      </c>
      <c r="C208" s="82" t="s">
        <v>52</v>
      </c>
      <c r="D208" s="82" t="s">
        <v>6134</v>
      </c>
      <c r="E208" s="153" t="s">
        <v>6135</v>
      </c>
      <c r="F208" s="82" t="s">
        <v>5213</v>
      </c>
      <c r="G208" s="99">
        <v>4.0</v>
      </c>
      <c r="H208" s="99">
        <v>4.0</v>
      </c>
      <c r="I208" s="82">
        <v>4.0</v>
      </c>
      <c r="J208" s="82">
        <v>20.0</v>
      </c>
      <c r="K208" s="290">
        <v>5.0</v>
      </c>
      <c r="L208" s="288" t="s">
        <v>528</v>
      </c>
    </row>
    <row r="209" ht="15.0" customHeight="1">
      <c r="A209" s="82" t="s">
        <v>6136</v>
      </c>
      <c r="B209" s="82" t="s">
        <v>6137</v>
      </c>
      <c r="C209" s="82" t="s">
        <v>52</v>
      </c>
      <c r="D209" s="100" t="s">
        <v>6138</v>
      </c>
      <c r="E209" s="87" t="s">
        <v>6139</v>
      </c>
      <c r="F209" s="153" t="s">
        <v>6140</v>
      </c>
      <c r="G209" s="82">
        <v>6.0</v>
      </c>
      <c r="H209" s="82">
        <v>4.0</v>
      </c>
      <c r="I209" s="82">
        <v>6.0</v>
      </c>
      <c r="J209" s="82">
        <v>20.0</v>
      </c>
      <c r="K209" s="92">
        <v>3.3333333333333335</v>
      </c>
      <c r="L209" s="288" t="s">
        <v>528</v>
      </c>
    </row>
    <row r="210" ht="15.0" customHeight="1">
      <c r="A210" s="82" t="s">
        <v>2382</v>
      </c>
      <c r="B210" s="82" t="s">
        <v>2383</v>
      </c>
      <c r="C210" s="82" t="s">
        <v>52</v>
      </c>
      <c r="D210" s="82" t="s">
        <v>6120</v>
      </c>
      <c r="E210" s="95" t="s">
        <v>5923</v>
      </c>
      <c r="F210" s="82"/>
      <c r="G210" s="99">
        <v>7.0</v>
      </c>
      <c r="H210" s="99">
        <v>7.0</v>
      </c>
      <c r="I210" s="82">
        <v>7.0</v>
      </c>
      <c r="J210" s="82">
        <v>20.0</v>
      </c>
      <c r="K210" s="92">
        <v>2.857142857142857</v>
      </c>
      <c r="L210" s="288" t="s">
        <v>528</v>
      </c>
    </row>
    <row r="211" ht="15.0" customHeight="1">
      <c r="A211" s="78" t="s">
        <v>2451</v>
      </c>
      <c r="B211" s="82" t="s">
        <v>529</v>
      </c>
      <c r="C211" s="82" t="s">
        <v>52</v>
      </c>
      <c r="D211" s="82" t="s">
        <v>6141</v>
      </c>
      <c r="E211" s="79" t="s">
        <v>6081</v>
      </c>
      <c r="F211" s="82" t="s">
        <v>6142</v>
      </c>
      <c r="G211" s="82">
        <v>6.0</v>
      </c>
      <c r="H211" s="82">
        <v>3.0</v>
      </c>
      <c r="I211" s="82">
        <v>6.0</v>
      </c>
      <c r="J211" s="82">
        <v>20.0</v>
      </c>
      <c r="K211" s="290">
        <f t="shared" ref="K211:K224" si="15">J211/I211</f>
        <v>3.333333333</v>
      </c>
      <c r="L211" s="288" t="s">
        <v>533</v>
      </c>
    </row>
    <row r="212" ht="15.0" customHeight="1">
      <c r="A212" s="78" t="s">
        <v>2451</v>
      </c>
      <c r="B212" s="82" t="s">
        <v>529</v>
      </c>
      <c r="C212" s="82" t="s">
        <v>52</v>
      </c>
      <c r="D212" s="82" t="s">
        <v>6143</v>
      </c>
      <c r="E212" s="79" t="s">
        <v>6083</v>
      </c>
      <c r="F212" s="82" t="s">
        <v>6144</v>
      </c>
      <c r="G212" s="82">
        <v>6.0</v>
      </c>
      <c r="H212" s="82">
        <v>3.0</v>
      </c>
      <c r="I212" s="82">
        <v>6.0</v>
      </c>
      <c r="J212" s="82">
        <v>20.0</v>
      </c>
      <c r="K212" s="290">
        <f t="shared" si="15"/>
        <v>3.333333333</v>
      </c>
      <c r="L212" s="288" t="s">
        <v>533</v>
      </c>
    </row>
    <row r="213" ht="15.0" customHeight="1">
      <c r="A213" s="78" t="s">
        <v>2451</v>
      </c>
      <c r="B213" s="82" t="s">
        <v>529</v>
      </c>
      <c r="C213" s="82" t="s">
        <v>52</v>
      </c>
      <c r="D213" s="82" t="s">
        <v>6145</v>
      </c>
      <c r="E213" s="79" t="s">
        <v>6146</v>
      </c>
      <c r="F213" s="82" t="s">
        <v>6147</v>
      </c>
      <c r="G213" s="82">
        <v>6.0</v>
      </c>
      <c r="H213" s="82">
        <v>3.0</v>
      </c>
      <c r="I213" s="82">
        <v>6.0</v>
      </c>
      <c r="J213" s="82">
        <v>20.0</v>
      </c>
      <c r="K213" s="290">
        <f t="shared" si="15"/>
        <v>3.333333333</v>
      </c>
      <c r="L213" s="288" t="s">
        <v>533</v>
      </c>
    </row>
    <row r="214" ht="15.0" customHeight="1">
      <c r="A214" s="82" t="s">
        <v>6110</v>
      </c>
      <c r="B214" s="82" t="s">
        <v>6111</v>
      </c>
      <c r="C214" s="82" t="s">
        <v>52</v>
      </c>
      <c r="D214" s="82" t="s">
        <v>6112</v>
      </c>
      <c r="E214" s="79" t="s">
        <v>5880</v>
      </c>
      <c r="F214" s="82" t="s">
        <v>5885</v>
      </c>
      <c r="G214" s="82">
        <v>5.0</v>
      </c>
      <c r="H214" s="82">
        <v>5.0</v>
      </c>
      <c r="I214" s="288">
        <v>5.0</v>
      </c>
      <c r="J214" s="288">
        <v>10.0</v>
      </c>
      <c r="K214" s="290">
        <f t="shared" si="15"/>
        <v>2</v>
      </c>
      <c r="L214" s="288" t="s">
        <v>533</v>
      </c>
    </row>
    <row r="215" ht="15.0" customHeight="1">
      <c r="A215" s="82" t="s">
        <v>2363</v>
      </c>
      <c r="B215" s="82" t="s">
        <v>1295</v>
      </c>
      <c r="C215" s="82" t="s">
        <v>52</v>
      </c>
      <c r="D215" s="78" t="s">
        <v>6114</v>
      </c>
      <c r="E215" s="80" t="s">
        <v>5841</v>
      </c>
      <c r="F215" s="82" t="s">
        <v>5885</v>
      </c>
      <c r="G215" s="99">
        <v>5.0</v>
      </c>
      <c r="H215" s="99">
        <v>5.0</v>
      </c>
      <c r="I215" s="82">
        <v>5.0</v>
      </c>
      <c r="J215" s="82">
        <v>10.0</v>
      </c>
      <c r="K215" s="92">
        <f t="shared" si="15"/>
        <v>2</v>
      </c>
      <c r="L215" s="288" t="s">
        <v>533</v>
      </c>
    </row>
    <row r="216" ht="15.0" customHeight="1">
      <c r="A216" s="82" t="s">
        <v>6113</v>
      </c>
      <c r="B216" s="82" t="s">
        <v>1295</v>
      </c>
      <c r="C216" s="82" t="s">
        <v>52</v>
      </c>
      <c r="D216" s="82" t="s">
        <v>6115</v>
      </c>
      <c r="E216" s="90" t="s">
        <v>6116</v>
      </c>
      <c r="F216" s="82" t="s">
        <v>5885</v>
      </c>
      <c r="G216" s="99">
        <v>5.0</v>
      </c>
      <c r="H216" s="99">
        <v>5.0</v>
      </c>
      <c r="I216" s="82">
        <v>5.0</v>
      </c>
      <c r="J216" s="82">
        <v>10.0</v>
      </c>
      <c r="K216" s="92">
        <f t="shared" si="15"/>
        <v>2</v>
      </c>
      <c r="L216" s="288" t="s">
        <v>533</v>
      </c>
    </row>
    <row r="217" ht="15.0" customHeight="1">
      <c r="A217" s="82" t="s">
        <v>1429</v>
      </c>
      <c r="B217" s="82" t="s">
        <v>1430</v>
      </c>
      <c r="C217" s="82" t="s">
        <v>52</v>
      </c>
      <c r="D217" s="82" t="s">
        <v>6148</v>
      </c>
      <c r="E217" s="79" t="s">
        <v>6149</v>
      </c>
      <c r="F217" s="78" t="s">
        <v>6150</v>
      </c>
      <c r="G217" s="82">
        <v>8.0</v>
      </c>
      <c r="H217" s="82">
        <v>6.0</v>
      </c>
      <c r="I217" s="82">
        <v>8.0</v>
      </c>
      <c r="J217" s="293">
        <v>20.0</v>
      </c>
      <c r="K217" s="92">
        <f t="shared" si="15"/>
        <v>2.5</v>
      </c>
      <c r="L217" s="288" t="s">
        <v>533</v>
      </c>
    </row>
    <row r="218" ht="15.0" customHeight="1">
      <c r="A218" s="82" t="s">
        <v>2477</v>
      </c>
      <c r="B218" s="82" t="s">
        <v>2478</v>
      </c>
      <c r="C218" s="82" t="s">
        <v>52</v>
      </c>
      <c r="D218" s="82" t="s">
        <v>6112</v>
      </c>
      <c r="E218" s="79" t="s">
        <v>5880</v>
      </c>
      <c r="F218" s="82" t="s">
        <v>5885</v>
      </c>
      <c r="G218" s="99">
        <v>4.0</v>
      </c>
      <c r="H218" s="99">
        <v>4.0</v>
      </c>
      <c r="I218" s="82">
        <v>4.0</v>
      </c>
      <c r="J218" s="82">
        <v>10.0</v>
      </c>
      <c r="K218" s="92">
        <f t="shared" si="15"/>
        <v>2.5</v>
      </c>
      <c r="L218" s="288" t="s">
        <v>533</v>
      </c>
    </row>
    <row r="219" ht="15.0" customHeight="1">
      <c r="A219" s="82" t="s">
        <v>2477</v>
      </c>
      <c r="B219" s="82" t="s">
        <v>2478</v>
      </c>
      <c r="C219" s="82" t="s">
        <v>52</v>
      </c>
      <c r="D219" s="82" t="s">
        <v>6151</v>
      </c>
      <c r="E219" s="79" t="s">
        <v>5952</v>
      </c>
      <c r="F219" s="78" t="s">
        <v>6152</v>
      </c>
      <c r="G219" s="99">
        <v>4.0</v>
      </c>
      <c r="H219" s="99">
        <v>4.0</v>
      </c>
      <c r="I219" s="82">
        <v>4.0</v>
      </c>
      <c r="J219" s="82">
        <v>20.0</v>
      </c>
      <c r="K219" s="92">
        <f t="shared" si="15"/>
        <v>5</v>
      </c>
      <c r="L219" s="288" t="s">
        <v>533</v>
      </c>
    </row>
    <row r="220" ht="15.0" customHeight="1">
      <c r="A220" s="100" t="s">
        <v>1442</v>
      </c>
      <c r="B220" s="100" t="s">
        <v>1282</v>
      </c>
      <c r="C220" s="82" t="s">
        <v>52</v>
      </c>
      <c r="D220" s="100" t="s">
        <v>5883</v>
      </c>
      <c r="E220" s="79" t="s">
        <v>5884</v>
      </c>
      <c r="F220" s="78" t="s">
        <v>5885</v>
      </c>
      <c r="G220" s="99">
        <v>8.0</v>
      </c>
      <c r="H220" s="99">
        <v>8.0</v>
      </c>
      <c r="I220" s="82">
        <v>8.0</v>
      </c>
      <c r="J220" s="82">
        <v>10.0</v>
      </c>
      <c r="K220" s="92">
        <f t="shared" si="15"/>
        <v>1.25</v>
      </c>
      <c r="L220" s="288" t="s">
        <v>533</v>
      </c>
    </row>
    <row r="221" ht="15.0" customHeight="1">
      <c r="A221" s="82" t="s">
        <v>6153</v>
      </c>
      <c r="B221" s="82" t="s">
        <v>6154</v>
      </c>
      <c r="C221" s="82" t="s">
        <v>52</v>
      </c>
      <c r="D221" s="78" t="s">
        <v>6155</v>
      </c>
      <c r="E221" s="79" t="s">
        <v>6156</v>
      </c>
      <c r="F221" s="78" t="s">
        <v>6157</v>
      </c>
      <c r="G221" s="99">
        <v>9.0</v>
      </c>
      <c r="H221" s="99">
        <v>1.0</v>
      </c>
      <c r="I221" s="82">
        <v>9.0</v>
      </c>
      <c r="J221" s="82">
        <v>20.0</v>
      </c>
      <c r="K221" s="92">
        <f t="shared" si="15"/>
        <v>2.222222222</v>
      </c>
      <c r="L221" s="288" t="s">
        <v>533</v>
      </c>
    </row>
    <row r="222" ht="15.0" customHeight="1">
      <c r="A222" s="78" t="s">
        <v>1272</v>
      </c>
      <c r="B222" s="82" t="s">
        <v>1422</v>
      </c>
      <c r="C222" s="82" t="s">
        <v>52</v>
      </c>
      <c r="D222" s="82" t="s">
        <v>6112</v>
      </c>
      <c r="E222" s="79" t="s">
        <v>5880</v>
      </c>
      <c r="F222" s="82" t="s">
        <v>5885</v>
      </c>
      <c r="G222" s="82">
        <v>7.0</v>
      </c>
      <c r="H222" s="82">
        <v>7.0</v>
      </c>
      <c r="I222" s="82">
        <v>7.0</v>
      </c>
      <c r="J222" s="82">
        <v>10.0</v>
      </c>
      <c r="K222" s="92">
        <f t="shared" si="15"/>
        <v>1.428571429</v>
      </c>
      <c r="L222" s="288" t="s">
        <v>533</v>
      </c>
    </row>
    <row r="223" ht="15.0" customHeight="1">
      <c r="A223" s="82" t="s">
        <v>1261</v>
      </c>
      <c r="B223" s="78" t="s">
        <v>1253</v>
      </c>
      <c r="C223" s="82" t="s">
        <v>52</v>
      </c>
      <c r="D223" s="82" t="s">
        <v>6158</v>
      </c>
      <c r="E223" s="79" t="s">
        <v>6119</v>
      </c>
      <c r="F223" s="82" t="s">
        <v>5885</v>
      </c>
      <c r="G223" s="99">
        <v>4.0</v>
      </c>
      <c r="H223" s="99">
        <v>4.0</v>
      </c>
      <c r="I223" s="82">
        <v>4.0</v>
      </c>
      <c r="J223" s="82">
        <v>10.0</v>
      </c>
      <c r="K223" s="92">
        <f t="shared" si="15"/>
        <v>2.5</v>
      </c>
      <c r="L223" s="288" t="s">
        <v>533</v>
      </c>
    </row>
    <row r="224" ht="15.0" customHeight="1">
      <c r="A224" s="82" t="s">
        <v>2382</v>
      </c>
      <c r="B224" s="82" t="s">
        <v>2383</v>
      </c>
      <c r="C224" s="82" t="s">
        <v>52</v>
      </c>
      <c r="D224" s="82" t="s">
        <v>6120</v>
      </c>
      <c r="E224" s="95" t="s">
        <v>6159</v>
      </c>
      <c r="F224" s="82" t="s">
        <v>6160</v>
      </c>
      <c r="G224" s="99">
        <v>7.0</v>
      </c>
      <c r="H224" s="99">
        <v>7.0</v>
      </c>
      <c r="I224" s="82">
        <v>7.0</v>
      </c>
      <c r="J224" s="82">
        <v>20.0</v>
      </c>
      <c r="K224" s="92">
        <f t="shared" si="15"/>
        <v>2.857142857</v>
      </c>
      <c r="L224" s="288" t="s">
        <v>533</v>
      </c>
    </row>
    <row r="225" ht="15.0" customHeight="1">
      <c r="A225" s="82" t="s">
        <v>2507</v>
      </c>
      <c r="B225" s="82" t="s">
        <v>182</v>
      </c>
      <c r="C225" s="82" t="s">
        <v>2508</v>
      </c>
      <c r="D225" s="83" t="s">
        <v>6161</v>
      </c>
      <c r="E225" s="306" t="s">
        <v>6162</v>
      </c>
      <c r="F225" s="83" t="s">
        <v>6163</v>
      </c>
      <c r="G225" s="83">
        <v>3.0</v>
      </c>
      <c r="H225" s="83">
        <v>3.0</v>
      </c>
      <c r="I225" s="83">
        <v>3.0</v>
      </c>
      <c r="J225" s="83">
        <v>10.0</v>
      </c>
      <c r="K225" s="82">
        <v>3.33</v>
      </c>
      <c r="L225" s="288" t="s">
        <v>74</v>
      </c>
    </row>
    <row r="226" ht="15.0" customHeight="1">
      <c r="A226" s="82" t="s">
        <v>2507</v>
      </c>
      <c r="B226" s="82" t="s">
        <v>182</v>
      </c>
      <c r="C226" s="82" t="s">
        <v>2508</v>
      </c>
      <c r="D226" s="82" t="s">
        <v>6164</v>
      </c>
      <c r="E226" s="79" t="s">
        <v>6165</v>
      </c>
      <c r="F226" s="83" t="s">
        <v>6166</v>
      </c>
      <c r="G226" s="82">
        <v>3.0</v>
      </c>
      <c r="H226" s="82">
        <v>3.0</v>
      </c>
      <c r="I226" s="82">
        <v>3.0</v>
      </c>
      <c r="J226" s="82">
        <v>20.0</v>
      </c>
      <c r="K226" s="82">
        <v>6.66</v>
      </c>
      <c r="L226" s="288" t="s">
        <v>74</v>
      </c>
    </row>
    <row r="227" ht="15.0" customHeight="1">
      <c r="A227" s="83" t="s">
        <v>6167</v>
      </c>
      <c r="B227" s="83" t="s">
        <v>182</v>
      </c>
      <c r="C227" s="83" t="s">
        <v>6168</v>
      </c>
      <c r="D227" s="82" t="s">
        <v>6169</v>
      </c>
      <c r="E227" s="79" t="s">
        <v>6170</v>
      </c>
      <c r="F227" s="83" t="s">
        <v>6171</v>
      </c>
      <c r="G227" s="82">
        <v>5.0</v>
      </c>
      <c r="H227" s="82">
        <v>5.0</v>
      </c>
      <c r="I227" s="82">
        <v>5.0</v>
      </c>
      <c r="J227" s="82">
        <v>20.0</v>
      </c>
      <c r="K227" s="82">
        <v>4.0</v>
      </c>
      <c r="L227" s="288" t="s">
        <v>74</v>
      </c>
    </row>
    <row r="228" ht="15.0" customHeight="1">
      <c r="A228" s="82" t="s">
        <v>6172</v>
      </c>
      <c r="B228" s="82" t="s">
        <v>182</v>
      </c>
      <c r="C228" s="82" t="s">
        <v>6173</v>
      </c>
      <c r="D228" s="82" t="s">
        <v>6174</v>
      </c>
      <c r="E228" s="79" t="s">
        <v>6175</v>
      </c>
      <c r="F228" s="83" t="s">
        <v>6176</v>
      </c>
      <c r="G228" s="82">
        <v>5.0</v>
      </c>
      <c r="H228" s="82">
        <v>5.0</v>
      </c>
      <c r="I228" s="82">
        <v>5.0</v>
      </c>
      <c r="J228" s="82">
        <v>20.0</v>
      </c>
      <c r="K228" s="82">
        <v>4.0</v>
      </c>
      <c r="L228" s="288" t="s">
        <v>74</v>
      </c>
    </row>
    <row r="229" ht="15.0" customHeight="1">
      <c r="A229" s="86" t="s">
        <v>6177</v>
      </c>
      <c r="B229" s="86" t="s">
        <v>6178</v>
      </c>
      <c r="C229" s="86" t="s">
        <v>52</v>
      </c>
      <c r="D229" s="86" t="s">
        <v>6179</v>
      </c>
      <c r="E229" s="184" t="s">
        <v>6180</v>
      </c>
      <c r="F229" s="86" t="s">
        <v>1833</v>
      </c>
      <c r="G229" s="86">
        <v>2.0</v>
      </c>
      <c r="H229" s="86">
        <v>2.0</v>
      </c>
      <c r="I229" s="86">
        <v>2.0</v>
      </c>
      <c r="J229" s="86">
        <v>50.0</v>
      </c>
      <c r="K229" s="86">
        <v>25.0</v>
      </c>
      <c r="L229" s="288" t="s">
        <v>74</v>
      </c>
    </row>
    <row r="230" ht="15.0" customHeight="1">
      <c r="A230" s="288" t="s">
        <v>2570</v>
      </c>
      <c r="B230" s="288" t="s">
        <v>2571</v>
      </c>
      <c r="C230" s="288" t="s">
        <v>52</v>
      </c>
      <c r="D230" s="288" t="s">
        <v>6181</v>
      </c>
      <c r="E230" s="307" t="s">
        <v>6182</v>
      </c>
      <c r="F230" s="288" t="s">
        <v>6183</v>
      </c>
      <c r="G230" s="308">
        <v>4.0</v>
      </c>
      <c r="H230" s="309">
        <v>4.0</v>
      </c>
      <c r="I230" s="288">
        <v>4.0</v>
      </c>
      <c r="J230" s="288">
        <v>20.0</v>
      </c>
      <c r="K230" s="288">
        <v>5.0</v>
      </c>
      <c r="L230" s="288" t="s">
        <v>65</v>
      </c>
    </row>
    <row r="231" ht="15.0" customHeight="1">
      <c r="A231" s="288" t="s">
        <v>2570</v>
      </c>
      <c r="B231" s="288" t="s">
        <v>2571</v>
      </c>
      <c r="C231" s="288" t="s">
        <v>52</v>
      </c>
      <c r="D231" s="288" t="s">
        <v>6184</v>
      </c>
      <c r="E231" s="307" t="s">
        <v>6185</v>
      </c>
      <c r="F231" s="288" t="s">
        <v>5372</v>
      </c>
      <c r="G231" s="308">
        <v>4.0</v>
      </c>
      <c r="H231" s="309">
        <v>4.0</v>
      </c>
      <c r="I231" s="288">
        <v>4.0</v>
      </c>
      <c r="J231" s="288">
        <v>20.0</v>
      </c>
      <c r="K231" s="288">
        <v>5.0</v>
      </c>
      <c r="L231" s="288" t="s">
        <v>65</v>
      </c>
    </row>
    <row r="232" ht="15.0" customHeight="1">
      <c r="A232" s="288" t="s">
        <v>2570</v>
      </c>
      <c r="B232" s="288" t="s">
        <v>2571</v>
      </c>
      <c r="C232" s="288" t="s">
        <v>52</v>
      </c>
      <c r="D232" s="288" t="s">
        <v>6186</v>
      </c>
      <c r="E232" s="307" t="s">
        <v>6187</v>
      </c>
      <c r="F232" s="288" t="s">
        <v>6188</v>
      </c>
      <c r="G232" s="308">
        <v>4.0</v>
      </c>
      <c r="H232" s="309">
        <v>4.0</v>
      </c>
      <c r="I232" s="288">
        <v>4.0</v>
      </c>
      <c r="J232" s="288">
        <v>20.0</v>
      </c>
      <c r="K232" s="288">
        <v>5.0</v>
      </c>
      <c r="L232" s="288" t="s">
        <v>65</v>
      </c>
    </row>
    <row r="233" ht="15.0" customHeight="1">
      <c r="A233" s="291" t="s">
        <v>2576</v>
      </c>
      <c r="B233" s="291" t="s">
        <v>2577</v>
      </c>
      <c r="C233" s="291" t="s">
        <v>52</v>
      </c>
      <c r="D233" s="85" t="s">
        <v>6189</v>
      </c>
      <c r="E233" s="307" t="s">
        <v>6190</v>
      </c>
      <c r="F233" s="288" t="s">
        <v>6191</v>
      </c>
      <c r="G233" s="288">
        <v>3.0</v>
      </c>
      <c r="H233" s="290">
        <v>3.0</v>
      </c>
      <c r="I233" s="291">
        <v>3.0</v>
      </c>
      <c r="J233" s="291">
        <v>20.0</v>
      </c>
      <c r="K233" s="291">
        <v>6.67</v>
      </c>
      <c r="L233" s="288" t="s">
        <v>65</v>
      </c>
    </row>
    <row r="234" ht="15.0" customHeight="1">
      <c r="A234" s="85" t="s">
        <v>2576</v>
      </c>
      <c r="B234" s="291" t="s">
        <v>2577</v>
      </c>
      <c r="C234" s="291" t="s">
        <v>52</v>
      </c>
      <c r="D234" s="85" t="s">
        <v>6192</v>
      </c>
      <c r="E234" s="307" t="s">
        <v>6193</v>
      </c>
      <c r="F234" s="288" t="s">
        <v>6194</v>
      </c>
      <c r="G234" s="308">
        <v>3.0</v>
      </c>
      <c r="H234" s="309">
        <v>3.0</v>
      </c>
      <c r="I234" s="288">
        <v>3.0</v>
      </c>
      <c r="J234" s="288">
        <v>10.0</v>
      </c>
      <c r="K234" s="288">
        <v>3.33</v>
      </c>
      <c r="L234" s="288" t="s">
        <v>65</v>
      </c>
    </row>
    <row r="235" ht="15.0" customHeight="1">
      <c r="A235" s="85" t="s">
        <v>2576</v>
      </c>
      <c r="B235" s="291" t="s">
        <v>2577</v>
      </c>
      <c r="C235" s="291" t="s">
        <v>52</v>
      </c>
      <c r="D235" s="85" t="s">
        <v>6195</v>
      </c>
      <c r="E235" s="307" t="s">
        <v>6196</v>
      </c>
      <c r="F235" s="288" t="s">
        <v>6197</v>
      </c>
      <c r="G235" s="288">
        <v>3.0</v>
      </c>
      <c r="H235" s="290">
        <v>3.0</v>
      </c>
      <c r="I235" s="291">
        <v>3.0</v>
      </c>
      <c r="J235" s="291">
        <v>20.0</v>
      </c>
      <c r="K235" s="291">
        <v>6.67</v>
      </c>
      <c r="L235" s="288" t="s">
        <v>65</v>
      </c>
    </row>
    <row r="236" ht="15.0" customHeight="1">
      <c r="A236" s="85" t="s">
        <v>2576</v>
      </c>
      <c r="B236" s="291" t="s">
        <v>2577</v>
      </c>
      <c r="C236" s="291" t="s">
        <v>52</v>
      </c>
      <c r="D236" s="85" t="s">
        <v>6198</v>
      </c>
      <c r="E236" s="307" t="s">
        <v>6199</v>
      </c>
      <c r="F236" s="288" t="s">
        <v>5372</v>
      </c>
      <c r="G236" s="288">
        <v>3.0</v>
      </c>
      <c r="H236" s="290">
        <v>3.0</v>
      </c>
      <c r="I236" s="291">
        <v>3.0</v>
      </c>
      <c r="J236" s="291">
        <v>20.0</v>
      </c>
      <c r="K236" s="291">
        <v>6.67</v>
      </c>
      <c r="L236" s="288" t="s">
        <v>65</v>
      </c>
    </row>
    <row r="237" ht="15.0" customHeight="1">
      <c r="A237" s="85" t="s">
        <v>2576</v>
      </c>
      <c r="B237" s="291" t="s">
        <v>2577</v>
      </c>
      <c r="C237" s="291" t="s">
        <v>52</v>
      </c>
      <c r="D237" s="291" t="s">
        <v>6200</v>
      </c>
      <c r="E237" s="307" t="s">
        <v>6201</v>
      </c>
      <c r="F237" s="288" t="s">
        <v>6197</v>
      </c>
      <c r="G237" s="288">
        <v>3.0</v>
      </c>
      <c r="H237" s="290">
        <v>3.0</v>
      </c>
      <c r="I237" s="291">
        <v>3.0</v>
      </c>
      <c r="J237" s="291">
        <v>20.0</v>
      </c>
      <c r="K237" s="291">
        <v>6.67</v>
      </c>
      <c r="L237" s="288" t="s">
        <v>65</v>
      </c>
    </row>
    <row r="238" ht="15.0" customHeight="1">
      <c r="A238" s="85" t="s">
        <v>2576</v>
      </c>
      <c r="B238" s="291" t="s">
        <v>2577</v>
      </c>
      <c r="C238" s="291" t="s">
        <v>52</v>
      </c>
      <c r="D238" s="291" t="s">
        <v>6202</v>
      </c>
      <c r="E238" s="307" t="s">
        <v>6203</v>
      </c>
      <c r="F238" s="288" t="s">
        <v>5372</v>
      </c>
      <c r="G238" s="288">
        <v>3.0</v>
      </c>
      <c r="H238" s="290">
        <v>3.0</v>
      </c>
      <c r="I238" s="291">
        <v>3.0</v>
      </c>
      <c r="J238" s="291">
        <v>20.0</v>
      </c>
      <c r="K238" s="291">
        <v>6.67</v>
      </c>
      <c r="L238" s="288" t="s">
        <v>65</v>
      </c>
    </row>
    <row r="239" ht="15.0" customHeight="1">
      <c r="A239" s="310" t="s">
        <v>6204</v>
      </c>
      <c r="B239" s="291" t="s">
        <v>2612</v>
      </c>
      <c r="C239" s="288" t="s">
        <v>52</v>
      </c>
      <c r="D239" s="85" t="s">
        <v>6205</v>
      </c>
      <c r="E239" s="307" t="s">
        <v>6206</v>
      </c>
      <c r="F239" s="288" t="s">
        <v>5372</v>
      </c>
      <c r="G239" s="308">
        <v>7.0</v>
      </c>
      <c r="H239" s="309">
        <v>2.0</v>
      </c>
      <c r="I239" s="288">
        <v>7.0</v>
      </c>
      <c r="J239" s="291">
        <v>20.0</v>
      </c>
      <c r="K239" s="291">
        <v>2.85</v>
      </c>
      <c r="L239" s="288" t="s">
        <v>65</v>
      </c>
    </row>
    <row r="240" ht="15.0" customHeight="1">
      <c r="A240" s="82" t="s">
        <v>2615</v>
      </c>
      <c r="B240" s="78" t="s">
        <v>2616</v>
      </c>
      <c r="C240" s="82" t="s">
        <v>182</v>
      </c>
      <c r="D240" s="82" t="s">
        <v>6207</v>
      </c>
      <c r="E240" s="79" t="s">
        <v>6208</v>
      </c>
      <c r="F240" s="82" t="s">
        <v>6209</v>
      </c>
      <c r="G240" s="82">
        <v>3.0</v>
      </c>
      <c r="H240" s="82">
        <v>3.0</v>
      </c>
      <c r="I240" s="291">
        <v>3.0</v>
      </c>
      <c r="J240" s="291">
        <v>20.0</v>
      </c>
      <c r="K240" s="291">
        <v>6.66</v>
      </c>
      <c r="L240" s="288" t="s">
        <v>566</v>
      </c>
    </row>
    <row r="241" ht="15.0" customHeight="1">
      <c r="A241" s="82" t="s">
        <v>2645</v>
      </c>
      <c r="B241" s="78" t="s">
        <v>2646</v>
      </c>
      <c r="C241" s="78" t="s">
        <v>182</v>
      </c>
      <c r="D241" s="82" t="s">
        <v>6210</v>
      </c>
      <c r="E241" s="307" t="s">
        <v>6211</v>
      </c>
      <c r="F241" s="86" t="s">
        <v>6212</v>
      </c>
      <c r="G241" s="82">
        <v>2.0</v>
      </c>
      <c r="H241" s="82">
        <v>2.0</v>
      </c>
      <c r="I241" s="82">
        <v>2.0</v>
      </c>
      <c r="J241" s="293">
        <v>20.0</v>
      </c>
      <c r="K241" s="84">
        <v>10.0</v>
      </c>
      <c r="L241" s="288" t="s">
        <v>566</v>
      </c>
    </row>
    <row r="242" ht="15.0" customHeight="1">
      <c r="A242" s="82" t="s">
        <v>2645</v>
      </c>
      <c r="B242" s="78" t="s">
        <v>2646</v>
      </c>
      <c r="C242" s="78" t="s">
        <v>182</v>
      </c>
      <c r="D242" s="82" t="s">
        <v>6213</v>
      </c>
      <c r="E242" s="307" t="s">
        <v>6214</v>
      </c>
      <c r="F242" s="86" t="s">
        <v>6215</v>
      </c>
      <c r="G242" s="82">
        <v>2.0</v>
      </c>
      <c r="H242" s="82">
        <v>2.0</v>
      </c>
      <c r="I242" s="82">
        <v>2.0</v>
      </c>
      <c r="J242" s="293">
        <v>10.0</v>
      </c>
      <c r="K242" s="84">
        <v>5.0</v>
      </c>
      <c r="L242" s="288" t="s">
        <v>566</v>
      </c>
    </row>
    <row r="243" ht="15.0" customHeight="1">
      <c r="A243" s="82" t="s">
        <v>2645</v>
      </c>
      <c r="B243" s="78" t="s">
        <v>2646</v>
      </c>
      <c r="C243" s="78" t="s">
        <v>182</v>
      </c>
      <c r="D243" s="82" t="s">
        <v>6216</v>
      </c>
      <c r="E243" s="288" t="s">
        <v>6217</v>
      </c>
      <c r="F243" s="86" t="s">
        <v>6215</v>
      </c>
      <c r="G243" s="82">
        <v>2.0</v>
      </c>
      <c r="H243" s="82">
        <v>2.0</v>
      </c>
      <c r="I243" s="82">
        <v>2.0</v>
      </c>
      <c r="J243" s="293">
        <v>10.0</v>
      </c>
      <c r="K243" s="84">
        <v>5.0</v>
      </c>
      <c r="L243" s="288" t="s">
        <v>566</v>
      </c>
    </row>
    <row r="244" ht="15.0" customHeight="1">
      <c r="A244" s="82" t="s">
        <v>2645</v>
      </c>
      <c r="B244" s="78" t="s">
        <v>2646</v>
      </c>
      <c r="C244" s="78" t="s">
        <v>182</v>
      </c>
      <c r="D244" s="82" t="s">
        <v>6218</v>
      </c>
      <c r="E244" s="82" t="s">
        <v>6219</v>
      </c>
      <c r="F244" s="86" t="s">
        <v>6215</v>
      </c>
      <c r="G244" s="82">
        <v>2.0</v>
      </c>
      <c r="H244" s="82">
        <v>2.0</v>
      </c>
      <c r="I244" s="82">
        <v>2.0</v>
      </c>
      <c r="J244" s="293">
        <v>10.0</v>
      </c>
      <c r="K244" s="84">
        <v>5.0</v>
      </c>
      <c r="L244" s="288" t="s">
        <v>566</v>
      </c>
    </row>
    <row r="245" ht="15.0" customHeight="1">
      <c r="A245" s="82" t="s">
        <v>2645</v>
      </c>
      <c r="B245" s="78" t="s">
        <v>2646</v>
      </c>
      <c r="C245" s="78" t="s">
        <v>182</v>
      </c>
      <c r="D245" s="82" t="s">
        <v>6220</v>
      </c>
      <c r="E245" s="79" t="s">
        <v>6221</v>
      </c>
      <c r="F245" s="86" t="s">
        <v>6222</v>
      </c>
      <c r="G245" s="82">
        <v>2.0</v>
      </c>
      <c r="H245" s="82">
        <v>2.0</v>
      </c>
      <c r="I245" s="82">
        <v>2.0</v>
      </c>
      <c r="J245" s="293">
        <v>20.0</v>
      </c>
      <c r="K245" s="84">
        <v>10.0</v>
      </c>
      <c r="L245" s="288" t="s">
        <v>566</v>
      </c>
    </row>
    <row r="246" ht="15.0" customHeight="1">
      <c r="A246" s="82" t="s">
        <v>2645</v>
      </c>
      <c r="B246" s="78" t="s">
        <v>2646</v>
      </c>
      <c r="C246" s="78" t="s">
        <v>182</v>
      </c>
      <c r="D246" s="85" t="s">
        <v>6223</v>
      </c>
      <c r="E246" s="79" t="s">
        <v>6224</v>
      </c>
      <c r="F246" s="86" t="s">
        <v>6222</v>
      </c>
      <c r="G246" s="82">
        <v>2.0</v>
      </c>
      <c r="H246" s="82">
        <v>2.0</v>
      </c>
      <c r="I246" s="82">
        <v>2.0</v>
      </c>
      <c r="J246" s="293">
        <v>20.0</v>
      </c>
      <c r="K246" s="84">
        <v>10.0</v>
      </c>
      <c r="L246" s="288" t="s">
        <v>566</v>
      </c>
    </row>
    <row r="247" ht="15.0" customHeight="1">
      <c r="A247" s="82" t="s">
        <v>2645</v>
      </c>
      <c r="B247" s="78" t="s">
        <v>2646</v>
      </c>
      <c r="C247" s="78" t="s">
        <v>182</v>
      </c>
      <c r="D247" s="85" t="s">
        <v>6225</v>
      </c>
      <c r="E247" s="79" t="s">
        <v>6226</v>
      </c>
      <c r="F247" s="86" t="s">
        <v>6227</v>
      </c>
      <c r="G247" s="82">
        <v>2.0</v>
      </c>
      <c r="H247" s="82">
        <v>2.0</v>
      </c>
      <c r="I247" s="82">
        <v>2.0</v>
      </c>
      <c r="J247" s="293">
        <v>20.0</v>
      </c>
      <c r="K247" s="84">
        <v>10.0</v>
      </c>
      <c r="L247" s="288" t="s">
        <v>566</v>
      </c>
    </row>
    <row r="248" ht="15.0" customHeight="1">
      <c r="A248" s="82" t="s">
        <v>2645</v>
      </c>
      <c r="B248" s="78" t="s">
        <v>2646</v>
      </c>
      <c r="C248" s="78" t="s">
        <v>182</v>
      </c>
      <c r="D248" s="85" t="s">
        <v>6228</v>
      </c>
      <c r="E248" s="79" t="s">
        <v>6229</v>
      </c>
      <c r="F248" s="85" t="s">
        <v>6215</v>
      </c>
      <c r="G248" s="98">
        <v>2.0</v>
      </c>
      <c r="H248" s="91">
        <v>2.0</v>
      </c>
      <c r="I248" s="82">
        <v>2.0</v>
      </c>
      <c r="J248" s="82">
        <v>10.0</v>
      </c>
      <c r="K248" s="84">
        <v>5.0</v>
      </c>
      <c r="L248" s="288" t="s">
        <v>566</v>
      </c>
    </row>
    <row r="249" ht="15.0" customHeight="1">
      <c r="A249" s="82" t="s">
        <v>2645</v>
      </c>
      <c r="B249" s="78" t="s">
        <v>2646</v>
      </c>
      <c r="C249" s="78" t="s">
        <v>182</v>
      </c>
      <c r="D249" s="85" t="s">
        <v>6230</v>
      </c>
      <c r="E249" s="79" t="s">
        <v>6231</v>
      </c>
      <c r="F249" s="85" t="s">
        <v>6232</v>
      </c>
      <c r="G249" s="98">
        <v>2.0</v>
      </c>
      <c r="H249" s="91">
        <v>2.0</v>
      </c>
      <c r="I249" s="82">
        <v>2.0</v>
      </c>
      <c r="J249" s="82">
        <v>10.0</v>
      </c>
      <c r="K249" s="84">
        <v>5.0</v>
      </c>
      <c r="L249" s="288" t="s">
        <v>566</v>
      </c>
    </row>
    <row r="250" ht="15.0" customHeight="1">
      <c r="A250" s="82" t="s">
        <v>2645</v>
      </c>
      <c r="B250" s="78" t="s">
        <v>2646</v>
      </c>
      <c r="C250" s="78" t="s">
        <v>182</v>
      </c>
      <c r="D250" s="85" t="s">
        <v>6233</v>
      </c>
      <c r="E250" s="85" t="s">
        <v>6234</v>
      </c>
      <c r="F250" s="85" t="s">
        <v>6215</v>
      </c>
      <c r="G250" s="98">
        <v>2.0</v>
      </c>
      <c r="H250" s="91">
        <v>2.0</v>
      </c>
      <c r="I250" s="82">
        <v>2.0</v>
      </c>
      <c r="J250" s="82">
        <v>10.0</v>
      </c>
      <c r="K250" s="84">
        <v>5.0</v>
      </c>
      <c r="L250" s="288" t="s">
        <v>566</v>
      </c>
    </row>
    <row r="251" ht="15.0" customHeight="1">
      <c r="A251" s="82" t="s">
        <v>2665</v>
      </c>
      <c r="B251" s="78" t="s">
        <v>2666</v>
      </c>
      <c r="C251" s="78" t="s">
        <v>182</v>
      </c>
      <c r="D251" s="82" t="s">
        <v>6235</v>
      </c>
      <c r="E251" s="79" t="s">
        <v>6236</v>
      </c>
      <c r="F251" s="86" t="s">
        <v>6237</v>
      </c>
      <c r="G251" s="82">
        <v>3.0</v>
      </c>
      <c r="H251" s="82">
        <v>3.0</v>
      </c>
      <c r="I251" s="82">
        <v>3.0</v>
      </c>
      <c r="J251" s="293">
        <v>20.0</v>
      </c>
      <c r="K251" s="84">
        <v>6.66</v>
      </c>
      <c r="L251" s="288" t="s">
        <v>566</v>
      </c>
    </row>
    <row r="252" ht="15.0" customHeight="1">
      <c r="A252" s="82" t="s">
        <v>2665</v>
      </c>
      <c r="B252" s="78" t="s">
        <v>2666</v>
      </c>
      <c r="C252" s="78" t="s">
        <v>182</v>
      </c>
      <c r="D252" s="82" t="s">
        <v>6238</v>
      </c>
      <c r="E252" s="79" t="s">
        <v>6239</v>
      </c>
      <c r="F252" s="86" t="s">
        <v>6240</v>
      </c>
      <c r="G252" s="82">
        <v>3.0</v>
      </c>
      <c r="H252" s="82">
        <v>3.0</v>
      </c>
      <c r="I252" s="82">
        <v>3.0</v>
      </c>
      <c r="J252" s="293">
        <v>20.0</v>
      </c>
      <c r="K252" s="84">
        <v>6.66</v>
      </c>
      <c r="L252" s="288" t="s">
        <v>566</v>
      </c>
    </row>
    <row r="253" ht="15.0" customHeight="1">
      <c r="A253" s="82" t="s">
        <v>2665</v>
      </c>
      <c r="B253" s="78" t="s">
        <v>2666</v>
      </c>
      <c r="C253" s="78" t="s">
        <v>182</v>
      </c>
      <c r="D253" s="82" t="s">
        <v>6241</v>
      </c>
      <c r="E253" s="79" t="s">
        <v>6242</v>
      </c>
      <c r="F253" s="86" t="s">
        <v>6243</v>
      </c>
      <c r="G253" s="82">
        <v>3.0</v>
      </c>
      <c r="H253" s="82">
        <v>3.0</v>
      </c>
      <c r="I253" s="82">
        <v>3.0</v>
      </c>
      <c r="J253" s="293">
        <v>10.0</v>
      </c>
      <c r="K253" s="84">
        <v>3.33</v>
      </c>
      <c r="L253" s="288" t="s">
        <v>566</v>
      </c>
    </row>
    <row r="254" ht="15.0" customHeight="1">
      <c r="A254" s="288" t="s">
        <v>2675</v>
      </c>
      <c r="B254" s="82" t="s">
        <v>2676</v>
      </c>
      <c r="C254" s="288" t="s">
        <v>182</v>
      </c>
      <c r="D254" s="82" t="s">
        <v>6244</v>
      </c>
      <c r="E254" s="79" t="s">
        <v>6245</v>
      </c>
      <c r="F254" s="86" t="s">
        <v>6232</v>
      </c>
      <c r="G254" s="82">
        <v>3.0</v>
      </c>
      <c r="H254" s="82">
        <v>2.0</v>
      </c>
      <c r="I254" s="82">
        <v>3.0</v>
      </c>
      <c r="J254" s="293">
        <v>10.0</v>
      </c>
      <c r="K254" s="84">
        <v>3.33</v>
      </c>
      <c r="L254" s="288" t="s">
        <v>566</v>
      </c>
    </row>
    <row r="255" ht="15.0" customHeight="1">
      <c r="A255" s="288" t="s">
        <v>2675</v>
      </c>
      <c r="B255" s="82" t="s">
        <v>2676</v>
      </c>
      <c r="C255" s="288" t="s">
        <v>182</v>
      </c>
      <c r="D255" s="82" t="s">
        <v>6246</v>
      </c>
      <c r="E255" s="79" t="s">
        <v>6247</v>
      </c>
      <c r="F255" s="86" t="s">
        <v>6232</v>
      </c>
      <c r="G255" s="82">
        <v>3.0</v>
      </c>
      <c r="H255" s="82">
        <v>2.0</v>
      </c>
      <c r="I255" s="82">
        <v>3.0</v>
      </c>
      <c r="J255" s="293">
        <v>10.0</v>
      </c>
      <c r="K255" s="84">
        <v>3.33</v>
      </c>
      <c r="L255" s="288" t="s">
        <v>566</v>
      </c>
    </row>
    <row r="256" ht="15.0" customHeight="1">
      <c r="A256" s="288" t="s">
        <v>2675</v>
      </c>
      <c r="B256" s="82" t="s">
        <v>2676</v>
      </c>
      <c r="C256" s="288" t="s">
        <v>182</v>
      </c>
      <c r="D256" s="82" t="s">
        <v>6248</v>
      </c>
      <c r="E256" s="79" t="s">
        <v>6249</v>
      </c>
      <c r="F256" s="86" t="s">
        <v>6250</v>
      </c>
      <c r="G256" s="82">
        <v>3.0</v>
      </c>
      <c r="H256" s="82">
        <v>2.0</v>
      </c>
      <c r="I256" s="82">
        <v>3.0</v>
      </c>
      <c r="J256" s="293">
        <v>20.0</v>
      </c>
      <c r="K256" s="84">
        <v>6.66</v>
      </c>
      <c r="L256" s="288" t="s">
        <v>566</v>
      </c>
    </row>
    <row r="257" ht="15.0" customHeight="1">
      <c r="A257" s="288" t="s">
        <v>2675</v>
      </c>
      <c r="B257" s="82" t="s">
        <v>2676</v>
      </c>
      <c r="C257" s="288" t="s">
        <v>182</v>
      </c>
      <c r="D257" s="82" t="s">
        <v>6251</v>
      </c>
      <c r="E257" s="307" t="s">
        <v>6252</v>
      </c>
      <c r="F257" s="82" t="s">
        <v>6253</v>
      </c>
      <c r="G257" s="82">
        <v>3.0</v>
      </c>
      <c r="H257" s="82">
        <v>2.0</v>
      </c>
      <c r="I257" s="82">
        <v>3.0</v>
      </c>
      <c r="J257" s="293">
        <v>20.0</v>
      </c>
      <c r="K257" s="84">
        <v>6.66</v>
      </c>
      <c r="L257" s="288" t="s">
        <v>566</v>
      </c>
    </row>
    <row r="258" ht="15.0" customHeight="1">
      <c r="A258" s="82" t="s">
        <v>2679</v>
      </c>
      <c r="B258" s="78" t="s">
        <v>2680</v>
      </c>
      <c r="C258" s="78" t="s">
        <v>182</v>
      </c>
      <c r="D258" s="82" t="s">
        <v>6254</v>
      </c>
      <c r="E258" s="307" t="s">
        <v>6255</v>
      </c>
      <c r="F258" s="288" t="s">
        <v>6232</v>
      </c>
      <c r="G258" s="82">
        <v>3.0</v>
      </c>
      <c r="H258" s="82">
        <v>2.0</v>
      </c>
      <c r="I258" s="82">
        <v>3.0</v>
      </c>
      <c r="J258" s="293">
        <v>10.0</v>
      </c>
      <c r="K258" s="84">
        <v>3.33</v>
      </c>
      <c r="L258" s="288" t="s">
        <v>566</v>
      </c>
    </row>
    <row r="259" ht="15.0" customHeight="1">
      <c r="A259" s="82" t="s">
        <v>6256</v>
      </c>
      <c r="B259" s="82" t="s">
        <v>6257</v>
      </c>
      <c r="C259" s="82" t="s">
        <v>94</v>
      </c>
      <c r="D259" s="82" t="s">
        <v>6258</v>
      </c>
      <c r="E259" s="82" t="s">
        <v>6259</v>
      </c>
      <c r="F259" s="82" t="s">
        <v>6260</v>
      </c>
      <c r="G259" s="82">
        <v>1.0</v>
      </c>
      <c r="H259" s="82">
        <v>1.0</v>
      </c>
      <c r="I259" s="291">
        <v>1.0</v>
      </c>
      <c r="J259" s="291">
        <v>20.0</v>
      </c>
      <c r="K259" s="291">
        <v>20.0</v>
      </c>
      <c r="L259" s="288" t="s">
        <v>2704</v>
      </c>
    </row>
    <row r="260" ht="15.0" customHeight="1">
      <c r="A260" s="85" t="s">
        <v>2707</v>
      </c>
      <c r="B260" s="85" t="s">
        <v>6261</v>
      </c>
      <c r="C260" s="85" t="s">
        <v>94</v>
      </c>
      <c r="D260" s="78" t="s">
        <v>6262</v>
      </c>
      <c r="E260" s="80" t="s">
        <v>6263</v>
      </c>
      <c r="F260" s="78" t="s">
        <v>6264</v>
      </c>
      <c r="G260" s="99">
        <v>2.0</v>
      </c>
      <c r="H260" s="185">
        <v>2.0</v>
      </c>
      <c r="I260" s="82">
        <v>2.0</v>
      </c>
      <c r="J260" s="82">
        <v>10.0</v>
      </c>
      <c r="K260" s="82">
        <f t="shared" ref="K260:K262" si="16">J260/2</f>
        <v>5</v>
      </c>
      <c r="L260" s="288" t="s">
        <v>2704</v>
      </c>
    </row>
    <row r="261" ht="15.0" customHeight="1">
      <c r="A261" s="85" t="s">
        <v>2707</v>
      </c>
      <c r="B261" s="85" t="s">
        <v>2708</v>
      </c>
      <c r="C261" s="85" t="s">
        <v>94</v>
      </c>
      <c r="D261" s="82" t="s">
        <v>6265</v>
      </c>
      <c r="E261" s="82" t="s">
        <v>6266</v>
      </c>
      <c r="F261" s="82" t="s">
        <v>6264</v>
      </c>
      <c r="G261" s="83">
        <v>2.0</v>
      </c>
      <c r="H261" s="92">
        <v>2.0</v>
      </c>
      <c r="I261" s="82">
        <v>2.0</v>
      </c>
      <c r="J261" s="82">
        <v>10.0</v>
      </c>
      <c r="K261" s="82">
        <f t="shared" si="16"/>
        <v>5</v>
      </c>
      <c r="L261" s="288" t="s">
        <v>2704</v>
      </c>
    </row>
    <row r="262" ht="15.0" customHeight="1">
      <c r="A262" s="85" t="s">
        <v>2707</v>
      </c>
      <c r="B262" s="85" t="s">
        <v>2708</v>
      </c>
      <c r="C262" s="85" t="s">
        <v>94</v>
      </c>
      <c r="D262" s="85" t="s">
        <v>6267</v>
      </c>
      <c r="E262" s="79" t="s">
        <v>6268</v>
      </c>
      <c r="F262" s="85" t="s">
        <v>6269</v>
      </c>
      <c r="G262" s="83">
        <v>2.0</v>
      </c>
      <c r="H262" s="92">
        <v>2.0</v>
      </c>
      <c r="I262" s="82">
        <v>2.0</v>
      </c>
      <c r="J262" s="82">
        <v>20.0</v>
      </c>
      <c r="K262" s="82">
        <f t="shared" si="16"/>
        <v>10</v>
      </c>
      <c r="L262" s="288" t="s">
        <v>2704</v>
      </c>
    </row>
    <row r="263" ht="15.0" customHeight="1">
      <c r="A263" s="82" t="s">
        <v>2712</v>
      </c>
      <c r="B263" s="82" t="s">
        <v>2713</v>
      </c>
      <c r="C263" s="82" t="s">
        <v>94</v>
      </c>
      <c r="D263" s="82" t="s">
        <v>6270</v>
      </c>
      <c r="E263" s="79" t="s">
        <v>6271</v>
      </c>
      <c r="F263" s="86" t="s">
        <v>6272</v>
      </c>
      <c r="G263" s="82">
        <v>3.0</v>
      </c>
      <c r="H263" s="82">
        <v>3.0</v>
      </c>
      <c r="I263" s="82">
        <v>3.0</v>
      </c>
      <c r="J263" s="293">
        <v>20.0</v>
      </c>
      <c r="K263" s="84">
        <f t="shared" ref="K263:K271" si="17">J263/3</f>
        <v>6.666666667</v>
      </c>
      <c r="L263" s="288" t="s">
        <v>590</v>
      </c>
    </row>
    <row r="264" ht="15.0" customHeight="1">
      <c r="A264" s="82" t="s">
        <v>2712</v>
      </c>
      <c r="B264" s="82" t="s">
        <v>2713</v>
      </c>
      <c r="C264" s="82" t="s">
        <v>94</v>
      </c>
      <c r="D264" s="82" t="s">
        <v>6273</v>
      </c>
      <c r="E264" s="79" t="s">
        <v>6274</v>
      </c>
      <c r="F264" s="86" t="s">
        <v>6275</v>
      </c>
      <c r="G264" s="82">
        <v>3.0</v>
      </c>
      <c r="H264" s="82">
        <v>3.0</v>
      </c>
      <c r="I264" s="82">
        <v>3.0</v>
      </c>
      <c r="J264" s="293">
        <v>20.0</v>
      </c>
      <c r="K264" s="84">
        <f t="shared" si="17"/>
        <v>6.666666667</v>
      </c>
      <c r="L264" s="288" t="s">
        <v>590</v>
      </c>
    </row>
    <row r="265" ht="15.0" customHeight="1">
      <c r="A265" s="82" t="s">
        <v>2712</v>
      </c>
      <c r="B265" s="82" t="s">
        <v>2713</v>
      </c>
      <c r="C265" s="82" t="s">
        <v>94</v>
      </c>
      <c r="D265" s="82" t="s">
        <v>6276</v>
      </c>
      <c r="E265" s="79" t="s">
        <v>6277</v>
      </c>
      <c r="F265" s="86" t="s">
        <v>6275</v>
      </c>
      <c r="G265" s="82">
        <v>3.0</v>
      </c>
      <c r="H265" s="82">
        <v>3.0</v>
      </c>
      <c r="I265" s="82">
        <v>3.0</v>
      </c>
      <c r="J265" s="293">
        <v>20.0</v>
      </c>
      <c r="K265" s="84">
        <f t="shared" si="17"/>
        <v>6.666666667</v>
      </c>
      <c r="L265" s="288" t="s">
        <v>590</v>
      </c>
    </row>
    <row r="266" ht="15.0" customHeight="1">
      <c r="A266" s="82" t="s">
        <v>2712</v>
      </c>
      <c r="B266" s="82" t="s">
        <v>2713</v>
      </c>
      <c r="C266" s="82" t="s">
        <v>94</v>
      </c>
      <c r="D266" s="82" t="s">
        <v>6278</v>
      </c>
      <c r="E266" s="79" t="s">
        <v>6279</v>
      </c>
      <c r="F266" s="86" t="s">
        <v>6275</v>
      </c>
      <c r="G266" s="82">
        <v>3.0</v>
      </c>
      <c r="H266" s="82">
        <v>3.0</v>
      </c>
      <c r="I266" s="82">
        <v>3.0</v>
      </c>
      <c r="J266" s="293">
        <v>20.0</v>
      </c>
      <c r="K266" s="84">
        <f t="shared" si="17"/>
        <v>6.666666667</v>
      </c>
      <c r="L266" s="288" t="s">
        <v>590</v>
      </c>
    </row>
    <row r="267" ht="15.0" customHeight="1">
      <c r="A267" s="82" t="s">
        <v>2712</v>
      </c>
      <c r="B267" s="82" t="s">
        <v>2713</v>
      </c>
      <c r="C267" s="82" t="s">
        <v>94</v>
      </c>
      <c r="D267" s="82" t="s">
        <v>6280</v>
      </c>
      <c r="E267" s="79" t="s">
        <v>6279</v>
      </c>
      <c r="F267" s="86" t="s">
        <v>6275</v>
      </c>
      <c r="G267" s="82">
        <v>3.0</v>
      </c>
      <c r="H267" s="82">
        <v>3.0</v>
      </c>
      <c r="I267" s="82">
        <v>3.0</v>
      </c>
      <c r="J267" s="293">
        <v>20.0</v>
      </c>
      <c r="K267" s="84">
        <f t="shared" si="17"/>
        <v>6.666666667</v>
      </c>
      <c r="L267" s="288" t="s">
        <v>590</v>
      </c>
    </row>
    <row r="268" ht="15.0" customHeight="1">
      <c r="A268" s="82" t="s">
        <v>2712</v>
      </c>
      <c r="B268" s="82" t="s">
        <v>2713</v>
      </c>
      <c r="C268" s="82" t="s">
        <v>94</v>
      </c>
      <c r="D268" s="82" t="s">
        <v>6281</v>
      </c>
      <c r="E268" s="79" t="s">
        <v>6282</v>
      </c>
      <c r="F268" s="86" t="s">
        <v>6275</v>
      </c>
      <c r="G268" s="82">
        <v>3.0</v>
      </c>
      <c r="H268" s="82">
        <v>3.0</v>
      </c>
      <c r="I268" s="82">
        <v>3.0</v>
      </c>
      <c r="J268" s="293">
        <v>20.0</v>
      </c>
      <c r="K268" s="84">
        <f t="shared" si="17"/>
        <v>6.666666667</v>
      </c>
      <c r="L268" s="288" t="s">
        <v>590</v>
      </c>
    </row>
    <row r="269" ht="15.0" customHeight="1">
      <c r="A269" s="82" t="s">
        <v>2712</v>
      </c>
      <c r="B269" s="82" t="s">
        <v>2713</v>
      </c>
      <c r="C269" s="82" t="s">
        <v>94</v>
      </c>
      <c r="D269" s="82" t="s">
        <v>6283</v>
      </c>
      <c r="E269" s="79" t="s">
        <v>6282</v>
      </c>
      <c r="F269" s="86" t="s">
        <v>5372</v>
      </c>
      <c r="G269" s="82">
        <v>3.0</v>
      </c>
      <c r="H269" s="82">
        <v>3.0</v>
      </c>
      <c r="I269" s="82">
        <v>3.0</v>
      </c>
      <c r="J269" s="293">
        <v>10.0</v>
      </c>
      <c r="K269" s="84">
        <f t="shared" si="17"/>
        <v>3.333333333</v>
      </c>
      <c r="L269" s="288" t="s">
        <v>590</v>
      </c>
    </row>
    <row r="270" ht="15.0" customHeight="1">
      <c r="A270" s="82" t="s">
        <v>2712</v>
      </c>
      <c r="B270" s="82" t="s">
        <v>2713</v>
      </c>
      <c r="C270" s="82" t="s">
        <v>94</v>
      </c>
      <c r="D270" s="82" t="s">
        <v>6284</v>
      </c>
      <c r="E270" s="79" t="s">
        <v>6282</v>
      </c>
      <c r="F270" s="86" t="s">
        <v>5372</v>
      </c>
      <c r="G270" s="82">
        <v>3.0</v>
      </c>
      <c r="H270" s="82">
        <v>3.0</v>
      </c>
      <c r="I270" s="82">
        <v>3.0</v>
      </c>
      <c r="J270" s="293">
        <v>10.0</v>
      </c>
      <c r="K270" s="84">
        <f t="shared" si="17"/>
        <v>3.333333333</v>
      </c>
      <c r="L270" s="288" t="s">
        <v>590</v>
      </c>
    </row>
    <row r="271" ht="15.0" customHeight="1">
      <c r="A271" s="82" t="s">
        <v>2712</v>
      </c>
      <c r="B271" s="82" t="s">
        <v>2713</v>
      </c>
      <c r="C271" s="82" t="s">
        <v>94</v>
      </c>
      <c r="D271" s="82" t="s">
        <v>6285</v>
      </c>
      <c r="E271" s="79" t="s">
        <v>6282</v>
      </c>
      <c r="F271" s="86" t="s">
        <v>5372</v>
      </c>
      <c r="G271" s="82">
        <v>3.0</v>
      </c>
      <c r="H271" s="82">
        <v>3.0</v>
      </c>
      <c r="I271" s="82">
        <v>3.0</v>
      </c>
      <c r="J271" s="293">
        <v>10.0</v>
      </c>
      <c r="K271" s="84">
        <f t="shared" si="17"/>
        <v>3.333333333</v>
      </c>
      <c r="L271" s="288" t="s">
        <v>590</v>
      </c>
    </row>
    <row r="272" ht="15.0" customHeight="1">
      <c r="A272" s="82" t="s">
        <v>2737</v>
      </c>
      <c r="B272" s="82" t="s">
        <v>2738</v>
      </c>
      <c r="C272" s="82" t="s">
        <v>94</v>
      </c>
      <c r="D272" s="82" t="s">
        <v>6286</v>
      </c>
      <c r="E272" s="79" t="s">
        <v>6287</v>
      </c>
      <c r="F272" s="86" t="s">
        <v>6288</v>
      </c>
      <c r="G272" s="82">
        <v>7.0</v>
      </c>
      <c r="H272" s="82">
        <v>7.0</v>
      </c>
      <c r="I272" s="82">
        <v>7.0</v>
      </c>
      <c r="J272" s="293">
        <v>20.0</v>
      </c>
      <c r="K272" s="84">
        <f>J272/7</f>
        <v>2.857142857</v>
      </c>
      <c r="L272" s="288" t="s">
        <v>590</v>
      </c>
    </row>
    <row r="273" ht="15.0" customHeight="1">
      <c r="A273" s="82" t="s">
        <v>2731</v>
      </c>
      <c r="B273" s="82" t="s">
        <v>2732</v>
      </c>
      <c r="C273" s="82" t="s">
        <v>94</v>
      </c>
      <c r="D273" s="82" t="s">
        <v>6289</v>
      </c>
      <c r="E273" s="79" t="s">
        <v>6290</v>
      </c>
      <c r="F273" s="86" t="s">
        <v>6291</v>
      </c>
      <c r="G273" s="82">
        <v>3.0</v>
      </c>
      <c r="H273" s="82">
        <v>2.0</v>
      </c>
      <c r="I273" s="82">
        <v>4.0</v>
      </c>
      <c r="J273" s="293">
        <v>20.0</v>
      </c>
      <c r="K273" s="84">
        <f t="shared" ref="K273:K276" si="18">J273/3</f>
        <v>6.666666667</v>
      </c>
      <c r="L273" s="288" t="s">
        <v>590</v>
      </c>
    </row>
    <row r="274" ht="15.0" customHeight="1">
      <c r="A274" s="82" t="s">
        <v>2731</v>
      </c>
      <c r="B274" s="82" t="s">
        <v>2732</v>
      </c>
      <c r="C274" s="82" t="s">
        <v>94</v>
      </c>
      <c r="D274" s="82" t="s">
        <v>6292</v>
      </c>
      <c r="E274" s="79" t="s">
        <v>6293</v>
      </c>
      <c r="F274" s="86" t="s">
        <v>6294</v>
      </c>
      <c r="G274" s="82">
        <v>3.0</v>
      </c>
      <c r="H274" s="82">
        <v>2.0</v>
      </c>
      <c r="I274" s="82">
        <v>4.0</v>
      </c>
      <c r="J274" s="293">
        <v>10.0</v>
      </c>
      <c r="K274" s="84">
        <f t="shared" si="18"/>
        <v>3.333333333</v>
      </c>
      <c r="L274" s="288" t="s">
        <v>590</v>
      </c>
    </row>
    <row r="275" ht="15.0" customHeight="1">
      <c r="A275" s="82" t="s">
        <v>2731</v>
      </c>
      <c r="B275" s="82" t="s">
        <v>2732</v>
      </c>
      <c r="C275" s="82" t="s">
        <v>94</v>
      </c>
      <c r="D275" s="82" t="s">
        <v>6295</v>
      </c>
      <c r="E275" s="79" t="s">
        <v>6296</v>
      </c>
      <c r="F275" s="86" t="s">
        <v>6294</v>
      </c>
      <c r="G275" s="82">
        <v>3.0</v>
      </c>
      <c r="H275" s="82">
        <v>2.0</v>
      </c>
      <c r="I275" s="82">
        <v>4.0</v>
      </c>
      <c r="J275" s="293">
        <v>10.0</v>
      </c>
      <c r="K275" s="84">
        <f t="shared" si="18"/>
        <v>3.333333333</v>
      </c>
      <c r="L275" s="288" t="s">
        <v>590</v>
      </c>
    </row>
    <row r="276" ht="15.0" customHeight="1">
      <c r="A276" s="82" t="s">
        <v>2731</v>
      </c>
      <c r="B276" s="82" t="s">
        <v>2732</v>
      </c>
      <c r="C276" s="82" t="s">
        <v>94</v>
      </c>
      <c r="D276" s="82" t="s">
        <v>6297</v>
      </c>
      <c r="E276" s="79" t="s">
        <v>6298</v>
      </c>
      <c r="F276" s="86" t="s">
        <v>6299</v>
      </c>
      <c r="G276" s="82">
        <v>3.0</v>
      </c>
      <c r="H276" s="82">
        <v>2.0</v>
      </c>
      <c r="I276" s="82">
        <v>4.0</v>
      </c>
      <c r="J276" s="293">
        <v>10.0</v>
      </c>
      <c r="K276" s="84">
        <f t="shared" si="18"/>
        <v>3.333333333</v>
      </c>
      <c r="L276" s="288" t="s">
        <v>590</v>
      </c>
    </row>
    <row r="277" ht="15.0" customHeight="1">
      <c r="A277" s="82" t="s">
        <v>2772</v>
      </c>
      <c r="B277" s="82" t="s">
        <v>2773</v>
      </c>
      <c r="C277" s="82" t="s">
        <v>94</v>
      </c>
      <c r="D277" s="82" t="s">
        <v>6300</v>
      </c>
      <c r="E277" s="79" t="s">
        <v>6301</v>
      </c>
      <c r="F277" s="86" t="s">
        <v>6299</v>
      </c>
      <c r="G277" s="82">
        <v>2.0</v>
      </c>
      <c r="H277" s="82">
        <v>2.0</v>
      </c>
      <c r="I277" s="82">
        <v>2.0</v>
      </c>
      <c r="J277" s="293">
        <v>10.0</v>
      </c>
      <c r="K277" s="84">
        <v>5.0</v>
      </c>
      <c r="L277" s="288" t="s">
        <v>590</v>
      </c>
    </row>
    <row r="278" ht="15.0" customHeight="1">
      <c r="A278" s="82" t="s">
        <v>2747</v>
      </c>
      <c r="B278" s="82" t="s">
        <v>2748</v>
      </c>
      <c r="C278" s="82" t="s">
        <v>94</v>
      </c>
      <c r="D278" s="82" t="s">
        <v>6302</v>
      </c>
      <c r="E278" s="79" t="s">
        <v>6303</v>
      </c>
      <c r="F278" s="86" t="s">
        <v>6304</v>
      </c>
      <c r="G278" s="82">
        <v>7.0</v>
      </c>
      <c r="H278" s="82">
        <v>7.0</v>
      </c>
      <c r="I278" s="82">
        <v>7.0</v>
      </c>
      <c r="J278" s="293">
        <v>20.0</v>
      </c>
      <c r="K278" s="84">
        <v>2.85</v>
      </c>
      <c r="L278" s="288" t="s">
        <v>590</v>
      </c>
    </row>
    <row r="279" ht="15.0" customHeight="1">
      <c r="A279" s="82" t="s">
        <v>2747</v>
      </c>
      <c r="B279" s="82" t="s">
        <v>2748</v>
      </c>
      <c r="C279" s="82" t="s">
        <v>94</v>
      </c>
      <c r="D279" s="82" t="s">
        <v>6305</v>
      </c>
      <c r="E279" s="79" t="s">
        <v>6306</v>
      </c>
      <c r="F279" s="86" t="s">
        <v>6304</v>
      </c>
      <c r="G279" s="82">
        <v>7.0</v>
      </c>
      <c r="H279" s="82">
        <v>7.0</v>
      </c>
      <c r="I279" s="82">
        <v>7.0</v>
      </c>
      <c r="J279" s="293">
        <v>20.0</v>
      </c>
      <c r="K279" s="84">
        <v>2.85</v>
      </c>
      <c r="L279" s="288" t="s">
        <v>590</v>
      </c>
    </row>
    <row r="280" ht="15.0" customHeight="1">
      <c r="A280" s="82" t="s">
        <v>2747</v>
      </c>
      <c r="B280" s="82" t="s">
        <v>2748</v>
      </c>
      <c r="C280" s="82" t="s">
        <v>94</v>
      </c>
      <c r="D280" s="82" t="s">
        <v>6307</v>
      </c>
      <c r="E280" s="79" t="s">
        <v>6308</v>
      </c>
      <c r="F280" s="86" t="s">
        <v>6304</v>
      </c>
      <c r="G280" s="82">
        <v>7.0</v>
      </c>
      <c r="H280" s="82">
        <v>7.0</v>
      </c>
      <c r="I280" s="82">
        <v>7.0</v>
      </c>
      <c r="J280" s="293">
        <v>20.0</v>
      </c>
      <c r="K280" s="84">
        <v>2.85</v>
      </c>
      <c r="L280" s="288" t="s">
        <v>590</v>
      </c>
    </row>
    <row r="281" ht="15.0" customHeight="1">
      <c r="A281" s="82" t="s">
        <v>2747</v>
      </c>
      <c r="B281" s="82" t="s">
        <v>2748</v>
      </c>
      <c r="C281" s="82" t="s">
        <v>94</v>
      </c>
      <c r="D281" s="85" t="s">
        <v>6309</v>
      </c>
      <c r="E281" s="79" t="s">
        <v>6310</v>
      </c>
      <c r="F281" s="86" t="s">
        <v>6299</v>
      </c>
      <c r="G281" s="82">
        <v>7.0</v>
      </c>
      <c r="H281" s="82">
        <v>7.0</v>
      </c>
      <c r="I281" s="82">
        <v>7.0</v>
      </c>
      <c r="J281" s="293">
        <v>10.0</v>
      </c>
      <c r="K281" s="84">
        <v>1.4</v>
      </c>
      <c r="L281" s="288" t="s">
        <v>590</v>
      </c>
    </row>
    <row r="282" ht="15.0" customHeight="1">
      <c r="A282" s="82" t="s">
        <v>2747</v>
      </c>
      <c r="B282" s="82" t="s">
        <v>2748</v>
      </c>
      <c r="C282" s="82" t="s">
        <v>94</v>
      </c>
      <c r="D282" s="82" t="s">
        <v>6311</v>
      </c>
      <c r="E282" s="79" t="s">
        <v>6312</v>
      </c>
      <c r="F282" s="86" t="s">
        <v>6304</v>
      </c>
      <c r="G282" s="82">
        <v>7.0</v>
      </c>
      <c r="H282" s="82">
        <v>7.0</v>
      </c>
      <c r="I282" s="82">
        <v>7.0</v>
      </c>
      <c r="J282" s="293">
        <v>20.0</v>
      </c>
      <c r="K282" s="84">
        <v>2.85</v>
      </c>
      <c r="L282" s="288" t="s">
        <v>590</v>
      </c>
    </row>
    <row r="283" ht="15.0" customHeight="1">
      <c r="A283" s="82" t="s">
        <v>2747</v>
      </c>
      <c r="B283" s="82" t="s">
        <v>2748</v>
      </c>
      <c r="C283" s="82" t="s">
        <v>94</v>
      </c>
      <c r="D283" s="82" t="s">
        <v>6313</v>
      </c>
      <c r="E283" s="79" t="s">
        <v>6314</v>
      </c>
      <c r="F283" s="86" t="s">
        <v>6304</v>
      </c>
      <c r="G283" s="82">
        <v>7.0</v>
      </c>
      <c r="H283" s="82">
        <v>7.0</v>
      </c>
      <c r="I283" s="82">
        <v>7.0</v>
      </c>
      <c r="J283" s="293">
        <v>20.0</v>
      </c>
      <c r="K283" s="84">
        <v>2.85</v>
      </c>
      <c r="L283" s="288" t="s">
        <v>590</v>
      </c>
    </row>
    <row r="284" ht="15.0" customHeight="1">
      <c r="A284" s="82" t="s">
        <v>2747</v>
      </c>
      <c r="B284" s="82" t="s">
        <v>2748</v>
      </c>
      <c r="C284" s="82" t="s">
        <v>94</v>
      </c>
      <c r="D284" s="82" t="s">
        <v>6315</v>
      </c>
      <c r="E284" s="79" t="s">
        <v>6316</v>
      </c>
      <c r="F284" s="86" t="s">
        <v>6299</v>
      </c>
      <c r="G284" s="82">
        <v>7.0</v>
      </c>
      <c r="H284" s="82">
        <v>7.0</v>
      </c>
      <c r="I284" s="82">
        <v>7.0</v>
      </c>
      <c r="J284" s="293">
        <v>10.0</v>
      </c>
      <c r="K284" s="84">
        <v>1.4</v>
      </c>
      <c r="L284" s="288" t="s">
        <v>590</v>
      </c>
    </row>
    <row r="285" ht="15.0" customHeight="1">
      <c r="A285" s="82" t="s">
        <v>2747</v>
      </c>
      <c r="B285" s="82" t="s">
        <v>2748</v>
      </c>
      <c r="C285" s="82" t="s">
        <v>94</v>
      </c>
      <c r="D285" s="82" t="s">
        <v>6317</v>
      </c>
      <c r="E285" s="79" t="s">
        <v>6318</v>
      </c>
      <c r="F285" s="86" t="s">
        <v>6304</v>
      </c>
      <c r="G285" s="82">
        <v>7.0</v>
      </c>
      <c r="H285" s="82">
        <v>7.0</v>
      </c>
      <c r="I285" s="82">
        <v>7.0</v>
      </c>
      <c r="J285" s="293">
        <v>20.0</v>
      </c>
      <c r="K285" s="84">
        <v>2.85</v>
      </c>
      <c r="L285" s="288" t="s">
        <v>590</v>
      </c>
    </row>
    <row r="286" ht="15.0" customHeight="1">
      <c r="A286" s="82" t="s">
        <v>6319</v>
      </c>
      <c r="B286" s="82" t="s">
        <v>6320</v>
      </c>
      <c r="C286" s="82" t="s">
        <v>94</v>
      </c>
      <c r="D286" s="85" t="s">
        <v>6321</v>
      </c>
      <c r="E286" s="79" t="s">
        <v>6322</v>
      </c>
      <c r="F286" s="86" t="s">
        <v>6299</v>
      </c>
      <c r="G286" s="82">
        <v>2.0</v>
      </c>
      <c r="H286" s="82">
        <v>2.0</v>
      </c>
      <c r="I286" s="82">
        <v>2.0</v>
      </c>
      <c r="J286" s="293">
        <v>10.0</v>
      </c>
      <c r="K286" s="84">
        <v>5.0</v>
      </c>
      <c r="L286" s="288" t="s">
        <v>590</v>
      </c>
    </row>
    <row r="287" ht="15.0" customHeight="1">
      <c r="A287" s="82" t="s">
        <v>6323</v>
      </c>
      <c r="B287" s="82" t="s">
        <v>6324</v>
      </c>
      <c r="C287" s="82" t="s">
        <v>94</v>
      </c>
      <c r="D287" s="85" t="s">
        <v>6325</v>
      </c>
      <c r="E287" s="79" t="s">
        <v>6326</v>
      </c>
      <c r="F287" s="86" t="s">
        <v>6299</v>
      </c>
      <c r="G287" s="82">
        <v>4.0</v>
      </c>
      <c r="H287" s="82">
        <v>4.0</v>
      </c>
      <c r="I287" s="82">
        <v>4.0</v>
      </c>
      <c r="J287" s="293">
        <v>10.0</v>
      </c>
      <c r="K287" s="84">
        <v>2.5</v>
      </c>
      <c r="L287" s="288" t="s">
        <v>590</v>
      </c>
    </row>
    <row r="288" ht="15.0" customHeight="1">
      <c r="A288" s="82" t="s">
        <v>2816</v>
      </c>
      <c r="B288" s="82" t="s">
        <v>2817</v>
      </c>
      <c r="C288" s="82" t="s">
        <v>94</v>
      </c>
      <c r="D288" s="85" t="s">
        <v>6327</v>
      </c>
      <c r="E288" s="79" t="s">
        <v>6328</v>
      </c>
      <c r="F288" s="86" t="s">
        <v>6304</v>
      </c>
      <c r="G288" s="82">
        <v>2.0</v>
      </c>
      <c r="H288" s="82">
        <v>2.0</v>
      </c>
      <c r="I288" s="82">
        <v>2.0</v>
      </c>
      <c r="J288" s="293">
        <v>20.0</v>
      </c>
      <c r="K288" s="84">
        <v>10.0</v>
      </c>
      <c r="L288" s="288" t="s">
        <v>590</v>
      </c>
    </row>
    <row r="289" ht="15.0" customHeight="1">
      <c r="A289" s="82" t="s">
        <v>2816</v>
      </c>
      <c r="B289" s="82" t="s">
        <v>2817</v>
      </c>
      <c r="C289" s="82" t="s">
        <v>94</v>
      </c>
      <c r="D289" s="85" t="s">
        <v>6329</v>
      </c>
      <c r="E289" s="79" t="s">
        <v>6328</v>
      </c>
      <c r="F289" s="86" t="s">
        <v>6304</v>
      </c>
      <c r="G289" s="82">
        <v>2.0</v>
      </c>
      <c r="H289" s="82">
        <v>2.0</v>
      </c>
      <c r="I289" s="82">
        <v>2.0</v>
      </c>
      <c r="J289" s="293">
        <v>20.0</v>
      </c>
      <c r="K289" s="84">
        <v>10.0</v>
      </c>
      <c r="L289" s="288" t="s">
        <v>590</v>
      </c>
    </row>
    <row r="290" ht="15.0" customHeight="1">
      <c r="A290" s="82" t="s">
        <v>2816</v>
      </c>
      <c r="B290" s="82" t="s">
        <v>2817</v>
      </c>
      <c r="C290" s="82" t="s">
        <v>94</v>
      </c>
      <c r="D290" s="85" t="s">
        <v>6330</v>
      </c>
      <c r="E290" s="79" t="s">
        <v>6331</v>
      </c>
      <c r="F290" s="86" t="s">
        <v>6304</v>
      </c>
      <c r="G290" s="82">
        <v>2.0</v>
      </c>
      <c r="H290" s="82">
        <v>2.0</v>
      </c>
      <c r="I290" s="82">
        <v>2.0</v>
      </c>
      <c r="J290" s="293">
        <v>20.0</v>
      </c>
      <c r="K290" s="84">
        <v>10.0</v>
      </c>
      <c r="L290" s="288" t="s">
        <v>590</v>
      </c>
    </row>
    <row r="291" ht="15.0" customHeight="1">
      <c r="A291" s="82" t="s">
        <v>2816</v>
      </c>
      <c r="B291" s="82" t="s">
        <v>2817</v>
      </c>
      <c r="C291" s="82" t="s">
        <v>94</v>
      </c>
      <c r="D291" s="85" t="s">
        <v>6332</v>
      </c>
      <c r="E291" s="79" t="s">
        <v>6328</v>
      </c>
      <c r="F291" s="86" t="s">
        <v>6304</v>
      </c>
      <c r="G291" s="82">
        <v>2.0</v>
      </c>
      <c r="H291" s="82">
        <v>2.0</v>
      </c>
      <c r="I291" s="82">
        <v>2.0</v>
      </c>
      <c r="J291" s="293">
        <v>20.0</v>
      </c>
      <c r="K291" s="84">
        <v>10.0</v>
      </c>
      <c r="L291" s="288" t="s">
        <v>590</v>
      </c>
    </row>
    <row r="292" ht="15.0" customHeight="1">
      <c r="A292" s="82" t="s">
        <v>6333</v>
      </c>
      <c r="B292" s="82" t="s">
        <v>6334</v>
      </c>
      <c r="C292" s="82" t="s">
        <v>94</v>
      </c>
      <c r="D292" s="82" t="s">
        <v>6335</v>
      </c>
      <c r="E292" s="79" t="s">
        <v>6336</v>
      </c>
      <c r="F292" s="86" t="s">
        <v>6299</v>
      </c>
      <c r="G292" s="82" t="s">
        <v>6333</v>
      </c>
      <c r="H292" s="82">
        <v>2.0</v>
      </c>
      <c r="I292" s="82">
        <v>2.0</v>
      </c>
      <c r="J292" s="293">
        <v>10.0</v>
      </c>
      <c r="K292" s="84">
        <v>10.0</v>
      </c>
      <c r="L292" s="288" t="s">
        <v>590</v>
      </c>
    </row>
    <row r="293" ht="15.0" customHeight="1">
      <c r="A293" s="82" t="s">
        <v>6337</v>
      </c>
      <c r="B293" s="82" t="s">
        <v>591</v>
      </c>
      <c r="C293" s="82" t="s">
        <v>94</v>
      </c>
      <c r="D293" s="82" t="s">
        <v>6338</v>
      </c>
      <c r="E293" s="79" t="s">
        <v>6339</v>
      </c>
      <c r="F293" s="86" t="s">
        <v>6304</v>
      </c>
      <c r="G293" s="82">
        <v>4.0</v>
      </c>
      <c r="H293" s="82">
        <v>4.0</v>
      </c>
      <c r="I293" s="82">
        <v>4.0</v>
      </c>
      <c r="J293" s="293">
        <v>20.0</v>
      </c>
      <c r="K293" s="84">
        <v>5.0</v>
      </c>
      <c r="L293" s="288" t="s">
        <v>590</v>
      </c>
    </row>
    <row r="294" ht="15.0" customHeight="1">
      <c r="A294" s="82" t="s">
        <v>2761</v>
      </c>
      <c r="B294" s="82" t="s">
        <v>2762</v>
      </c>
      <c r="C294" s="82" t="s">
        <v>94</v>
      </c>
      <c r="D294" s="82" t="s">
        <v>6340</v>
      </c>
      <c r="E294" s="79" t="s">
        <v>6341</v>
      </c>
      <c r="F294" s="86" t="s">
        <v>6304</v>
      </c>
      <c r="G294" s="95">
        <v>5.0</v>
      </c>
      <c r="H294" s="82">
        <v>5.0</v>
      </c>
      <c r="I294" s="82">
        <v>5.0</v>
      </c>
      <c r="J294" s="293">
        <v>20.0</v>
      </c>
      <c r="K294" s="84">
        <v>4.0</v>
      </c>
      <c r="L294" s="288" t="s">
        <v>590</v>
      </c>
    </row>
    <row r="295" ht="15.0" customHeight="1">
      <c r="A295" s="82" t="s">
        <v>6342</v>
      </c>
      <c r="B295" s="82" t="s">
        <v>6343</v>
      </c>
      <c r="C295" s="82" t="s">
        <v>94</v>
      </c>
      <c r="D295" s="82" t="s">
        <v>6344</v>
      </c>
      <c r="E295" s="79" t="s">
        <v>6345</v>
      </c>
      <c r="F295" s="86" t="s">
        <v>6304</v>
      </c>
      <c r="G295" s="82">
        <v>2.0</v>
      </c>
      <c r="H295" s="82">
        <v>2.0</v>
      </c>
      <c r="I295" s="82">
        <v>2.0</v>
      </c>
      <c r="J295" s="293">
        <v>20.0</v>
      </c>
      <c r="K295" s="84">
        <v>10.0</v>
      </c>
      <c r="L295" s="288" t="s">
        <v>590</v>
      </c>
    </row>
    <row r="296" ht="15.0" customHeight="1">
      <c r="A296" s="82" t="s">
        <v>2832</v>
      </c>
      <c r="B296" s="82" t="s">
        <v>2833</v>
      </c>
      <c r="C296" s="82" t="s">
        <v>94</v>
      </c>
      <c r="D296" s="82" t="s">
        <v>6346</v>
      </c>
      <c r="E296" s="79" t="s">
        <v>6347</v>
      </c>
      <c r="F296" s="86" t="s">
        <v>6291</v>
      </c>
      <c r="G296" s="82">
        <v>2.0</v>
      </c>
      <c r="H296" s="82">
        <v>2.0</v>
      </c>
      <c r="I296" s="82">
        <v>2.0</v>
      </c>
      <c r="J296" s="293">
        <v>20.0</v>
      </c>
      <c r="K296" s="84">
        <v>10.0</v>
      </c>
      <c r="L296" s="288" t="s">
        <v>590</v>
      </c>
    </row>
    <row r="297" ht="15.0" customHeight="1">
      <c r="A297" s="82" t="s">
        <v>2832</v>
      </c>
      <c r="B297" s="82" t="s">
        <v>2833</v>
      </c>
      <c r="C297" s="82" t="s">
        <v>94</v>
      </c>
      <c r="D297" s="82" t="s">
        <v>6348</v>
      </c>
      <c r="E297" s="79" t="s">
        <v>6349</v>
      </c>
      <c r="F297" s="86" t="s">
        <v>6299</v>
      </c>
      <c r="G297" s="82">
        <v>2.0</v>
      </c>
      <c r="H297" s="82">
        <v>2.0</v>
      </c>
      <c r="I297" s="82">
        <v>2.0</v>
      </c>
      <c r="J297" s="293">
        <v>10.0</v>
      </c>
      <c r="K297" s="84">
        <v>5.0</v>
      </c>
      <c r="L297" s="288" t="s">
        <v>590</v>
      </c>
    </row>
    <row r="298" ht="15.0" customHeight="1">
      <c r="A298" s="82" t="s">
        <v>2832</v>
      </c>
      <c r="B298" s="82" t="s">
        <v>2833</v>
      </c>
      <c r="C298" s="82" t="s">
        <v>94</v>
      </c>
      <c r="D298" s="82" t="s">
        <v>6350</v>
      </c>
      <c r="E298" s="79" t="s">
        <v>6351</v>
      </c>
      <c r="F298" s="86" t="s">
        <v>6299</v>
      </c>
      <c r="G298" s="82">
        <v>2.0</v>
      </c>
      <c r="H298" s="82">
        <v>2.0</v>
      </c>
      <c r="I298" s="82">
        <v>2.0</v>
      </c>
      <c r="J298" s="293">
        <v>10.0</v>
      </c>
      <c r="K298" s="84">
        <v>5.0</v>
      </c>
      <c r="L298" s="288" t="s">
        <v>590</v>
      </c>
    </row>
    <row r="299" ht="15.0" customHeight="1">
      <c r="A299" s="82" t="s">
        <v>2832</v>
      </c>
      <c r="B299" s="82" t="s">
        <v>2833</v>
      </c>
      <c r="C299" s="82" t="s">
        <v>94</v>
      </c>
      <c r="D299" s="82" t="s">
        <v>6352</v>
      </c>
      <c r="E299" s="79" t="s">
        <v>6351</v>
      </c>
      <c r="F299" s="86" t="s">
        <v>6299</v>
      </c>
      <c r="G299" s="82">
        <v>2.0</v>
      </c>
      <c r="H299" s="82">
        <v>2.0</v>
      </c>
      <c r="I299" s="82">
        <v>2.0</v>
      </c>
      <c r="J299" s="293">
        <v>10.0</v>
      </c>
      <c r="K299" s="84">
        <v>5.0</v>
      </c>
      <c r="L299" s="288" t="s">
        <v>590</v>
      </c>
    </row>
    <row r="300" ht="15.0" customHeight="1">
      <c r="A300" s="82" t="s">
        <v>2832</v>
      </c>
      <c r="B300" s="82" t="s">
        <v>2833</v>
      </c>
      <c r="C300" s="82" t="s">
        <v>94</v>
      </c>
      <c r="D300" s="82" t="s">
        <v>6353</v>
      </c>
      <c r="E300" s="79" t="s">
        <v>6351</v>
      </c>
      <c r="F300" s="86" t="s">
        <v>6299</v>
      </c>
      <c r="G300" s="82">
        <v>2.0</v>
      </c>
      <c r="H300" s="82">
        <v>2.0</v>
      </c>
      <c r="I300" s="82">
        <v>2.0</v>
      </c>
      <c r="J300" s="293">
        <v>10.0</v>
      </c>
      <c r="K300" s="84">
        <v>5.0</v>
      </c>
      <c r="L300" s="288" t="s">
        <v>590</v>
      </c>
    </row>
    <row r="301" ht="15.0" customHeight="1">
      <c r="A301" s="82" t="s">
        <v>2832</v>
      </c>
      <c r="B301" s="82" t="s">
        <v>2833</v>
      </c>
      <c r="C301" s="82" t="s">
        <v>94</v>
      </c>
      <c r="D301" s="82" t="s">
        <v>6354</v>
      </c>
      <c r="E301" s="79" t="s">
        <v>6351</v>
      </c>
      <c r="F301" s="86" t="s">
        <v>6299</v>
      </c>
      <c r="G301" s="82">
        <v>2.0</v>
      </c>
      <c r="H301" s="82">
        <v>2.0</v>
      </c>
      <c r="I301" s="82">
        <v>2.0</v>
      </c>
      <c r="J301" s="293">
        <v>10.0</v>
      </c>
      <c r="K301" s="84">
        <v>5.0</v>
      </c>
      <c r="L301" s="288" t="s">
        <v>590</v>
      </c>
    </row>
    <row r="302" ht="15.0" customHeight="1">
      <c r="A302" s="82" t="s">
        <v>2832</v>
      </c>
      <c r="B302" s="82" t="s">
        <v>2833</v>
      </c>
      <c r="C302" s="82" t="s">
        <v>94</v>
      </c>
      <c r="D302" s="82" t="s">
        <v>6355</v>
      </c>
      <c r="E302" s="79" t="s">
        <v>6351</v>
      </c>
      <c r="F302" s="86" t="s">
        <v>6299</v>
      </c>
      <c r="G302" s="82">
        <v>2.0</v>
      </c>
      <c r="H302" s="82">
        <v>2.0</v>
      </c>
      <c r="I302" s="82">
        <v>2.0</v>
      </c>
      <c r="J302" s="293">
        <v>10.0</v>
      </c>
      <c r="K302" s="84">
        <v>5.0</v>
      </c>
      <c r="L302" s="288" t="s">
        <v>590</v>
      </c>
    </row>
    <row r="303" ht="15.0" customHeight="1">
      <c r="A303" s="82" t="s">
        <v>2832</v>
      </c>
      <c r="B303" s="82" t="s">
        <v>2833</v>
      </c>
      <c r="C303" s="82" t="s">
        <v>94</v>
      </c>
      <c r="D303" s="82" t="s">
        <v>6356</v>
      </c>
      <c r="E303" s="79" t="s">
        <v>6351</v>
      </c>
      <c r="F303" s="86" t="s">
        <v>6299</v>
      </c>
      <c r="G303" s="82">
        <v>2.0</v>
      </c>
      <c r="H303" s="82">
        <v>2.0</v>
      </c>
      <c r="I303" s="82">
        <v>2.0</v>
      </c>
      <c r="J303" s="293">
        <v>10.0</v>
      </c>
      <c r="K303" s="84">
        <v>5.0</v>
      </c>
      <c r="L303" s="288" t="s">
        <v>590</v>
      </c>
    </row>
    <row r="304" ht="15.0" customHeight="1">
      <c r="A304" s="82" t="s">
        <v>2832</v>
      </c>
      <c r="B304" s="82" t="s">
        <v>2833</v>
      </c>
      <c r="C304" s="82" t="s">
        <v>94</v>
      </c>
      <c r="D304" s="82" t="s">
        <v>6357</v>
      </c>
      <c r="E304" s="79" t="s">
        <v>6351</v>
      </c>
      <c r="F304" s="86" t="s">
        <v>6299</v>
      </c>
      <c r="G304" s="82">
        <v>2.0</v>
      </c>
      <c r="H304" s="82">
        <v>2.0</v>
      </c>
      <c r="I304" s="82">
        <v>2.0</v>
      </c>
      <c r="J304" s="293">
        <v>10.0</v>
      </c>
      <c r="K304" s="84">
        <v>5.0</v>
      </c>
      <c r="L304" s="288" t="s">
        <v>590</v>
      </c>
    </row>
    <row r="305" ht="15.0" customHeight="1">
      <c r="A305" s="82" t="s">
        <v>2832</v>
      </c>
      <c r="B305" s="82" t="s">
        <v>2833</v>
      </c>
      <c r="C305" s="82" t="s">
        <v>94</v>
      </c>
      <c r="D305" s="82" t="s">
        <v>6358</v>
      </c>
      <c r="E305" s="79" t="s">
        <v>6359</v>
      </c>
      <c r="F305" s="86" t="s">
        <v>6360</v>
      </c>
      <c r="G305" s="82">
        <v>2.0</v>
      </c>
      <c r="H305" s="82">
        <v>2.0</v>
      </c>
      <c r="I305" s="82">
        <v>2.0</v>
      </c>
      <c r="J305" s="293">
        <v>20.0</v>
      </c>
      <c r="K305" s="84">
        <v>10.0</v>
      </c>
      <c r="L305" s="288" t="s">
        <v>590</v>
      </c>
    </row>
    <row r="306" ht="15.0" customHeight="1">
      <c r="A306" s="82" t="s">
        <v>6361</v>
      </c>
      <c r="B306" s="82" t="s">
        <v>6362</v>
      </c>
      <c r="C306" s="82" t="s">
        <v>94</v>
      </c>
      <c r="D306" s="82" t="s">
        <v>6363</v>
      </c>
      <c r="E306" s="79" t="s">
        <v>6364</v>
      </c>
      <c r="F306" s="86" t="s">
        <v>6299</v>
      </c>
      <c r="G306" s="82">
        <v>2.0</v>
      </c>
      <c r="H306" s="82">
        <v>2.0</v>
      </c>
      <c r="I306" s="82">
        <v>2.0</v>
      </c>
      <c r="J306" s="293">
        <v>20.0</v>
      </c>
      <c r="K306" s="84">
        <v>10.0</v>
      </c>
      <c r="L306" s="288" t="s">
        <v>590</v>
      </c>
    </row>
    <row r="307" ht="15.0" customHeight="1">
      <c r="A307" s="82" t="s">
        <v>6361</v>
      </c>
      <c r="B307" s="82" t="s">
        <v>6362</v>
      </c>
      <c r="C307" s="82" t="s">
        <v>94</v>
      </c>
      <c r="D307" s="82" t="s">
        <v>6365</v>
      </c>
      <c r="E307" s="79" t="s">
        <v>6366</v>
      </c>
      <c r="F307" s="86" t="s">
        <v>6299</v>
      </c>
      <c r="G307" s="82">
        <v>2.0</v>
      </c>
      <c r="H307" s="82">
        <v>2.0</v>
      </c>
      <c r="I307" s="82">
        <v>2.0</v>
      </c>
      <c r="J307" s="293">
        <v>10.0</v>
      </c>
      <c r="K307" s="84">
        <v>5.0</v>
      </c>
      <c r="L307" s="288" t="s">
        <v>590</v>
      </c>
    </row>
    <row r="308" ht="15.0" customHeight="1">
      <c r="A308" s="82" t="s">
        <v>6361</v>
      </c>
      <c r="B308" s="82" t="s">
        <v>6362</v>
      </c>
      <c r="C308" s="82" t="s">
        <v>94</v>
      </c>
      <c r="D308" s="82" t="s">
        <v>6367</v>
      </c>
      <c r="E308" s="79" t="s">
        <v>6368</v>
      </c>
      <c r="F308" s="86" t="s">
        <v>6299</v>
      </c>
      <c r="G308" s="82">
        <v>2.0</v>
      </c>
      <c r="H308" s="82">
        <v>2.0</v>
      </c>
      <c r="I308" s="82">
        <v>2.0</v>
      </c>
      <c r="J308" s="293">
        <v>20.0</v>
      </c>
      <c r="K308" s="84">
        <v>10.0</v>
      </c>
      <c r="L308" s="288" t="s">
        <v>590</v>
      </c>
    </row>
    <row r="309" ht="15.0" customHeight="1">
      <c r="A309" s="82" t="s">
        <v>6369</v>
      </c>
      <c r="B309" s="82" t="s">
        <v>6370</v>
      </c>
      <c r="C309" s="82" t="s">
        <v>94</v>
      </c>
      <c r="D309" s="82" t="s">
        <v>6371</v>
      </c>
      <c r="E309" s="79" t="s">
        <v>6372</v>
      </c>
      <c r="F309" s="86" t="s">
        <v>6373</v>
      </c>
      <c r="G309" s="82">
        <v>4.0</v>
      </c>
      <c r="H309" s="82">
        <v>4.0</v>
      </c>
      <c r="I309" s="82">
        <v>4.0</v>
      </c>
      <c r="J309" s="293">
        <v>20.0</v>
      </c>
      <c r="K309" s="84">
        <v>5.0</v>
      </c>
      <c r="L309" s="288" t="s">
        <v>590</v>
      </c>
    </row>
    <row r="310" ht="15.0" customHeight="1">
      <c r="A310" s="82" t="s">
        <v>6369</v>
      </c>
      <c r="B310" s="82" t="s">
        <v>6374</v>
      </c>
      <c r="C310" s="82" t="s">
        <v>94</v>
      </c>
      <c r="D310" s="82" t="s">
        <v>6375</v>
      </c>
      <c r="E310" s="79" t="s">
        <v>6366</v>
      </c>
      <c r="F310" s="86" t="s">
        <v>6299</v>
      </c>
      <c r="G310" s="82">
        <v>4.0</v>
      </c>
      <c r="H310" s="82">
        <v>4.0</v>
      </c>
      <c r="I310" s="82">
        <v>4.0</v>
      </c>
      <c r="J310" s="293">
        <v>10.0</v>
      </c>
      <c r="K310" s="84">
        <v>2.5</v>
      </c>
      <c r="L310" s="288" t="s">
        <v>590</v>
      </c>
    </row>
    <row r="311" ht="15.0" customHeight="1">
      <c r="A311" s="82" t="s">
        <v>6376</v>
      </c>
      <c r="B311" s="82" t="s">
        <v>3280</v>
      </c>
      <c r="C311" s="82" t="s">
        <v>94</v>
      </c>
      <c r="D311" s="82" t="s">
        <v>6377</v>
      </c>
      <c r="E311" s="79" t="s">
        <v>6378</v>
      </c>
      <c r="F311" s="86" t="s">
        <v>6379</v>
      </c>
      <c r="G311" s="82">
        <v>3.0</v>
      </c>
      <c r="H311" s="82">
        <v>3.0</v>
      </c>
      <c r="I311" s="82">
        <v>3.0</v>
      </c>
      <c r="J311" s="293">
        <v>20.0</v>
      </c>
      <c r="K311" s="84">
        <v>6.67</v>
      </c>
      <c r="L311" s="288" t="s">
        <v>590</v>
      </c>
    </row>
    <row r="312" ht="15.0" customHeight="1">
      <c r="A312" s="82" t="s">
        <v>6376</v>
      </c>
      <c r="B312" s="82" t="s">
        <v>3280</v>
      </c>
      <c r="C312" s="82" t="s">
        <v>94</v>
      </c>
      <c r="D312" s="82" t="s">
        <v>6380</v>
      </c>
      <c r="E312" s="79" t="s">
        <v>6381</v>
      </c>
      <c r="F312" s="86" t="s">
        <v>6299</v>
      </c>
      <c r="G312" s="82">
        <v>3.0</v>
      </c>
      <c r="H312" s="82">
        <v>3.0</v>
      </c>
      <c r="I312" s="82">
        <v>3.0</v>
      </c>
      <c r="J312" s="293">
        <v>10.0</v>
      </c>
      <c r="K312" s="84">
        <v>3.33</v>
      </c>
      <c r="L312" s="288" t="s">
        <v>590</v>
      </c>
    </row>
    <row r="313" ht="15.0" customHeight="1">
      <c r="A313" s="82" t="s">
        <v>2792</v>
      </c>
      <c r="B313" s="82" t="s">
        <v>2793</v>
      </c>
      <c r="C313" s="82" t="s">
        <v>94</v>
      </c>
      <c r="D313" s="82" t="s">
        <v>6382</v>
      </c>
      <c r="E313" s="79" t="s">
        <v>6383</v>
      </c>
      <c r="F313" s="86" t="s">
        <v>6304</v>
      </c>
      <c r="G313" s="82">
        <v>3.0</v>
      </c>
      <c r="H313" s="82">
        <v>3.0</v>
      </c>
      <c r="I313" s="82">
        <v>3.0</v>
      </c>
      <c r="J313" s="293">
        <v>20.0</v>
      </c>
      <c r="K313" s="84">
        <v>6.67</v>
      </c>
      <c r="L313" s="288" t="s">
        <v>590</v>
      </c>
    </row>
    <row r="314" ht="15.0" customHeight="1">
      <c r="A314" s="82" t="s">
        <v>6384</v>
      </c>
      <c r="B314" s="82" t="s">
        <v>6385</v>
      </c>
      <c r="C314" s="82" t="s">
        <v>94</v>
      </c>
      <c r="D314" s="82" t="s">
        <v>6386</v>
      </c>
      <c r="E314" s="79" t="s">
        <v>6387</v>
      </c>
      <c r="F314" s="86" t="s">
        <v>6388</v>
      </c>
      <c r="G314" s="82">
        <v>5.0</v>
      </c>
      <c r="H314" s="82">
        <v>5.0</v>
      </c>
      <c r="I314" s="82">
        <v>5.0</v>
      </c>
      <c r="J314" s="293">
        <v>20.0</v>
      </c>
      <c r="K314" s="84">
        <v>4.0</v>
      </c>
      <c r="L314" s="288" t="s">
        <v>590</v>
      </c>
    </row>
    <row r="315" ht="15.0" customHeight="1">
      <c r="A315" s="82" t="s">
        <v>2724</v>
      </c>
      <c r="B315" s="82" t="s">
        <v>600</v>
      </c>
      <c r="C315" s="82" t="s">
        <v>94</v>
      </c>
      <c r="D315" s="82" t="s">
        <v>6389</v>
      </c>
      <c r="E315" s="79" t="s">
        <v>6390</v>
      </c>
      <c r="F315" s="86" t="s">
        <v>6304</v>
      </c>
      <c r="G315" s="82">
        <v>3.0</v>
      </c>
      <c r="H315" s="82">
        <v>3.0</v>
      </c>
      <c r="I315" s="82">
        <v>3.0</v>
      </c>
      <c r="J315" s="293">
        <v>20.0</v>
      </c>
      <c r="K315" s="84">
        <v>6.67</v>
      </c>
      <c r="L315" s="288" t="s">
        <v>590</v>
      </c>
    </row>
    <row r="316" ht="15.0" customHeight="1">
      <c r="A316" s="82" t="s">
        <v>2724</v>
      </c>
      <c r="B316" s="82" t="s">
        <v>600</v>
      </c>
      <c r="C316" s="82" t="s">
        <v>94</v>
      </c>
      <c r="D316" s="82" t="s">
        <v>6391</v>
      </c>
      <c r="E316" s="79" t="s">
        <v>6390</v>
      </c>
      <c r="F316" s="86" t="s">
        <v>6304</v>
      </c>
      <c r="G316" s="82">
        <v>3.0</v>
      </c>
      <c r="H316" s="82">
        <v>3.0</v>
      </c>
      <c r="I316" s="82">
        <v>3.0</v>
      </c>
      <c r="J316" s="293">
        <v>20.0</v>
      </c>
      <c r="K316" s="84">
        <v>6.67</v>
      </c>
      <c r="L316" s="288" t="s">
        <v>590</v>
      </c>
    </row>
    <row r="317" ht="15.0" customHeight="1">
      <c r="A317" s="82" t="s">
        <v>2724</v>
      </c>
      <c r="B317" s="82" t="s">
        <v>600</v>
      </c>
      <c r="C317" s="82" t="s">
        <v>94</v>
      </c>
      <c r="D317" s="82" t="s">
        <v>6392</v>
      </c>
      <c r="E317" s="79" t="s">
        <v>6390</v>
      </c>
      <c r="F317" s="86" t="s">
        <v>6304</v>
      </c>
      <c r="G317" s="82">
        <v>3.0</v>
      </c>
      <c r="H317" s="82">
        <v>3.0</v>
      </c>
      <c r="I317" s="82">
        <v>3.0</v>
      </c>
      <c r="J317" s="293">
        <v>20.0</v>
      </c>
      <c r="K317" s="84">
        <v>6.67</v>
      </c>
      <c r="L317" s="288" t="s">
        <v>590</v>
      </c>
    </row>
    <row r="318" ht="15.0" customHeight="1">
      <c r="A318" s="82" t="s">
        <v>2724</v>
      </c>
      <c r="B318" s="82" t="s">
        <v>600</v>
      </c>
      <c r="C318" s="82" t="s">
        <v>94</v>
      </c>
      <c r="D318" s="82" t="s">
        <v>6393</v>
      </c>
      <c r="E318" s="79" t="s">
        <v>6390</v>
      </c>
      <c r="F318" s="86" t="s">
        <v>6304</v>
      </c>
      <c r="G318" s="82">
        <v>3.0</v>
      </c>
      <c r="H318" s="82">
        <v>3.0</v>
      </c>
      <c r="I318" s="82">
        <v>3.0</v>
      </c>
      <c r="J318" s="293">
        <v>20.0</v>
      </c>
      <c r="K318" s="84">
        <v>6.67</v>
      </c>
      <c r="L318" s="288" t="s">
        <v>590</v>
      </c>
    </row>
    <row r="319" ht="15.0" customHeight="1">
      <c r="A319" s="78" t="s">
        <v>617</v>
      </c>
      <c r="B319" s="78" t="s">
        <v>600</v>
      </c>
      <c r="C319" s="78" t="s">
        <v>94</v>
      </c>
      <c r="D319" s="82" t="s">
        <v>6394</v>
      </c>
      <c r="E319" s="79" t="s">
        <v>6395</v>
      </c>
      <c r="F319" s="82" t="s">
        <v>5372</v>
      </c>
      <c r="G319" s="83">
        <v>3.0</v>
      </c>
      <c r="H319" s="92">
        <v>3.0</v>
      </c>
      <c r="I319" s="155">
        <v>3.0</v>
      </c>
      <c r="J319" s="155">
        <v>10.0</v>
      </c>
      <c r="K319" s="311">
        <f>J319/H319</f>
        <v>3.333333333</v>
      </c>
      <c r="L319" s="288" t="s">
        <v>616</v>
      </c>
    </row>
    <row r="320" ht="15.0" customHeight="1">
      <c r="A320" s="82" t="s">
        <v>6396</v>
      </c>
      <c r="B320" s="82" t="s">
        <v>6397</v>
      </c>
      <c r="C320" s="148" t="s">
        <v>94</v>
      </c>
      <c r="D320" s="78" t="s">
        <v>6398</v>
      </c>
      <c r="E320" s="159" t="s">
        <v>6399</v>
      </c>
      <c r="F320" s="78" t="s">
        <v>6400</v>
      </c>
      <c r="G320" s="148">
        <v>3.0</v>
      </c>
      <c r="H320" s="148">
        <v>3.0</v>
      </c>
      <c r="I320" s="148">
        <v>3.0</v>
      </c>
      <c r="J320" s="287">
        <v>20.0</v>
      </c>
      <c r="K320" s="287">
        <v>6.66</v>
      </c>
      <c r="L320" s="288" t="s">
        <v>616</v>
      </c>
    </row>
    <row r="321" ht="15.0" customHeight="1">
      <c r="A321" s="82" t="s">
        <v>6401</v>
      </c>
      <c r="B321" s="82" t="s">
        <v>6402</v>
      </c>
      <c r="C321" s="149" t="s">
        <v>94</v>
      </c>
      <c r="D321" s="82" t="s">
        <v>6403</v>
      </c>
      <c r="E321" s="79" t="s">
        <v>6404</v>
      </c>
      <c r="F321" s="78" t="s">
        <v>5372</v>
      </c>
      <c r="G321" s="148">
        <v>2.0</v>
      </c>
      <c r="H321" s="148">
        <v>2.0</v>
      </c>
      <c r="I321" s="148">
        <v>2.0</v>
      </c>
      <c r="J321" s="287">
        <v>20.0</v>
      </c>
      <c r="K321" s="287">
        <v>10.0</v>
      </c>
      <c r="L321" s="288" t="s">
        <v>616</v>
      </c>
    </row>
    <row r="322" ht="15.0" customHeight="1">
      <c r="A322" s="82" t="s">
        <v>2860</v>
      </c>
      <c r="B322" s="82" t="s">
        <v>6405</v>
      </c>
      <c r="C322" s="82" t="s">
        <v>94</v>
      </c>
      <c r="D322" s="82" t="s">
        <v>6406</v>
      </c>
      <c r="E322" s="87" t="s">
        <v>6407</v>
      </c>
      <c r="F322" s="82" t="s">
        <v>6408</v>
      </c>
      <c r="G322" s="82"/>
      <c r="H322" s="82">
        <v>1.0</v>
      </c>
      <c r="I322" s="82">
        <v>1.0</v>
      </c>
      <c r="J322" s="82">
        <v>20.0</v>
      </c>
      <c r="K322" s="82">
        <v>20.0</v>
      </c>
      <c r="L322" s="288" t="s">
        <v>2853</v>
      </c>
    </row>
    <row r="323" ht="15.0" customHeight="1">
      <c r="A323" s="82" t="s">
        <v>2850</v>
      </c>
      <c r="B323" s="82" t="s">
        <v>1898</v>
      </c>
      <c r="C323" s="82" t="s">
        <v>94</v>
      </c>
      <c r="D323" s="82" t="s">
        <v>6409</v>
      </c>
      <c r="E323" s="87" t="s">
        <v>6410</v>
      </c>
      <c r="F323" s="82" t="s">
        <v>5213</v>
      </c>
      <c r="G323" s="83"/>
      <c r="H323" s="82">
        <v>6.0</v>
      </c>
      <c r="I323" s="82">
        <v>6.0</v>
      </c>
      <c r="J323" s="82">
        <v>20.0</v>
      </c>
      <c r="K323" s="82">
        <v>3.33</v>
      </c>
      <c r="L323" s="288" t="s">
        <v>2853</v>
      </c>
    </row>
    <row r="324" ht="15.0" customHeight="1">
      <c r="A324" s="82" t="s">
        <v>2850</v>
      </c>
      <c r="B324" s="82" t="s">
        <v>1898</v>
      </c>
      <c r="C324" s="82" t="s">
        <v>94</v>
      </c>
      <c r="D324" s="82" t="s">
        <v>6411</v>
      </c>
      <c r="E324" s="87" t="s">
        <v>6412</v>
      </c>
      <c r="F324" s="82" t="s">
        <v>5213</v>
      </c>
      <c r="G324" s="83"/>
      <c r="H324" s="82">
        <v>6.0</v>
      </c>
      <c r="I324" s="82">
        <v>6.0</v>
      </c>
      <c r="J324" s="82">
        <v>20.0</v>
      </c>
      <c r="K324" s="82">
        <v>3.33</v>
      </c>
      <c r="L324" s="288" t="s">
        <v>2853</v>
      </c>
    </row>
    <row r="325" ht="15.0" customHeight="1">
      <c r="A325" s="82" t="s">
        <v>2850</v>
      </c>
      <c r="B325" s="82" t="s">
        <v>1898</v>
      </c>
      <c r="C325" s="82" t="s">
        <v>94</v>
      </c>
      <c r="D325" s="85" t="s">
        <v>6413</v>
      </c>
      <c r="E325" s="87" t="s">
        <v>6414</v>
      </c>
      <c r="F325" s="82" t="s">
        <v>5213</v>
      </c>
      <c r="G325" s="83"/>
      <c r="H325" s="82">
        <v>6.0</v>
      </c>
      <c r="I325" s="82">
        <v>6.0</v>
      </c>
      <c r="J325" s="82">
        <v>20.0</v>
      </c>
      <c r="K325" s="82">
        <v>3.33</v>
      </c>
      <c r="L325" s="288" t="s">
        <v>2853</v>
      </c>
    </row>
    <row r="326" ht="15.0" customHeight="1">
      <c r="A326" s="82" t="s">
        <v>2850</v>
      </c>
      <c r="B326" s="82" t="s">
        <v>1898</v>
      </c>
      <c r="C326" s="82" t="s">
        <v>94</v>
      </c>
      <c r="D326" s="85" t="s">
        <v>6415</v>
      </c>
      <c r="E326" s="87" t="s">
        <v>6416</v>
      </c>
      <c r="F326" s="82" t="s">
        <v>5213</v>
      </c>
      <c r="G326" s="83"/>
      <c r="H326" s="82">
        <v>6.0</v>
      </c>
      <c r="I326" s="82">
        <v>6.0</v>
      </c>
      <c r="J326" s="82">
        <v>20.0</v>
      </c>
      <c r="K326" s="82">
        <v>3.33</v>
      </c>
      <c r="L326" s="288" t="s">
        <v>2853</v>
      </c>
    </row>
    <row r="327" ht="15.0" customHeight="1">
      <c r="A327" s="82" t="s">
        <v>2850</v>
      </c>
      <c r="B327" s="82" t="s">
        <v>1898</v>
      </c>
      <c r="C327" s="82" t="s">
        <v>94</v>
      </c>
      <c r="D327" s="85" t="s">
        <v>6417</v>
      </c>
      <c r="E327" s="87" t="s">
        <v>6418</v>
      </c>
      <c r="F327" s="85" t="s">
        <v>5234</v>
      </c>
      <c r="G327" s="98"/>
      <c r="H327" s="82">
        <v>6.0</v>
      </c>
      <c r="I327" s="82">
        <v>6.0</v>
      </c>
      <c r="J327" s="82">
        <v>20.0</v>
      </c>
      <c r="K327" s="82">
        <v>3.33</v>
      </c>
      <c r="L327" s="288" t="s">
        <v>2853</v>
      </c>
    </row>
    <row r="328" ht="15.0" customHeight="1">
      <c r="A328" s="82" t="s">
        <v>2850</v>
      </c>
      <c r="B328" s="82" t="s">
        <v>1898</v>
      </c>
      <c r="C328" s="82" t="s">
        <v>94</v>
      </c>
      <c r="D328" s="82" t="s">
        <v>6419</v>
      </c>
      <c r="E328" s="87" t="s">
        <v>6420</v>
      </c>
      <c r="F328" s="85" t="s">
        <v>6421</v>
      </c>
      <c r="G328" s="98"/>
      <c r="H328" s="82">
        <v>6.0</v>
      </c>
      <c r="I328" s="82">
        <v>6.0</v>
      </c>
      <c r="J328" s="82">
        <v>20.0</v>
      </c>
      <c r="K328" s="82">
        <v>3.33</v>
      </c>
      <c r="L328" s="288" t="s">
        <v>2853</v>
      </c>
    </row>
    <row r="329" ht="15.0" customHeight="1">
      <c r="A329" s="82" t="s">
        <v>2874</v>
      </c>
      <c r="B329" s="82" t="s">
        <v>2875</v>
      </c>
      <c r="C329" s="85" t="s">
        <v>94</v>
      </c>
      <c r="D329" s="87" t="s">
        <v>6422</v>
      </c>
      <c r="E329" s="87" t="s">
        <v>6423</v>
      </c>
      <c r="F329" s="85" t="s">
        <v>5234</v>
      </c>
      <c r="G329" s="98"/>
      <c r="H329" s="82">
        <v>2.0</v>
      </c>
      <c r="I329" s="82">
        <v>2.0</v>
      </c>
      <c r="J329" s="82">
        <v>20.0</v>
      </c>
      <c r="K329" s="82">
        <v>10.0</v>
      </c>
      <c r="L329" s="288" t="s">
        <v>2853</v>
      </c>
    </row>
    <row r="330" ht="15.0" customHeight="1">
      <c r="A330" s="82" t="s">
        <v>2874</v>
      </c>
      <c r="B330" s="82" t="s">
        <v>2875</v>
      </c>
      <c r="C330" s="85" t="s">
        <v>94</v>
      </c>
      <c r="D330" s="312" t="s">
        <v>6424</v>
      </c>
      <c r="E330" s="87" t="s">
        <v>6425</v>
      </c>
      <c r="F330" s="85" t="s">
        <v>1184</v>
      </c>
      <c r="G330" s="98"/>
      <c r="H330" s="82">
        <v>2.0</v>
      </c>
      <c r="I330" s="82">
        <v>2.0</v>
      </c>
      <c r="J330" s="82">
        <v>20.0</v>
      </c>
      <c r="K330" s="82">
        <v>10.0</v>
      </c>
      <c r="L330" s="288" t="s">
        <v>2853</v>
      </c>
    </row>
    <row r="331" ht="15.0" customHeight="1">
      <c r="A331" s="82" t="s">
        <v>2874</v>
      </c>
      <c r="B331" s="82" t="s">
        <v>2875</v>
      </c>
      <c r="C331" s="85" t="s">
        <v>94</v>
      </c>
      <c r="D331" s="85" t="s">
        <v>6426</v>
      </c>
      <c r="E331" s="87" t="s">
        <v>6427</v>
      </c>
      <c r="F331" s="85" t="s">
        <v>6421</v>
      </c>
      <c r="G331" s="98"/>
      <c r="H331" s="82">
        <v>2.0</v>
      </c>
      <c r="I331" s="82">
        <v>2.0</v>
      </c>
      <c r="J331" s="82">
        <v>10.0</v>
      </c>
      <c r="K331" s="82">
        <v>5.0</v>
      </c>
      <c r="L331" s="288" t="s">
        <v>2853</v>
      </c>
    </row>
    <row r="332" ht="15.0" customHeight="1">
      <c r="A332" s="78" t="s">
        <v>2712</v>
      </c>
      <c r="B332" s="82" t="s">
        <v>2713</v>
      </c>
      <c r="C332" s="82" t="s">
        <v>94</v>
      </c>
      <c r="D332" s="82" t="s">
        <v>6428</v>
      </c>
      <c r="E332" s="95" t="s">
        <v>6429</v>
      </c>
      <c r="F332" s="86" t="s">
        <v>6430</v>
      </c>
      <c r="G332" s="82">
        <v>3.0</v>
      </c>
      <c r="H332" s="82">
        <v>3.0</v>
      </c>
      <c r="I332" s="82">
        <v>3.0</v>
      </c>
      <c r="J332" s="293">
        <v>20.0</v>
      </c>
      <c r="K332" s="84">
        <f t="shared" ref="K332:K349" si="19">J332/G332</f>
        <v>6.666666667</v>
      </c>
      <c r="L332" s="288" t="s">
        <v>626</v>
      </c>
    </row>
    <row r="333" ht="15.0" customHeight="1">
      <c r="A333" s="78" t="s">
        <v>2712</v>
      </c>
      <c r="B333" s="82" t="s">
        <v>2713</v>
      </c>
      <c r="C333" s="82" t="s">
        <v>94</v>
      </c>
      <c r="D333" s="82" t="s">
        <v>6431</v>
      </c>
      <c r="E333" s="82" t="s">
        <v>6432</v>
      </c>
      <c r="F333" s="86" t="s">
        <v>6433</v>
      </c>
      <c r="G333" s="82">
        <v>3.0</v>
      </c>
      <c r="H333" s="82">
        <v>3.0</v>
      </c>
      <c r="I333" s="82">
        <v>3.0</v>
      </c>
      <c r="J333" s="293">
        <v>20.0</v>
      </c>
      <c r="K333" s="84">
        <f t="shared" si="19"/>
        <v>6.666666667</v>
      </c>
      <c r="L333" s="288" t="s">
        <v>626</v>
      </c>
    </row>
    <row r="334" ht="15.0" customHeight="1">
      <c r="A334" s="78" t="s">
        <v>2712</v>
      </c>
      <c r="B334" s="82" t="s">
        <v>2713</v>
      </c>
      <c r="C334" s="82" t="s">
        <v>94</v>
      </c>
      <c r="D334" s="82" t="s">
        <v>6434</v>
      </c>
      <c r="E334" s="82" t="s">
        <v>6277</v>
      </c>
      <c r="F334" s="86" t="s">
        <v>6435</v>
      </c>
      <c r="G334" s="82">
        <v>3.0</v>
      </c>
      <c r="H334" s="82">
        <v>3.0</v>
      </c>
      <c r="I334" s="82">
        <v>3.0</v>
      </c>
      <c r="J334" s="293">
        <v>20.0</v>
      </c>
      <c r="K334" s="84">
        <f t="shared" si="19"/>
        <v>6.666666667</v>
      </c>
      <c r="L334" s="288" t="s">
        <v>626</v>
      </c>
    </row>
    <row r="335" ht="15.0" customHeight="1">
      <c r="A335" s="78" t="s">
        <v>2712</v>
      </c>
      <c r="B335" s="82" t="s">
        <v>2713</v>
      </c>
      <c r="C335" s="82" t="s">
        <v>94</v>
      </c>
      <c r="D335" s="82" t="s">
        <v>6436</v>
      </c>
      <c r="E335" s="79" t="s">
        <v>6437</v>
      </c>
      <c r="F335" s="170" t="s">
        <v>6438</v>
      </c>
      <c r="G335" s="82">
        <v>3.0</v>
      </c>
      <c r="H335" s="82">
        <v>3.0</v>
      </c>
      <c r="I335" s="82">
        <v>3.0</v>
      </c>
      <c r="J335" s="293">
        <v>20.0</v>
      </c>
      <c r="K335" s="84">
        <f t="shared" si="19"/>
        <v>6.666666667</v>
      </c>
      <c r="L335" s="288" t="s">
        <v>626</v>
      </c>
    </row>
    <row r="336" ht="15.0" customHeight="1">
      <c r="A336" s="78" t="s">
        <v>2712</v>
      </c>
      <c r="B336" s="82" t="s">
        <v>2713</v>
      </c>
      <c r="C336" s="82" t="s">
        <v>94</v>
      </c>
      <c r="D336" s="82" t="s">
        <v>6439</v>
      </c>
      <c r="E336" s="82" t="s">
        <v>6440</v>
      </c>
      <c r="F336" s="86" t="s">
        <v>6441</v>
      </c>
      <c r="G336" s="82">
        <v>3.0</v>
      </c>
      <c r="H336" s="82">
        <v>3.0</v>
      </c>
      <c r="I336" s="82">
        <v>3.0</v>
      </c>
      <c r="J336" s="293">
        <v>10.0</v>
      </c>
      <c r="K336" s="84">
        <f t="shared" si="19"/>
        <v>3.333333333</v>
      </c>
      <c r="L336" s="288" t="s">
        <v>626</v>
      </c>
    </row>
    <row r="337" ht="15.0" customHeight="1">
      <c r="A337" s="78" t="s">
        <v>2712</v>
      </c>
      <c r="B337" s="82" t="s">
        <v>2713</v>
      </c>
      <c r="C337" s="82" t="s">
        <v>94</v>
      </c>
      <c r="D337" s="82" t="s">
        <v>6442</v>
      </c>
      <c r="E337" s="82" t="s">
        <v>6443</v>
      </c>
      <c r="F337" s="86" t="s">
        <v>6444</v>
      </c>
      <c r="G337" s="82">
        <v>3.0</v>
      </c>
      <c r="H337" s="82">
        <v>3.0</v>
      </c>
      <c r="I337" s="82">
        <v>3.0</v>
      </c>
      <c r="J337" s="293">
        <v>10.0</v>
      </c>
      <c r="K337" s="84">
        <f t="shared" si="19"/>
        <v>3.333333333</v>
      </c>
      <c r="L337" s="288" t="s">
        <v>626</v>
      </c>
    </row>
    <row r="338" ht="15.0" customHeight="1">
      <c r="A338" s="82" t="s">
        <v>2731</v>
      </c>
      <c r="B338" s="82" t="s">
        <v>2732</v>
      </c>
      <c r="C338" s="82" t="s">
        <v>94</v>
      </c>
      <c r="D338" s="82" t="s">
        <v>6445</v>
      </c>
      <c r="E338" s="87" t="s">
        <v>6446</v>
      </c>
      <c r="F338" s="86" t="s">
        <v>6430</v>
      </c>
      <c r="G338" s="82">
        <v>3.0</v>
      </c>
      <c r="H338" s="82">
        <v>3.0</v>
      </c>
      <c r="I338" s="82">
        <v>3.0</v>
      </c>
      <c r="J338" s="293">
        <v>20.0</v>
      </c>
      <c r="K338" s="84">
        <f t="shared" si="19"/>
        <v>6.666666667</v>
      </c>
      <c r="L338" s="288" t="s">
        <v>626</v>
      </c>
    </row>
    <row r="339" ht="15.0" customHeight="1">
      <c r="A339" s="82" t="s">
        <v>2731</v>
      </c>
      <c r="B339" s="82" t="s">
        <v>2732</v>
      </c>
      <c r="C339" s="82" t="s">
        <v>94</v>
      </c>
      <c r="D339" s="82" t="s">
        <v>6447</v>
      </c>
      <c r="E339" s="87" t="s">
        <v>6448</v>
      </c>
      <c r="F339" s="86" t="s">
        <v>6449</v>
      </c>
      <c r="G339" s="82">
        <v>3.0</v>
      </c>
      <c r="H339" s="82">
        <v>3.0</v>
      </c>
      <c r="I339" s="82">
        <v>3.0</v>
      </c>
      <c r="J339" s="293">
        <v>20.0</v>
      </c>
      <c r="K339" s="84">
        <f t="shared" si="19"/>
        <v>6.666666667</v>
      </c>
      <c r="L339" s="288" t="s">
        <v>626</v>
      </c>
    </row>
    <row r="340" ht="15.0" customHeight="1">
      <c r="A340" s="82" t="s">
        <v>2731</v>
      </c>
      <c r="B340" s="82" t="s">
        <v>2732</v>
      </c>
      <c r="C340" s="82" t="s">
        <v>94</v>
      </c>
      <c r="D340" s="82" t="s">
        <v>6450</v>
      </c>
      <c r="E340" s="87" t="s">
        <v>6293</v>
      </c>
      <c r="F340" s="86" t="s">
        <v>6444</v>
      </c>
      <c r="G340" s="82">
        <v>3.0</v>
      </c>
      <c r="H340" s="82">
        <v>3.0</v>
      </c>
      <c r="I340" s="82">
        <v>3.0</v>
      </c>
      <c r="J340" s="293">
        <v>10.0</v>
      </c>
      <c r="K340" s="84">
        <f t="shared" si="19"/>
        <v>3.333333333</v>
      </c>
      <c r="L340" s="288" t="s">
        <v>626</v>
      </c>
    </row>
    <row r="341" ht="15.0" customHeight="1">
      <c r="A341" s="82" t="s">
        <v>2731</v>
      </c>
      <c r="B341" s="82" t="s">
        <v>2732</v>
      </c>
      <c r="C341" s="82" t="s">
        <v>94</v>
      </c>
      <c r="D341" s="82" t="s">
        <v>6451</v>
      </c>
      <c r="E341" s="87" t="s">
        <v>6296</v>
      </c>
      <c r="F341" s="86" t="s">
        <v>6452</v>
      </c>
      <c r="G341" s="82">
        <v>3.0</v>
      </c>
      <c r="H341" s="82">
        <v>3.0</v>
      </c>
      <c r="I341" s="82">
        <v>3.0</v>
      </c>
      <c r="J341" s="293">
        <v>20.0</v>
      </c>
      <c r="K341" s="84">
        <f t="shared" si="19"/>
        <v>6.666666667</v>
      </c>
      <c r="L341" s="288" t="s">
        <v>626</v>
      </c>
    </row>
    <row r="342" ht="15.0" customHeight="1">
      <c r="A342" s="78" t="s">
        <v>2737</v>
      </c>
      <c r="B342" s="82" t="s">
        <v>2738</v>
      </c>
      <c r="C342" s="82" t="s">
        <v>94</v>
      </c>
      <c r="D342" s="82" t="s">
        <v>6453</v>
      </c>
      <c r="E342" s="82" t="s">
        <v>6454</v>
      </c>
      <c r="F342" s="86" t="s">
        <v>6455</v>
      </c>
      <c r="G342" s="82">
        <v>7.0</v>
      </c>
      <c r="H342" s="82">
        <v>7.0</v>
      </c>
      <c r="I342" s="82">
        <v>7.0</v>
      </c>
      <c r="J342" s="293">
        <v>20.0</v>
      </c>
      <c r="K342" s="84">
        <f t="shared" si="19"/>
        <v>2.857142857</v>
      </c>
      <c r="L342" s="288" t="s">
        <v>626</v>
      </c>
    </row>
    <row r="343" ht="15.0" customHeight="1">
      <c r="A343" s="78" t="s">
        <v>2737</v>
      </c>
      <c r="B343" s="82" t="s">
        <v>2738</v>
      </c>
      <c r="C343" s="82" t="s">
        <v>94</v>
      </c>
      <c r="D343" s="82" t="s">
        <v>6456</v>
      </c>
      <c r="E343" s="87" t="s">
        <v>6457</v>
      </c>
      <c r="F343" s="86" t="s">
        <v>6458</v>
      </c>
      <c r="G343" s="82">
        <v>7.0</v>
      </c>
      <c r="H343" s="82">
        <v>7.0</v>
      </c>
      <c r="I343" s="82">
        <v>7.0</v>
      </c>
      <c r="J343" s="293">
        <v>20.0</v>
      </c>
      <c r="K343" s="84">
        <f t="shared" si="19"/>
        <v>2.857142857</v>
      </c>
      <c r="L343" s="288" t="s">
        <v>626</v>
      </c>
    </row>
    <row r="344" ht="15.0" customHeight="1">
      <c r="A344" s="82" t="s">
        <v>6459</v>
      </c>
      <c r="B344" s="82" t="s">
        <v>2893</v>
      </c>
      <c r="C344" s="82" t="s">
        <v>94</v>
      </c>
      <c r="D344" s="82" t="s">
        <v>6460</v>
      </c>
      <c r="E344" s="82" t="s">
        <v>6461</v>
      </c>
      <c r="F344" s="86" t="s">
        <v>6462</v>
      </c>
      <c r="G344" s="82">
        <v>4.0</v>
      </c>
      <c r="H344" s="82">
        <v>4.0</v>
      </c>
      <c r="I344" s="82">
        <v>4.0</v>
      </c>
      <c r="J344" s="293">
        <v>20.0</v>
      </c>
      <c r="K344" s="84">
        <f t="shared" si="19"/>
        <v>5</v>
      </c>
      <c r="L344" s="288" t="s">
        <v>626</v>
      </c>
    </row>
    <row r="345" ht="15.0" customHeight="1">
      <c r="A345" s="82" t="s">
        <v>6459</v>
      </c>
      <c r="B345" s="82" t="s">
        <v>2893</v>
      </c>
      <c r="C345" s="82" t="s">
        <v>94</v>
      </c>
      <c r="D345" s="82" t="s">
        <v>6463</v>
      </c>
      <c r="E345" s="87" t="s">
        <v>6464</v>
      </c>
      <c r="F345" s="87" t="s">
        <v>6464</v>
      </c>
      <c r="G345" s="82">
        <v>4.0</v>
      </c>
      <c r="H345" s="82">
        <v>4.0</v>
      </c>
      <c r="I345" s="82">
        <v>4.0</v>
      </c>
      <c r="J345" s="293">
        <v>10.0</v>
      </c>
      <c r="K345" s="84">
        <f t="shared" si="19"/>
        <v>2.5</v>
      </c>
      <c r="L345" s="288" t="s">
        <v>626</v>
      </c>
    </row>
    <row r="346" ht="15.0" customHeight="1">
      <c r="A346" s="78" t="s">
        <v>6465</v>
      </c>
      <c r="B346" s="82" t="s">
        <v>6466</v>
      </c>
      <c r="C346" s="82" t="s">
        <v>94</v>
      </c>
      <c r="D346" s="82" t="s">
        <v>6467</v>
      </c>
      <c r="E346" s="87" t="s">
        <v>6468</v>
      </c>
      <c r="F346" s="170" t="s">
        <v>6469</v>
      </c>
      <c r="G346" s="82">
        <v>2.0</v>
      </c>
      <c r="H346" s="82">
        <v>3.0</v>
      </c>
      <c r="I346" s="82">
        <v>2.0</v>
      </c>
      <c r="J346" s="293">
        <v>20.0</v>
      </c>
      <c r="K346" s="84">
        <f t="shared" si="19"/>
        <v>10</v>
      </c>
      <c r="L346" s="288" t="s">
        <v>626</v>
      </c>
    </row>
    <row r="347" ht="15.0" customHeight="1">
      <c r="A347" s="82" t="s">
        <v>6470</v>
      </c>
      <c r="B347" s="82" t="s">
        <v>591</v>
      </c>
      <c r="C347" s="82" t="s">
        <v>94</v>
      </c>
      <c r="D347" s="82" t="s">
        <v>6471</v>
      </c>
      <c r="E347" s="95" t="s">
        <v>6472</v>
      </c>
      <c r="F347" s="170" t="s">
        <v>6473</v>
      </c>
      <c r="G347" s="82">
        <v>4.0</v>
      </c>
      <c r="H347" s="82">
        <v>4.0</v>
      </c>
      <c r="I347" s="82">
        <v>4.0</v>
      </c>
      <c r="J347" s="293">
        <v>20.0</v>
      </c>
      <c r="K347" s="84">
        <f t="shared" si="19"/>
        <v>5</v>
      </c>
      <c r="L347" s="288" t="s">
        <v>626</v>
      </c>
    </row>
    <row r="348" ht="15.0" customHeight="1">
      <c r="A348" s="82" t="s">
        <v>6470</v>
      </c>
      <c r="B348" s="82" t="s">
        <v>591</v>
      </c>
      <c r="C348" s="82" t="s">
        <v>94</v>
      </c>
      <c r="D348" s="82" t="s">
        <v>6474</v>
      </c>
      <c r="E348" s="87" t="s">
        <v>6475</v>
      </c>
      <c r="F348" s="170" t="s">
        <v>6473</v>
      </c>
      <c r="G348" s="82">
        <v>4.0</v>
      </c>
      <c r="H348" s="82">
        <v>4.0</v>
      </c>
      <c r="I348" s="82">
        <v>4.0</v>
      </c>
      <c r="J348" s="293">
        <v>20.0</v>
      </c>
      <c r="K348" s="84">
        <f t="shared" si="19"/>
        <v>5</v>
      </c>
      <c r="L348" s="288" t="s">
        <v>626</v>
      </c>
    </row>
    <row r="349" ht="15.0" customHeight="1">
      <c r="A349" s="82" t="s">
        <v>5026</v>
      </c>
      <c r="B349" s="82" t="s">
        <v>6476</v>
      </c>
      <c r="C349" s="82" t="s">
        <v>94</v>
      </c>
      <c r="D349" s="82" t="s">
        <v>5028</v>
      </c>
      <c r="E349" s="87" t="s">
        <v>5029</v>
      </c>
      <c r="F349" s="313"/>
      <c r="G349" s="82">
        <v>3.0</v>
      </c>
      <c r="H349" s="82">
        <v>2.0</v>
      </c>
      <c r="I349" s="82">
        <v>4.0</v>
      </c>
      <c r="J349" s="293">
        <v>20.0</v>
      </c>
      <c r="K349" s="84">
        <f t="shared" si="19"/>
        <v>6.666666667</v>
      </c>
      <c r="L349" s="288" t="s">
        <v>646</v>
      </c>
    </row>
    <row r="350" ht="15.0" customHeight="1">
      <c r="A350" s="82" t="s">
        <v>6477</v>
      </c>
      <c r="B350" s="82" t="s">
        <v>6478</v>
      </c>
      <c r="C350" s="82" t="s">
        <v>94</v>
      </c>
      <c r="D350" s="82" t="s">
        <v>6479</v>
      </c>
      <c r="E350" s="79" t="s">
        <v>6480</v>
      </c>
      <c r="F350" s="82" t="s">
        <v>6481</v>
      </c>
      <c r="G350" s="82">
        <v>2.0</v>
      </c>
      <c r="H350" s="82">
        <v>2.0</v>
      </c>
      <c r="I350" s="291">
        <v>2.0</v>
      </c>
      <c r="J350" s="291">
        <v>10.0</v>
      </c>
      <c r="K350" s="291">
        <v>5.0</v>
      </c>
      <c r="L350" s="288" t="s">
        <v>655</v>
      </c>
    </row>
    <row r="351" ht="15.0" customHeight="1">
      <c r="A351" s="82" t="s">
        <v>6477</v>
      </c>
      <c r="B351" s="82" t="s">
        <v>6478</v>
      </c>
      <c r="C351" s="82" t="s">
        <v>94</v>
      </c>
      <c r="D351" s="78" t="s">
        <v>6482</v>
      </c>
      <c r="E351" s="80" t="s">
        <v>6483</v>
      </c>
      <c r="F351" s="78" t="s">
        <v>6484</v>
      </c>
      <c r="G351" s="99">
        <v>2.0</v>
      </c>
      <c r="H351" s="82">
        <v>2.0</v>
      </c>
      <c r="I351" s="291">
        <v>2.0</v>
      </c>
      <c r="J351" s="291">
        <v>10.0</v>
      </c>
      <c r="K351" s="82">
        <v>5.0</v>
      </c>
      <c r="L351" s="288" t="s">
        <v>655</v>
      </c>
    </row>
    <row r="352" ht="15.0" customHeight="1">
      <c r="A352" s="85" t="s">
        <v>6485</v>
      </c>
      <c r="B352" s="85" t="s">
        <v>6486</v>
      </c>
      <c r="C352" s="85" t="s">
        <v>94</v>
      </c>
      <c r="D352" s="82" t="s">
        <v>6487</v>
      </c>
      <c r="E352" s="79" t="s">
        <v>6488</v>
      </c>
      <c r="F352" s="82" t="s">
        <v>6489</v>
      </c>
      <c r="G352" s="83">
        <v>3.0</v>
      </c>
      <c r="H352" s="92">
        <v>2.0</v>
      </c>
      <c r="I352" s="82">
        <v>3.0</v>
      </c>
      <c r="J352" s="82">
        <v>10.0</v>
      </c>
      <c r="K352" s="82">
        <v>3.33</v>
      </c>
      <c r="L352" s="288" t="s">
        <v>655</v>
      </c>
    </row>
    <row r="353" ht="15.0" customHeight="1">
      <c r="A353" s="85" t="s">
        <v>6490</v>
      </c>
      <c r="B353" s="85" t="s">
        <v>647</v>
      </c>
      <c r="C353" s="85" t="s">
        <v>94</v>
      </c>
      <c r="D353" s="82" t="s">
        <v>6491</v>
      </c>
      <c r="E353" s="79" t="s">
        <v>6492</v>
      </c>
      <c r="F353" s="82" t="s">
        <v>6484</v>
      </c>
      <c r="G353" s="83">
        <v>6.0</v>
      </c>
      <c r="H353" s="92">
        <v>2.0</v>
      </c>
      <c r="I353" s="82">
        <v>6.0</v>
      </c>
      <c r="J353" s="82">
        <v>10.0</v>
      </c>
      <c r="K353" s="82">
        <v>1.66</v>
      </c>
      <c r="L353" s="288" t="s">
        <v>655</v>
      </c>
    </row>
    <row r="354" ht="15.0" customHeight="1">
      <c r="A354" s="85" t="s">
        <v>6490</v>
      </c>
      <c r="B354" s="85" t="s">
        <v>647</v>
      </c>
      <c r="C354" s="85" t="s">
        <v>94</v>
      </c>
      <c r="D354" s="82" t="s">
        <v>6493</v>
      </c>
      <c r="E354" s="79" t="s">
        <v>6494</v>
      </c>
      <c r="F354" s="82" t="s">
        <v>6484</v>
      </c>
      <c r="G354" s="83">
        <v>6.0</v>
      </c>
      <c r="H354" s="92">
        <v>2.0</v>
      </c>
      <c r="I354" s="82">
        <v>6.0</v>
      </c>
      <c r="J354" s="82">
        <v>10.0</v>
      </c>
      <c r="K354" s="82">
        <v>1.66</v>
      </c>
      <c r="L354" s="288" t="s">
        <v>655</v>
      </c>
    </row>
    <row r="355" ht="15.0" customHeight="1">
      <c r="A355" s="82" t="s">
        <v>6495</v>
      </c>
      <c r="B355" s="82" t="s">
        <v>6496</v>
      </c>
      <c r="C355" s="82" t="s">
        <v>94</v>
      </c>
      <c r="D355" s="82" t="s">
        <v>6497</v>
      </c>
      <c r="E355" s="79" t="s">
        <v>6498</v>
      </c>
      <c r="F355" s="82" t="s">
        <v>6484</v>
      </c>
      <c r="G355" s="83">
        <v>3.0</v>
      </c>
      <c r="H355" s="92">
        <v>2.0</v>
      </c>
      <c r="I355" s="82">
        <v>3.0</v>
      </c>
      <c r="J355" s="82">
        <v>10.0</v>
      </c>
      <c r="K355" s="82">
        <v>3.33</v>
      </c>
      <c r="L355" s="288" t="s">
        <v>655</v>
      </c>
    </row>
    <row r="356" ht="15.0" customHeight="1">
      <c r="A356" s="85" t="s">
        <v>6499</v>
      </c>
      <c r="B356" s="85" t="s">
        <v>6500</v>
      </c>
      <c r="C356" s="85" t="s">
        <v>94</v>
      </c>
      <c r="D356" s="85" t="s">
        <v>6501</v>
      </c>
      <c r="E356" s="79" t="s">
        <v>6502</v>
      </c>
      <c r="F356" s="85" t="s">
        <v>6484</v>
      </c>
      <c r="G356" s="98">
        <v>1.0</v>
      </c>
      <c r="H356" s="91">
        <v>1.0</v>
      </c>
      <c r="I356" s="82">
        <v>2.0</v>
      </c>
      <c r="J356" s="82">
        <v>10.0</v>
      </c>
      <c r="K356" s="82">
        <v>10.0</v>
      </c>
      <c r="L356" s="288" t="s">
        <v>655</v>
      </c>
    </row>
    <row r="357" ht="15.0" customHeight="1">
      <c r="A357" s="85" t="s">
        <v>6499</v>
      </c>
      <c r="B357" s="85" t="s">
        <v>6503</v>
      </c>
      <c r="C357" s="85" t="s">
        <v>94</v>
      </c>
      <c r="D357" s="85" t="s">
        <v>6504</v>
      </c>
      <c r="E357" s="79" t="s">
        <v>6505</v>
      </c>
      <c r="F357" s="85" t="s">
        <v>6506</v>
      </c>
      <c r="G357" s="98">
        <v>1.0</v>
      </c>
      <c r="H357" s="91">
        <v>1.0</v>
      </c>
      <c r="I357" s="82">
        <v>2.0</v>
      </c>
      <c r="J357" s="82">
        <v>10.0</v>
      </c>
      <c r="K357" s="82">
        <v>10.0</v>
      </c>
      <c r="L357" s="288" t="s">
        <v>655</v>
      </c>
    </row>
    <row r="358" ht="15.0" customHeight="1">
      <c r="A358" s="78" t="s">
        <v>6507</v>
      </c>
      <c r="B358" s="82" t="s">
        <v>6508</v>
      </c>
      <c r="C358" s="82" t="s">
        <v>94</v>
      </c>
      <c r="D358" s="82" t="s">
        <v>6509</v>
      </c>
      <c r="E358" s="95" t="s">
        <v>6510</v>
      </c>
      <c r="F358" s="82" t="s">
        <v>5372</v>
      </c>
      <c r="G358" s="82">
        <v>1.0</v>
      </c>
      <c r="H358" s="82">
        <v>1.0</v>
      </c>
      <c r="I358" s="82">
        <v>2.0</v>
      </c>
      <c r="J358" s="82">
        <v>20.0</v>
      </c>
      <c r="K358" s="82">
        <v>20.0</v>
      </c>
      <c r="L358" s="288" t="s">
        <v>3018</v>
      </c>
    </row>
    <row r="359" ht="15.0" customHeight="1">
      <c r="A359" s="78" t="s">
        <v>6511</v>
      </c>
      <c r="B359" s="82" t="s">
        <v>6512</v>
      </c>
      <c r="C359" s="82" t="s">
        <v>94</v>
      </c>
      <c r="D359" s="314" t="s">
        <v>6513</v>
      </c>
      <c r="E359" s="85" t="s">
        <v>6514</v>
      </c>
      <c r="F359" s="314" t="s">
        <v>6515</v>
      </c>
      <c r="G359" s="99">
        <v>1.0</v>
      </c>
      <c r="H359" s="82">
        <v>1.0</v>
      </c>
      <c r="I359" s="82">
        <v>2.0</v>
      </c>
      <c r="J359" s="82">
        <v>20.0</v>
      </c>
      <c r="K359" s="82">
        <v>20.0</v>
      </c>
      <c r="L359" s="288" t="s">
        <v>3018</v>
      </c>
    </row>
    <row r="360" ht="15.0" customHeight="1">
      <c r="A360" s="82" t="s">
        <v>6516</v>
      </c>
      <c r="B360" s="95" t="s">
        <v>6517</v>
      </c>
      <c r="C360" s="82" t="s">
        <v>94</v>
      </c>
      <c r="D360" s="82" t="s">
        <v>6518</v>
      </c>
      <c r="E360" s="95" t="s">
        <v>6519</v>
      </c>
      <c r="F360" s="95" t="s">
        <v>6520</v>
      </c>
      <c r="G360" s="99">
        <v>1.0</v>
      </c>
      <c r="H360" s="82">
        <v>1.0</v>
      </c>
      <c r="I360" s="82">
        <v>3.0</v>
      </c>
      <c r="J360" s="82">
        <v>20.0</v>
      </c>
      <c r="K360" s="82">
        <v>20.0</v>
      </c>
      <c r="L360" s="288" t="s">
        <v>3018</v>
      </c>
    </row>
    <row r="361" ht="15.0" customHeight="1">
      <c r="A361" s="82" t="s">
        <v>6516</v>
      </c>
      <c r="B361" s="82" t="s">
        <v>6517</v>
      </c>
      <c r="C361" s="82" t="s">
        <v>94</v>
      </c>
      <c r="D361" s="82" t="s">
        <v>6521</v>
      </c>
      <c r="E361" s="95" t="s">
        <v>6522</v>
      </c>
      <c r="F361" s="82" t="s">
        <v>6520</v>
      </c>
      <c r="G361" s="99">
        <v>1.0</v>
      </c>
      <c r="H361" s="82">
        <v>1.0</v>
      </c>
      <c r="I361" s="82">
        <v>3.0</v>
      </c>
      <c r="J361" s="82">
        <v>20.0</v>
      </c>
      <c r="K361" s="82">
        <v>20.0</v>
      </c>
      <c r="L361" s="288" t="s">
        <v>3018</v>
      </c>
    </row>
    <row r="362" ht="15.0" customHeight="1">
      <c r="A362" s="82" t="s">
        <v>6516</v>
      </c>
      <c r="B362" s="82" t="s">
        <v>6517</v>
      </c>
      <c r="C362" s="82" t="s">
        <v>94</v>
      </c>
      <c r="D362" s="82" t="s">
        <v>6523</v>
      </c>
      <c r="E362" s="95" t="s">
        <v>6524</v>
      </c>
      <c r="F362" s="82" t="s">
        <v>6520</v>
      </c>
      <c r="G362" s="99">
        <v>1.0</v>
      </c>
      <c r="H362" s="82">
        <v>1.0</v>
      </c>
      <c r="I362" s="82">
        <v>3.0</v>
      </c>
      <c r="J362" s="82">
        <v>20.0</v>
      </c>
      <c r="K362" s="82">
        <v>20.0</v>
      </c>
      <c r="L362" s="288" t="s">
        <v>3018</v>
      </c>
    </row>
    <row r="363" ht="15.0" customHeight="1">
      <c r="A363" s="82" t="s">
        <v>6516</v>
      </c>
      <c r="B363" s="82" t="s">
        <v>6517</v>
      </c>
      <c r="C363" s="82" t="s">
        <v>94</v>
      </c>
      <c r="D363" s="82" t="s">
        <v>6525</v>
      </c>
      <c r="E363" s="95" t="s">
        <v>6526</v>
      </c>
      <c r="F363" s="82" t="s">
        <v>6520</v>
      </c>
      <c r="G363" s="99">
        <v>1.0</v>
      </c>
      <c r="H363" s="82">
        <v>1.0</v>
      </c>
      <c r="I363" s="82">
        <v>3.0</v>
      </c>
      <c r="J363" s="82">
        <v>20.0</v>
      </c>
      <c r="K363" s="82">
        <v>20.0</v>
      </c>
      <c r="L363" s="288" t="s">
        <v>3018</v>
      </c>
    </row>
    <row r="364" ht="15.0" customHeight="1">
      <c r="A364" s="82" t="s">
        <v>6516</v>
      </c>
      <c r="B364" s="95" t="s">
        <v>6517</v>
      </c>
      <c r="C364" s="82" t="s">
        <v>94</v>
      </c>
      <c r="D364" s="82" t="s">
        <v>6527</v>
      </c>
      <c r="E364" s="95" t="s">
        <v>6528</v>
      </c>
      <c r="F364" s="82" t="s">
        <v>6520</v>
      </c>
      <c r="G364" s="99">
        <v>1.0</v>
      </c>
      <c r="H364" s="82">
        <v>1.0</v>
      </c>
      <c r="I364" s="82">
        <v>3.0</v>
      </c>
      <c r="J364" s="82">
        <v>20.0</v>
      </c>
      <c r="K364" s="82">
        <v>20.0</v>
      </c>
      <c r="L364" s="288" t="s">
        <v>3018</v>
      </c>
    </row>
    <row r="365" ht="15.0" customHeight="1">
      <c r="A365" s="82" t="s">
        <v>6529</v>
      </c>
      <c r="B365" s="82" t="s">
        <v>6530</v>
      </c>
      <c r="C365" s="82" t="s">
        <v>94</v>
      </c>
      <c r="D365" s="82" t="s">
        <v>6531</v>
      </c>
      <c r="E365" s="79" t="s">
        <v>6532</v>
      </c>
      <c r="F365" s="82"/>
      <c r="G365" s="82">
        <v>3.0</v>
      </c>
      <c r="H365" s="82">
        <v>1.0</v>
      </c>
      <c r="I365" s="294">
        <v>3.0</v>
      </c>
      <c r="J365" s="294">
        <v>10.0</v>
      </c>
      <c r="K365" s="294">
        <v>3.33</v>
      </c>
      <c r="L365" s="288" t="s">
        <v>5709</v>
      </c>
    </row>
    <row r="366" ht="15.0" customHeight="1">
      <c r="A366" s="82" t="s">
        <v>6533</v>
      </c>
      <c r="B366" s="82" t="s">
        <v>6534</v>
      </c>
      <c r="C366" s="82" t="s">
        <v>94</v>
      </c>
      <c r="D366" s="82" t="s">
        <v>6535</v>
      </c>
      <c r="E366" s="79" t="s">
        <v>6002</v>
      </c>
      <c r="F366" s="82" t="s">
        <v>5885</v>
      </c>
      <c r="G366" s="82">
        <v>5.0</v>
      </c>
      <c r="H366" s="82">
        <v>5.0</v>
      </c>
      <c r="I366" s="291">
        <v>5.0</v>
      </c>
      <c r="J366" s="291">
        <v>10.0</v>
      </c>
      <c r="K366" s="291">
        <f t="shared" ref="K366:K370" si="20">J366/I366</f>
        <v>2</v>
      </c>
      <c r="L366" s="288" t="s">
        <v>3050</v>
      </c>
    </row>
    <row r="367" ht="15.0" customHeight="1">
      <c r="A367" s="82" t="s">
        <v>3053</v>
      </c>
      <c r="B367" s="78" t="s">
        <v>3054</v>
      </c>
      <c r="C367" s="82" t="s">
        <v>94</v>
      </c>
      <c r="D367" s="82" t="s">
        <v>6535</v>
      </c>
      <c r="E367" s="79" t="s">
        <v>6002</v>
      </c>
      <c r="F367" s="82" t="s">
        <v>5885</v>
      </c>
      <c r="G367" s="99">
        <v>6.0</v>
      </c>
      <c r="H367" s="185">
        <v>6.0</v>
      </c>
      <c r="I367" s="82">
        <v>6.0</v>
      </c>
      <c r="J367" s="82">
        <v>10.0</v>
      </c>
      <c r="K367" s="291">
        <f t="shared" si="20"/>
        <v>1.666666667</v>
      </c>
      <c r="L367" s="288" t="s">
        <v>3050</v>
      </c>
    </row>
    <row r="368" ht="15.0" customHeight="1">
      <c r="A368" s="82" t="s">
        <v>3053</v>
      </c>
      <c r="B368" s="78" t="s">
        <v>3054</v>
      </c>
      <c r="C368" s="82" t="s">
        <v>94</v>
      </c>
      <c r="D368" s="82" t="s">
        <v>6536</v>
      </c>
      <c r="E368" s="79" t="s">
        <v>6087</v>
      </c>
      <c r="F368" s="82" t="s">
        <v>6537</v>
      </c>
      <c r="G368" s="99">
        <v>6.0</v>
      </c>
      <c r="H368" s="185">
        <v>6.0</v>
      </c>
      <c r="I368" s="82">
        <v>6.0</v>
      </c>
      <c r="J368" s="82">
        <v>20.0</v>
      </c>
      <c r="K368" s="291">
        <f t="shared" si="20"/>
        <v>3.333333333</v>
      </c>
      <c r="L368" s="288" t="s">
        <v>3050</v>
      </c>
    </row>
    <row r="369" ht="15.0" customHeight="1">
      <c r="A369" s="82" t="s">
        <v>3053</v>
      </c>
      <c r="B369" s="78" t="s">
        <v>3054</v>
      </c>
      <c r="C369" s="82" t="s">
        <v>94</v>
      </c>
      <c r="D369" s="82" t="s">
        <v>6538</v>
      </c>
      <c r="E369" s="79" t="s">
        <v>5912</v>
      </c>
      <c r="F369" s="82" t="s">
        <v>6537</v>
      </c>
      <c r="G369" s="99">
        <v>6.0</v>
      </c>
      <c r="H369" s="185">
        <v>6.0</v>
      </c>
      <c r="I369" s="82">
        <v>6.0</v>
      </c>
      <c r="J369" s="82">
        <v>20.0</v>
      </c>
      <c r="K369" s="291">
        <f t="shared" si="20"/>
        <v>3.333333333</v>
      </c>
      <c r="L369" s="288" t="s">
        <v>3050</v>
      </c>
    </row>
    <row r="370" ht="15.0" customHeight="1">
      <c r="A370" s="82" t="s">
        <v>3066</v>
      </c>
      <c r="B370" s="78" t="s">
        <v>3067</v>
      </c>
      <c r="C370" s="82" t="s">
        <v>94</v>
      </c>
      <c r="D370" s="85" t="s">
        <v>6539</v>
      </c>
      <c r="E370" s="79" t="s">
        <v>1564</v>
      </c>
      <c r="F370" s="85" t="s">
        <v>6540</v>
      </c>
      <c r="G370" s="99">
        <v>6.0</v>
      </c>
      <c r="H370" s="185">
        <v>6.0</v>
      </c>
      <c r="I370" s="82">
        <v>6.0</v>
      </c>
      <c r="J370" s="82">
        <v>20.0</v>
      </c>
      <c r="K370" s="291">
        <f t="shared" si="20"/>
        <v>3.333333333</v>
      </c>
      <c r="L370" s="288" t="s">
        <v>3050</v>
      </c>
    </row>
    <row r="371" ht="15.0" customHeight="1">
      <c r="A371" s="82" t="s">
        <v>6541</v>
      </c>
      <c r="B371" s="82" t="s">
        <v>6542</v>
      </c>
      <c r="C371" s="82" t="s">
        <v>94</v>
      </c>
      <c r="D371" s="82" t="s">
        <v>6543</v>
      </c>
      <c r="E371" s="79" t="s">
        <v>6544</v>
      </c>
      <c r="F371" s="82" t="s">
        <v>6545</v>
      </c>
      <c r="G371" s="82">
        <v>4.0</v>
      </c>
      <c r="H371" s="82">
        <v>4.0</v>
      </c>
      <c r="I371" s="294">
        <v>4.0</v>
      </c>
      <c r="J371" s="294">
        <v>20.0</v>
      </c>
      <c r="K371" s="294">
        <v>5.0</v>
      </c>
      <c r="L371" s="288" t="s">
        <v>5354</v>
      </c>
    </row>
    <row r="372" ht="15.0" customHeight="1">
      <c r="A372" s="82" t="s">
        <v>6541</v>
      </c>
      <c r="B372" s="82" t="s">
        <v>6542</v>
      </c>
      <c r="C372" s="82" t="s">
        <v>94</v>
      </c>
      <c r="D372" s="78" t="s">
        <v>6546</v>
      </c>
      <c r="E372" s="80" t="s">
        <v>6547</v>
      </c>
      <c r="F372" s="78" t="s">
        <v>6548</v>
      </c>
      <c r="G372" s="99">
        <v>4.0</v>
      </c>
      <c r="H372" s="185">
        <v>4.0</v>
      </c>
      <c r="I372" s="155">
        <v>4.0</v>
      </c>
      <c r="J372" s="155">
        <v>20.0</v>
      </c>
      <c r="K372" s="155">
        <v>5.0</v>
      </c>
      <c r="L372" s="288" t="s">
        <v>5354</v>
      </c>
    </row>
    <row r="373" ht="15.0" customHeight="1">
      <c r="A373" s="82" t="s">
        <v>6541</v>
      </c>
      <c r="B373" s="82" t="s">
        <v>6542</v>
      </c>
      <c r="C373" s="82" t="s">
        <v>94</v>
      </c>
      <c r="D373" s="82" t="s">
        <v>6549</v>
      </c>
      <c r="E373" s="79" t="s">
        <v>6550</v>
      </c>
      <c r="F373" s="82" t="s">
        <v>6551</v>
      </c>
      <c r="G373" s="83">
        <v>4.0</v>
      </c>
      <c r="H373" s="92">
        <v>4.0</v>
      </c>
      <c r="I373" s="155">
        <v>4.0</v>
      </c>
      <c r="J373" s="155">
        <v>20.0</v>
      </c>
      <c r="K373" s="155">
        <v>5.0</v>
      </c>
      <c r="L373" s="288" t="s">
        <v>5354</v>
      </c>
    </row>
    <row r="374" ht="15.0" customHeight="1">
      <c r="A374" s="85" t="s">
        <v>6552</v>
      </c>
      <c r="B374" s="85" t="s">
        <v>6553</v>
      </c>
      <c r="C374" s="85" t="s">
        <v>94</v>
      </c>
      <c r="D374" s="82" t="s">
        <v>6554</v>
      </c>
      <c r="E374" s="79" t="s">
        <v>6555</v>
      </c>
      <c r="F374" s="82" t="s">
        <v>6556</v>
      </c>
      <c r="G374" s="83">
        <v>4.0</v>
      </c>
      <c r="H374" s="92">
        <v>4.0</v>
      </c>
      <c r="I374" s="155">
        <v>4.0</v>
      </c>
      <c r="J374" s="155">
        <v>20.0</v>
      </c>
      <c r="K374" s="155">
        <v>5.0</v>
      </c>
      <c r="L374" s="288" t="s">
        <v>5354</v>
      </c>
    </row>
    <row r="375" ht="15.0" customHeight="1">
      <c r="A375" s="82" t="s">
        <v>3074</v>
      </c>
      <c r="B375" s="82" t="s">
        <v>6557</v>
      </c>
      <c r="C375" s="82" t="s">
        <v>94</v>
      </c>
      <c r="D375" s="82" t="s">
        <v>6558</v>
      </c>
      <c r="E375" s="79" t="s">
        <v>6559</v>
      </c>
      <c r="F375" s="82" t="s">
        <v>6560</v>
      </c>
      <c r="G375" s="148">
        <v>2.0</v>
      </c>
      <c r="H375" s="148">
        <v>2.0</v>
      </c>
      <c r="I375" s="287">
        <v>2.0</v>
      </c>
      <c r="J375" s="287">
        <v>20.0</v>
      </c>
      <c r="K375" s="287">
        <f t="shared" ref="K375:K378" si="21">J375/2</f>
        <v>10</v>
      </c>
      <c r="L375" s="288" t="s">
        <v>3078</v>
      </c>
    </row>
    <row r="376" ht="15.0" customHeight="1">
      <c r="A376" s="82" t="s">
        <v>3074</v>
      </c>
      <c r="B376" s="82" t="s">
        <v>6561</v>
      </c>
      <c r="C376" s="82" t="s">
        <v>94</v>
      </c>
      <c r="D376" s="78" t="s">
        <v>6562</v>
      </c>
      <c r="E376" s="80" t="s">
        <v>6563</v>
      </c>
      <c r="F376" s="78" t="s">
        <v>6564</v>
      </c>
      <c r="G376" s="148">
        <v>2.0</v>
      </c>
      <c r="H376" s="148">
        <v>2.0</v>
      </c>
      <c r="I376" s="287">
        <v>2.0</v>
      </c>
      <c r="J376" s="287">
        <v>20.0</v>
      </c>
      <c r="K376" s="287">
        <f t="shared" si="21"/>
        <v>10</v>
      </c>
      <c r="L376" s="288" t="s">
        <v>3078</v>
      </c>
    </row>
    <row r="377" ht="15.0" customHeight="1">
      <c r="A377" s="85" t="s">
        <v>6565</v>
      </c>
      <c r="B377" s="85" t="s">
        <v>6566</v>
      </c>
      <c r="C377" s="82" t="s">
        <v>94</v>
      </c>
      <c r="D377" s="82" t="s">
        <v>6567</v>
      </c>
      <c r="E377" s="79" t="s">
        <v>5297</v>
      </c>
      <c r="F377" s="82" t="s">
        <v>6568</v>
      </c>
      <c r="G377" s="148">
        <v>2.0</v>
      </c>
      <c r="H377" s="148">
        <v>2.0</v>
      </c>
      <c r="I377" s="287">
        <v>2.0</v>
      </c>
      <c r="J377" s="287">
        <v>20.0</v>
      </c>
      <c r="K377" s="287">
        <f t="shared" si="21"/>
        <v>10</v>
      </c>
      <c r="L377" s="288" t="s">
        <v>3078</v>
      </c>
    </row>
    <row r="378" ht="15.0" customHeight="1">
      <c r="A378" s="82" t="s">
        <v>3074</v>
      </c>
      <c r="B378" s="85" t="s">
        <v>6569</v>
      </c>
      <c r="C378" s="82" t="s">
        <v>94</v>
      </c>
      <c r="D378" s="82" t="s">
        <v>6570</v>
      </c>
      <c r="E378" s="79" t="s">
        <v>6571</v>
      </c>
      <c r="F378" s="82" t="s">
        <v>5372</v>
      </c>
      <c r="G378" s="148">
        <v>2.0</v>
      </c>
      <c r="H378" s="148">
        <v>2.0</v>
      </c>
      <c r="I378" s="287">
        <v>2.0</v>
      </c>
      <c r="J378" s="287">
        <v>10.0</v>
      </c>
      <c r="K378" s="287">
        <f t="shared" si="21"/>
        <v>5</v>
      </c>
      <c r="L378" s="288" t="s">
        <v>3078</v>
      </c>
    </row>
    <row r="379" ht="15.0" customHeight="1">
      <c r="A379" s="82" t="s">
        <v>5368</v>
      </c>
      <c r="B379" s="82" t="s">
        <v>6572</v>
      </c>
      <c r="C379" s="82" t="s">
        <v>94</v>
      </c>
      <c r="D379" s="82" t="s">
        <v>6573</v>
      </c>
      <c r="E379" s="79" t="s">
        <v>6574</v>
      </c>
      <c r="F379" s="82" t="s">
        <v>6575</v>
      </c>
      <c r="G379" s="82">
        <v>3.0</v>
      </c>
      <c r="H379" s="82">
        <v>3.0</v>
      </c>
      <c r="I379" s="291">
        <v>3.0</v>
      </c>
      <c r="J379" s="291">
        <v>20.0</v>
      </c>
      <c r="K379" s="291">
        <f>J379/3</f>
        <v>6.666666667</v>
      </c>
      <c r="L379" s="288" t="s">
        <v>661</v>
      </c>
    </row>
    <row r="380" ht="15.0" customHeight="1">
      <c r="A380" s="85" t="s">
        <v>3099</v>
      </c>
      <c r="B380" s="85" t="s">
        <v>3100</v>
      </c>
      <c r="C380" s="85" t="s">
        <v>94</v>
      </c>
      <c r="D380" s="78" t="s">
        <v>6576</v>
      </c>
      <c r="E380" s="80" t="s">
        <v>6577</v>
      </c>
      <c r="F380" s="78"/>
      <c r="G380" s="99">
        <v>3.0</v>
      </c>
      <c r="H380" s="185">
        <v>3.0</v>
      </c>
      <c r="I380" s="82">
        <v>3.0</v>
      </c>
      <c r="J380" s="82">
        <v>20.0</v>
      </c>
      <c r="K380" s="82">
        <f>20/3</f>
        <v>6.666666667</v>
      </c>
      <c r="L380" s="288" t="s">
        <v>661</v>
      </c>
    </row>
    <row r="381" ht="15.0" customHeight="1">
      <c r="A381" s="85" t="s">
        <v>3975</v>
      </c>
      <c r="B381" s="85" t="s">
        <v>3976</v>
      </c>
      <c r="C381" s="85" t="s">
        <v>94</v>
      </c>
      <c r="D381" s="82" t="s">
        <v>6578</v>
      </c>
      <c r="E381" s="79" t="s">
        <v>5880</v>
      </c>
      <c r="F381" s="82" t="s">
        <v>5803</v>
      </c>
      <c r="G381" s="83">
        <v>2.0</v>
      </c>
      <c r="H381" s="92">
        <v>2.0</v>
      </c>
      <c r="I381" s="82">
        <v>2.0</v>
      </c>
      <c r="J381" s="82">
        <v>10.0</v>
      </c>
      <c r="K381" s="82">
        <v>5.0</v>
      </c>
      <c r="L381" s="288" t="s">
        <v>661</v>
      </c>
    </row>
    <row r="382" ht="15.0" customHeight="1">
      <c r="A382" s="85" t="s">
        <v>3975</v>
      </c>
      <c r="B382" s="85" t="s">
        <v>3976</v>
      </c>
      <c r="C382" s="85" t="s">
        <v>94</v>
      </c>
      <c r="D382" s="82" t="s">
        <v>6579</v>
      </c>
      <c r="E382" s="82" t="s">
        <v>5918</v>
      </c>
      <c r="F382" s="82" t="s">
        <v>5803</v>
      </c>
      <c r="G382" s="83">
        <v>2.0</v>
      </c>
      <c r="H382" s="92">
        <v>2.0</v>
      </c>
      <c r="I382" s="82">
        <v>2.0</v>
      </c>
      <c r="J382" s="82">
        <v>10.0</v>
      </c>
      <c r="K382" s="82">
        <v>5.0</v>
      </c>
      <c r="L382" s="288" t="s">
        <v>661</v>
      </c>
    </row>
    <row r="383" ht="15.0" customHeight="1">
      <c r="A383" s="82" t="s">
        <v>224</v>
      </c>
      <c r="B383" s="82" t="s">
        <v>5960</v>
      </c>
      <c r="C383" s="82" t="s">
        <v>94</v>
      </c>
      <c r="D383" s="82" t="s">
        <v>6580</v>
      </c>
      <c r="E383" s="82" t="s">
        <v>5962</v>
      </c>
      <c r="F383" s="82" t="s">
        <v>5803</v>
      </c>
      <c r="G383" s="83">
        <v>5.0</v>
      </c>
      <c r="H383" s="92">
        <v>5.0</v>
      </c>
      <c r="I383" s="82">
        <v>7.0</v>
      </c>
      <c r="J383" s="82">
        <v>20.0</v>
      </c>
      <c r="K383" s="82">
        <v>4.0</v>
      </c>
      <c r="L383" s="288" t="s">
        <v>661</v>
      </c>
      <c r="M383" s="3"/>
      <c r="N383" s="3"/>
      <c r="O383" s="3"/>
      <c r="P383" s="3"/>
      <c r="Q383" s="3"/>
      <c r="R383" s="3"/>
      <c r="S383" s="3"/>
      <c r="T383" s="3"/>
      <c r="U383" s="3"/>
      <c r="V383" s="3"/>
      <c r="W383" s="3"/>
      <c r="X383" s="3"/>
      <c r="Y383" s="3"/>
      <c r="Z383" s="3"/>
    </row>
    <row r="384" ht="15.0" customHeight="1">
      <c r="A384" s="85" t="s">
        <v>224</v>
      </c>
      <c r="B384" s="85" t="s">
        <v>5960</v>
      </c>
      <c r="C384" s="85" t="s">
        <v>94</v>
      </c>
      <c r="D384" s="85" t="s">
        <v>6578</v>
      </c>
      <c r="E384" s="85" t="s">
        <v>5880</v>
      </c>
      <c r="F384" s="85" t="s">
        <v>5803</v>
      </c>
      <c r="G384" s="98">
        <v>5.0</v>
      </c>
      <c r="H384" s="91">
        <v>5.0</v>
      </c>
      <c r="I384" s="82">
        <v>7.0</v>
      </c>
      <c r="J384" s="82">
        <v>10.0</v>
      </c>
      <c r="K384" s="82">
        <v>2.0</v>
      </c>
      <c r="L384" s="288" t="s">
        <v>661</v>
      </c>
    </row>
    <row r="385" ht="15.0" customHeight="1">
      <c r="A385" s="85" t="s">
        <v>1740</v>
      </c>
      <c r="B385" s="85" t="s">
        <v>1741</v>
      </c>
      <c r="C385" s="85" t="s">
        <v>94</v>
      </c>
      <c r="D385" s="85" t="s">
        <v>6581</v>
      </c>
      <c r="E385" s="85" t="s">
        <v>5923</v>
      </c>
      <c r="F385" s="85" t="s">
        <v>5924</v>
      </c>
      <c r="G385" s="98">
        <v>3.0</v>
      </c>
      <c r="H385" s="91">
        <v>3.0</v>
      </c>
      <c r="I385" s="82">
        <v>3.0</v>
      </c>
      <c r="J385" s="82">
        <v>20.0</v>
      </c>
      <c r="K385" s="82">
        <v>6.666666666666667</v>
      </c>
      <c r="L385" s="288" t="s">
        <v>661</v>
      </c>
    </row>
    <row r="386" ht="15.0" customHeight="1">
      <c r="A386" s="82" t="s">
        <v>6582</v>
      </c>
      <c r="B386" s="82" t="s">
        <v>182</v>
      </c>
      <c r="C386" s="82" t="s">
        <v>6583</v>
      </c>
      <c r="D386" s="82" t="s">
        <v>6584</v>
      </c>
      <c r="E386" s="79" t="s">
        <v>6416</v>
      </c>
      <c r="F386" s="83" t="s">
        <v>6176</v>
      </c>
      <c r="G386" s="82">
        <v>6.0</v>
      </c>
      <c r="H386" s="82">
        <v>6.0</v>
      </c>
      <c r="I386" s="82">
        <v>6.0</v>
      </c>
      <c r="J386" s="82">
        <v>20.0</v>
      </c>
      <c r="K386" s="82">
        <v>3.33</v>
      </c>
      <c r="L386" s="288" t="s">
        <v>671</v>
      </c>
    </row>
    <row r="387" ht="15.0" customHeight="1">
      <c r="A387" s="82" t="s">
        <v>6582</v>
      </c>
      <c r="B387" s="82" t="s">
        <v>182</v>
      </c>
      <c r="C387" s="82" t="s">
        <v>6583</v>
      </c>
      <c r="D387" s="82" t="s">
        <v>6585</v>
      </c>
      <c r="E387" s="79" t="s">
        <v>6414</v>
      </c>
      <c r="F387" s="83" t="s">
        <v>6176</v>
      </c>
      <c r="G387" s="82">
        <v>6.0</v>
      </c>
      <c r="H387" s="82">
        <v>6.0</v>
      </c>
      <c r="I387" s="82">
        <v>6.0</v>
      </c>
      <c r="J387" s="82">
        <v>20.0</v>
      </c>
      <c r="K387" s="82">
        <v>3.33</v>
      </c>
      <c r="L387" s="288" t="s">
        <v>671</v>
      </c>
    </row>
    <row r="388" ht="15.0" customHeight="1">
      <c r="A388" s="83" t="s">
        <v>6586</v>
      </c>
      <c r="B388" s="83" t="s">
        <v>182</v>
      </c>
      <c r="C388" s="83" t="s">
        <v>3110</v>
      </c>
      <c r="D388" s="82" t="s">
        <v>6587</v>
      </c>
      <c r="E388" s="79" t="s">
        <v>6588</v>
      </c>
      <c r="F388" s="83" t="s">
        <v>6589</v>
      </c>
      <c r="G388" s="82">
        <v>2.0</v>
      </c>
      <c r="H388" s="82">
        <v>2.0</v>
      </c>
      <c r="I388" s="82">
        <v>9.0</v>
      </c>
      <c r="J388" s="82">
        <v>20.0</v>
      </c>
      <c r="K388" s="82">
        <v>10.0</v>
      </c>
      <c r="L388" s="288" t="s">
        <v>671</v>
      </c>
    </row>
    <row r="389" ht="15.0" customHeight="1">
      <c r="A389" s="82" t="s">
        <v>3193</v>
      </c>
      <c r="B389" s="85" t="s">
        <v>6590</v>
      </c>
      <c r="C389" s="82" t="s">
        <v>94</v>
      </c>
      <c r="D389" s="82" t="s">
        <v>6591</v>
      </c>
      <c r="E389" s="79" t="s">
        <v>6592</v>
      </c>
      <c r="F389" s="82" t="s">
        <v>6593</v>
      </c>
      <c r="G389" s="82">
        <v>1.0</v>
      </c>
      <c r="H389" s="82">
        <v>1.0</v>
      </c>
      <c r="I389" s="291">
        <v>1.0</v>
      </c>
      <c r="J389" s="291">
        <v>20.0</v>
      </c>
      <c r="K389" s="291">
        <v>20.0</v>
      </c>
      <c r="L389" s="288" t="s">
        <v>3198</v>
      </c>
    </row>
    <row r="390" ht="15.0" customHeight="1">
      <c r="A390" s="82" t="s">
        <v>3193</v>
      </c>
      <c r="B390" s="82" t="s">
        <v>6594</v>
      </c>
      <c r="C390" s="82" t="s">
        <v>94</v>
      </c>
      <c r="D390" s="82" t="s">
        <v>6595</v>
      </c>
      <c r="E390" s="87" t="s">
        <v>6596</v>
      </c>
      <c r="F390" s="82" t="s">
        <v>6597</v>
      </c>
      <c r="G390" s="82">
        <v>1.0</v>
      </c>
      <c r="H390" s="82">
        <v>1.0</v>
      </c>
      <c r="I390" s="288">
        <v>1.0</v>
      </c>
      <c r="J390" s="288">
        <v>20.0</v>
      </c>
      <c r="K390" s="288">
        <v>10.0</v>
      </c>
      <c r="L390" s="288" t="s">
        <v>3198</v>
      </c>
    </row>
    <row r="391" ht="15.0" customHeight="1">
      <c r="A391" s="82" t="s">
        <v>3193</v>
      </c>
      <c r="B391" s="82" t="s">
        <v>6598</v>
      </c>
      <c r="C391" s="82" t="s">
        <v>94</v>
      </c>
      <c r="D391" s="82" t="s">
        <v>6599</v>
      </c>
      <c r="E391" s="87" t="s">
        <v>6600</v>
      </c>
      <c r="F391" s="82" t="s">
        <v>6601</v>
      </c>
      <c r="G391" s="82">
        <v>1.0</v>
      </c>
      <c r="H391" s="82">
        <v>1.0</v>
      </c>
      <c r="I391" s="288">
        <v>1.0</v>
      </c>
      <c r="J391" s="288">
        <v>20.0</v>
      </c>
      <c r="K391" s="288">
        <v>10.0</v>
      </c>
      <c r="L391" s="288" t="s">
        <v>3198</v>
      </c>
    </row>
    <row r="392" ht="15.0" customHeight="1">
      <c r="A392" s="82" t="s">
        <v>3193</v>
      </c>
      <c r="B392" s="82" t="s">
        <v>6602</v>
      </c>
      <c r="C392" s="82" t="s">
        <v>94</v>
      </c>
      <c r="D392" s="82" t="s">
        <v>6599</v>
      </c>
      <c r="E392" s="95" t="s">
        <v>6600</v>
      </c>
      <c r="F392" s="82" t="s">
        <v>6601</v>
      </c>
      <c r="G392" s="82">
        <v>1.0</v>
      </c>
      <c r="H392" s="82">
        <v>1.0</v>
      </c>
      <c r="I392" s="288">
        <v>1.0</v>
      </c>
      <c r="J392" s="288">
        <v>20.0</v>
      </c>
      <c r="K392" s="288">
        <v>10.0</v>
      </c>
      <c r="L392" s="288" t="s">
        <v>3198</v>
      </c>
    </row>
    <row r="393" ht="15.0" customHeight="1">
      <c r="A393" s="82" t="s">
        <v>3193</v>
      </c>
      <c r="B393" s="82" t="s">
        <v>6590</v>
      </c>
      <c r="C393" s="82" t="s">
        <v>94</v>
      </c>
      <c r="D393" s="82" t="s">
        <v>6603</v>
      </c>
      <c r="E393" s="87" t="s">
        <v>6604</v>
      </c>
      <c r="F393" s="82" t="s">
        <v>6605</v>
      </c>
      <c r="G393" s="82">
        <v>1.0</v>
      </c>
      <c r="H393" s="82">
        <v>1.0</v>
      </c>
      <c r="I393" s="288">
        <v>1.0</v>
      </c>
      <c r="J393" s="288">
        <v>20.0</v>
      </c>
      <c r="K393" s="288">
        <v>10.0</v>
      </c>
      <c r="L393" s="288" t="s">
        <v>3198</v>
      </c>
    </row>
    <row r="394" ht="15.0" customHeight="1">
      <c r="A394" s="82" t="s">
        <v>6606</v>
      </c>
      <c r="B394" s="82" t="s">
        <v>6607</v>
      </c>
      <c r="C394" s="82" t="s">
        <v>94</v>
      </c>
      <c r="D394" s="82" t="s">
        <v>6608</v>
      </c>
      <c r="E394" s="79" t="s">
        <v>6609</v>
      </c>
      <c r="F394" s="82" t="s">
        <v>5372</v>
      </c>
      <c r="G394" s="82">
        <v>2.0</v>
      </c>
      <c r="H394" s="82">
        <v>1.0</v>
      </c>
      <c r="I394" s="291">
        <v>3.0</v>
      </c>
      <c r="J394" s="291">
        <v>20.0</v>
      </c>
      <c r="K394" s="291">
        <f>20/2</f>
        <v>10</v>
      </c>
      <c r="L394" s="288" t="s">
        <v>689</v>
      </c>
    </row>
    <row r="395" ht="15.0" customHeight="1">
      <c r="A395" s="85" t="s">
        <v>6606</v>
      </c>
      <c r="B395" s="85" t="s">
        <v>6607</v>
      </c>
      <c r="C395" s="85" t="s">
        <v>94</v>
      </c>
      <c r="D395" s="85" t="s">
        <v>6610</v>
      </c>
      <c r="E395" s="79" t="s">
        <v>6611</v>
      </c>
      <c r="F395" s="85" t="s">
        <v>5372</v>
      </c>
      <c r="G395" s="85">
        <v>2.0</v>
      </c>
      <c r="H395" s="85">
        <v>1.0</v>
      </c>
      <c r="I395" s="291">
        <v>3.0</v>
      </c>
      <c r="J395" s="291">
        <v>20.0</v>
      </c>
      <c r="K395" s="291">
        <v>10.0</v>
      </c>
      <c r="L395" s="288" t="s">
        <v>689</v>
      </c>
    </row>
    <row r="396" ht="15.0" customHeight="1">
      <c r="A396" s="85" t="s">
        <v>6606</v>
      </c>
      <c r="B396" s="85" t="s">
        <v>6607</v>
      </c>
      <c r="C396" s="85" t="s">
        <v>94</v>
      </c>
      <c r="D396" s="85" t="s">
        <v>6612</v>
      </c>
      <c r="E396" s="79" t="s">
        <v>6613</v>
      </c>
      <c r="F396" s="85" t="s">
        <v>5372</v>
      </c>
      <c r="G396" s="85">
        <v>2.0</v>
      </c>
      <c r="H396" s="85">
        <v>1.0</v>
      </c>
      <c r="I396" s="291">
        <v>3.0</v>
      </c>
      <c r="J396" s="291">
        <v>20.0</v>
      </c>
      <c r="K396" s="291">
        <v>10.0</v>
      </c>
      <c r="L396" s="288" t="s">
        <v>689</v>
      </c>
    </row>
    <row r="397" ht="15.0" customHeight="1">
      <c r="A397" s="85" t="s">
        <v>6606</v>
      </c>
      <c r="B397" s="85" t="s">
        <v>6607</v>
      </c>
      <c r="C397" s="85" t="s">
        <v>94</v>
      </c>
      <c r="D397" s="85" t="s">
        <v>6614</v>
      </c>
      <c r="E397" s="79" t="s">
        <v>6615</v>
      </c>
      <c r="F397" s="85" t="s">
        <v>5372</v>
      </c>
      <c r="G397" s="85">
        <v>2.0</v>
      </c>
      <c r="H397" s="85">
        <v>1.0</v>
      </c>
      <c r="I397" s="291">
        <v>3.0</v>
      </c>
      <c r="J397" s="291">
        <v>20.0</v>
      </c>
      <c r="K397" s="291">
        <v>10.0</v>
      </c>
      <c r="L397" s="288" t="s">
        <v>689</v>
      </c>
    </row>
    <row r="398" ht="15.0" customHeight="1">
      <c r="A398" s="85" t="s">
        <v>6606</v>
      </c>
      <c r="B398" s="85" t="s">
        <v>6607</v>
      </c>
      <c r="C398" s="85" t="s">
        <v>94</v>
      </c>
      <c r="D398" s="85" t="s">
        <v>6616</v>
      </c>
      <c r="E398" s="79" t="s">
        <v>6617</v>
      </c>
      <c r="F398" s="85" t="s">
        <v>5372</v>
      </c>
      <c r="G398" s="85">
        <v>2.0</v>
      </c>
      <c r="H398" s="85">
        <v>1.0</v>
      </c>
      <c r="I398" s="291">
        <v>3.0</v>
      </c>
      <c r="J398" s="291">
        <v>20.0</v>
      </c>
      <c r="K398" s="291">
        <v>10.0</v>
      </c>
      <c r="L398" s="288" t="s">
        <v>689</v>
      </c>
    </row>
    <row r="399" ht="15.0" customHeight="1">
      <c r="A399" s="82" t="s">
        <v>3223</v>
      </c>
      <c r="B399" s="82" t="s">
        <v>3224</v>
      </c>
      <c r="C399" s="82" t="s">
        <v>94</v>
      </c>
      <c r="D399" s="82" t="s">
        <v>6618</v>
      </c>
      <c r="E399" s="79" t="s">
        <v>6619</v>
      </c>
      <c r="F399" s="82" t="s">
        <v>5372</v>
      </c>
      <c r="G399" s="82">
        <v>3.0</v>
      </c>
      <c r="H399" s="82">
        <v>2.0</v>
      </c>
      <c r="I399" s="291">
        <v>3.0</v>
      </c>
      <c r="J399" s="291">
        <v>20.0</v>
      </c>
      <c r="K399" s="291">
        <f t="shared" ref="K399:K411" si="22">20/3</f>
        <v>6.666666667</v>
      </c>
      <c r="L399" s="288" t="s">
        <v>689</v>
      </c>
    </row>
    <row r="400" ht="15.0" customHeight="1">
      <c r="A400" s="82" t="s">
        <v>3223</v>
      </c>
      <c r="B400" s="82" t="s">
        <v>3224</v>
      </c>
      <c r="C400" s="82" t="s">
        <v>94</v>
      </c>
      <c r="D400" s="82" t="s">
        <v>6620</v>
      </c>
      <c r="E400" s="79" t="s">
        <v>6621</v>
      </c>
      <c r="F400" s="82" t="s">
        <v>5372</v>
      </c>
      <c r="G400" s="82">
        <v>3.0</v>
      </c>
      <c r="H400" s="82">
        <v>2.0</v>
      </c>
      <c r="I400" s="291">
        <v>3.0</v>
      </c>
      <c r="J400" s="291">
        <v>20.0</v>
      </c>
      <c r="K400" s="291">
        <f t="shared" si="22"/>
        <v>6.666666667</v>
      </c>
      <c r="L400" s="288" t="s">
        <v>689</v>
      </c>
    </row>
    <row r="401" ht="15.0" customHeight="1">
      <c r="A401" s="82" t="s">
        <v>3223</v>
      </c>
      <c r="B401" s="82" t="s">
        <v>3224</v>
      </c>
      <c r="C401" s="82" t="s">
        <v>94</v>
      </c>
      <c r="D401" s="82" t="s">
        <v>6622</v>
      </c>
      <c r="E401" s="79" t="s">
        <v>6623</v>
      </c>
      <c r="F401" s="82" t="s">
        <v>5372</v>
      </c>
      <c r="G401" s="82">
        <v>3.0</v>
      </c>
      <c r="H401" s="82">
        <v>2.0</v>
      </c>
      <c r="I401" s="291">
        <v>3.0</v>
      </c>
      <c r="J401" s="291">
        <v>20.0</v>
      </c>
      <c r="K401" s="291">
        <f t="shared" si="22"/>
        <v>6.666666667</v>
      </c>
      <c r="L401" s="288" t="s">
        <v>689</v>
      </c>
    </row>
    <row r="402" ht="15.0" customHeight="1">
      <c r="A402" s="82" t="s">
        <v>3223</v>
      </c>
      <c r="B402" s="82" t="s">
        <v>3224</v>
      </c>
      <c r="C402" s="82" t="s">
        <v>94</v>
      </c>
      <c r="D402" s="82" t="s">
        <v>6624</v>
      </c>
      <c r="E402" s="79" t="s">
        <v>6625</v>
      </c>
      <c r="F402" s="82" t="s">
        <v>5372</v>
      </c>
      <c r="G402" s="82">
        <v>3.0</v>
      </c>
      <c r="H402" s="82">
        <v>2.0</v>
      </c>
      <c r="I402" s="291">
        <v>3.0</v>
      </c>
      <c r="J402" s="291">
        <v>20.0</v>
      </c>
      <c r="K402" s="291">
        <f t="shared" si="22"/>
        <v>6.666666667</v>
      </c>
      <c r="L402" s="288" t="s">
        <v>689</v>
      </c>
    </row>
    <row r="403" ht="15.0" customHeight="1">
      <c r="A403" s="82" t="s">
        <v>3223</v>
      </c>
      <c r="B403" s="82" t="s">
        <v>3224</v>
      </c>
      <c r="C403" s="82" t="s">
        <v>94</v>
      </c>
      <c r="D403" s="82" t="s">
        <v>6626</v>
      </c>
      <c r="E403" s="79" t="s">
        <v>6627</v>
      </c>
      <c r="F403" s="82" t="s">
        <v>5372</v>
      </c>
      <c r="G403" s="82">
        <v>3.0</v>
      </c>
      <c r="H403" s="82">
        <v>2.0</v>
      </c>
      <c r="I403" s="291">
        <v>3.0</v>
      </c>
      <c r="J403" s="291">
        <v>20.0</v>
      </c>
      <c r="K403" s="291">
        <f t="shared" si="22"/>
        <v>6.666666667</v>
      </c>
      <c r="L403" s="288" t="s">
        <v>689</v>
      </c>
    </row>
    <row r="404" ht="15.0" customHeight="1">
      <c r="A404" s="82" t="s">
        <v>3223</v>
      </c>
      <c r="B404" s="82" t="s">
        <v>3224</v>
      </c>
      <c r="C404" s="82" t="s">
        <v>94</v>
      </c>
      <c r="D404" s="82" t="s">
        <v>6628</v>
      </c>
      <c r="E404" s="79" t="s">
        <v>6629</v>
      </c>
      <c r="F404" s="82" t="s">
        <v>5372</v>
      </c>
      <c r="G404" s="82">
        <v>3.0</v>
      </c>
      <c r="H404" s="82">
        <v>2.0</v>
      </c>
      <c r="I404" s="291">
        <v>3.0</v>
      </c>
      <c r="J404" s="291">
        <v>20.0</v>
      </c>
      <c r="K404" s="291">
        <f t="shared" si="22"/>
        <v>6.666666667</v>
      </c>
      <c r="L404" s="288" t="s">
        <v>689</v>
      </c>
    </row>
    <row r="405" ht="15.0" customHeight="1">
      <c r="A405" s="82" t="s">
        <v>3223</v>
      </c>
      <c r="B405" s="82" t="s">
        <v>3224</v>
      </c>
      <c r="C405" s="82" t="s">
        <v>94</v>
      </c>
      <c r="D405" s="82" t="s">
        <v>3225</v>
      </c>
      <c r="E405" s="79" t="s">
        <v>3226</v>
      </c>
      <c r="F405" s="82" t="s">
        <v>5372</v>
      </c>
      <c r="G405" s="82">
        <v>3.0</v>
      </c>
      <c r="H405" s="82">
        <v>2.0</v>
      </c>
      <c r="I405" s="291">
        <v>3.0</v>
      </c>
      <c r="J405" s="291">
        <v>20.0</v>
      </c>
      <c r="K405" s="291">
        <f t="shared" si="22"/>
        <v>6.666666667</v>
      </c>
      <c r="L405" s="288" t="s">
        <v>689</v>
      </c>
    </row>
    <row r="406" ht="15.0" customHeight="1">
      <c r="A406" s="82" t="s">
        <v>3223</v>
      </c>
      <c r="B406" s="82" t="s">
        <v>3224</v>
      </c>
      <c r="C406" s="82" t="s">
        <v>94</v>
      </c>
      <c r="D406" s="82" t="s">
        <v>6630</v>
      </c>
      <c r="E406" s="79" t="s">
        <v>6631</v>
      </c>
      <c r="F406" s="82" t="s">
        <v>5372</v>
      </c>
      <c r="G406" s="82">
        <v>3.0</v>
      </c>
      <c r="H406" s="82">
        <v>2.0</v>
      </c>
      <c r="I406" s="291">
        <v>3.0</v>
      </c>
      <c r="J406" s="291">
        <v>20.0</v>
      </c>
      <c r="K406" s="291">
        <f t="shared" si="22"/>
        <v>6.666666667</v>
      </c>
      <c r="L406" s="288" t="s">
        <v>689</v>
      </c>
    </row>
    <row r="407" ht="15.0" customHeight="1">
      <c r="A407" s="82" t="s">
        <v>3223</v>
      </c>
      <c r="B407" s="82" t="s">
        <v>3224</v>
      </c>
      <c r="C407" s="82" t="s">
        <v>94</v>
      </c>
      <c r="D407" s="82" t="s">
        <v>6632</v>
      </c>
      <c r="E407" s="79" t="s">
        <v>6633</v>
      </c>
      <c r="F407" s="82" t="s">
        <v>5372</v>
      </c>
      <c r="G407" s="82">
        <v>3.0</v>
      </c>
      <c r="H407" s="82">
        <v>2.0</v>
      </c>
      <c r="I407" s="291">
        <v>3.0</v>
      </c>
      <c r="J407" s="291">
        <v>20.0</v>
      </c>
      <c r="K407" s="291">
        <f t="shared" si="22"/>
        <v>6.666666667</v>
      </c>
      <c r="L407" s="288" t="s">
        <v>689</v>
      </c>
    </row>
    <row r="408" ht="15.0" customHeight="1">
      <c r="A408" s="82" t="s">
        <v>3223</v>
      </c>
      <c r="B408" s="82" t="s">
        <v>3224</v>
      </c>
      <c r="C408" s="82" t="s">
        <v>94</v>
      </c>
      <c r="D408" s="82" t="s">
        <v>6634</v>
      </c>
      <c r="E408" s="79" t="s">
        <v>6635</v>
      </c>
      <c r="F408" s="82" t="s">
        <v>5372</v>
      </c>
      <c r="G408" s="82">
        <v>3.0</v>
      </c>
      <c r="H408" s="82">
        <v>2.0</v>
      </c>
      <c r="I408" s="291">
        <v>3.0</v>
      </c>
      <c r="J408" s="291">
        <v>20.0</v>
      </c>
      <c r="K408" s="291">
        <f t="shared" si="22"/>
        <v>6.666666667</v>
      </c>
      <c r="L408" s="288" t="s">
        <v>689</v>
      </c>
    </row>
    <row r="409" ht="15.0" customHeight="1">
      <c r="A409" s="82" t="s">
        <v>3223</v>
      </c>
      <c r="B409" s="82" t="s">
        <v>3224</v>
      </c>
      <c r="C409" s="82" t="s">
        <v>94</v>
      </c>
      <c r="D409" s="82" t="s">
        <v>6636</v>
      </c>
      <c r="E409" s="79" t="s">
        <v>6637</v>
      </c>
      <c r="F409" s="82" t="s">
        <v>5372</v>
      </c>
      <c r="G409" s="82">
        <v>3.0</v>
      </c>
      <c r="H409" s="82">
        <v>2.0</v>
      </c>
      <c r="I409" s="291">
        <v>3.0</v>
      </c>
      <c r="J409" s="291">
        <v>20.0</v>
      </c>
      <c r="K409" s="291">
        <f t="shared" si="22"/>
        <v>6.666666667</v>
      </c>
      <c r="L409" s="288" t="s">
        <v>689</v>
      </c>
    </row>
    <row r="410" ht="15.0" customHeight="1">
      <c r="A410" s="82" t="s">
        <v>3223</v>
      </c>
      <c r="B410" s="82" t="s">
        <v>3224</v>
      </c>
      <c r="C410" s="82" t="s">
        <v>94</v>
      </c>
      <c r="D410" s="82" t="s">
        <v>6638</v>
      </c>
      <c r="E410" s="79" t="s">
        <v>6639</v>
      </c>
      <c r="F410" s="82" t="s">
        <v>5372</v>
      </c>
      <c r="G410" s="82">
        <v>3.0</v>
      </c>
      <c r="H410" s="82">
        <v>2.0</v>
      </c>
      <c r="I410" s="291">
        <v>3.0</v>
      </c>
      <c r="J410" s="291">
        <v>20.0</v>
      </c>
      <c r="K410" s="291">
        <f t="shared" si="22"/>
        <v>6.666666667</v>
      </c>
      <c r="L410" s="288" t="s">
        <v>689</v>
      </c>
    </row>
    <row r="411" ht="15.0" customHeight="1">
      <c r="A411" s="82" t="s">
        <v>3223</v>
      </c>
      <c r="B411" s="82" t="s">
        <v>3224</v>
      </c>
      <c r="C411" s="82" t="s">
        <v>94</v>
      </c>
      <c r="D411" s="82" t="s">
        <v>6640</v>
      </c>
      <c r="E411" s="79" t="s">
        <v>6641</v>
      </c>
      <c r="F411" s="82" t="s">
        <v>5372</v>
      </c>
      <c r="G411" s="82">
        <v>3.0</v>
      </c>
      <c r="H411" s="82">
        <v>2.0</v>
      </c>
      <c r="I411" s="291">
        <v>3.0</v>
      </c>
      <c r="J411" s="291">
        <v>20.0</v>
      </c>
      <c r="K411" s="291">
        <f t="shared" si="22"/>
        <v>6.666666667</v>
      </c>
      <c r="L411" s="288" t="s">
        <v>689</v>
      </c>
    </row>
    <row r="412" ht="15.0" customHeight="1">
      <c r="A412" s="82" t="s">
        <v>3217</v>
      </c>
      <c r="B412" s="82" t="s">
        <v>3218</v>
      </c>
      <c r="C412" s="82" t="s">
        <v>94</v>
      </c>
      <c r="D412" s="82" t="s">
        <v>6642</v>
      </c>
      <c r="E412" s="79" t="s">
        <v>6643</v>
      </c>
      <c r="F412" s="82" t="s">
        <v>5372</v>
      </c>
      <c r="G412" s="82">
        <v>9.0</v>
      </c>
      <c r="H412" s="82">
        <v>1.0</v>
      </c>
      <c r="I412" s="82">
        <v>9.0</v>
      </c>
      <c r="J412" s="152">
        <v>20.0</v>
      </c>
      <c r="K412" s="84">
        <f t="shared" ref="K412:K413" si="23">20/9</f>
        <v>2.222222222</v>
      </c>
      <c r="L412" s="288" t="s">
        <v>689</v>
      </c>
    </row>
    <row r="413" ht="15.0" customHeight="1">
      <c r="A413" s="82" t="s">
        <v>3217</v>
      </c>
      <c r="B413" s="82" t="s">
        <v>3218</v>
      </c>
      <c r="C413" s="82" t="s">
        <v>94</v>
      </c>
      <c r="D413" s="82" t="s">
        <v>6644</v>
      </c>
      <c r="E413" s="79" t="s">
        <v>6645</v>
      </c>
      <c r="F413" s="82" t="s">
        <v>5372</v>
      </c>
      <c r="G413" s="82">
        <v>9.0</v>
      </c>
      <c r="H413" s="82">
        <v>1.0</v>
      </c>
      <c r="I413" s="82">
        <v>9.0</v>
      </c>
      <c r="J413" s="152">
        <v>20.0</v>
      </c>
      <c r="K413" s="84">
        <f t="shared" si="23"/>
        <v>2.222222222</v>
      </c>
      <c r="L413" s="288" t="s">
        <v>689</v>
      </c>
    </row>
    <row r="414" ht="15.0" customHeight="1">
      <c r="A414" s="82" t="s">
        <v>6646</v>
      </c>
      <c r="B414" s="82" t="s">
        <v>6647</v>
      </c>
      <c r="C414" s="82" t="s">
        <v>94</v>
      </c>
      <c r="D414" s="82" t="s">
        <v>6648</v>
      </c>
      <c r="E414" s="79" t="s">
        <v>6649</v>
      </c>
      <c r="F414" s="82" t="s">
        <v>5372</v>
      </c>
      <c r="G414" s="82">
        <v>2.0</v>
      </c>
      <c r="H414" s="82">
        <v>2.0</v>
      </c>
      <c r="I414" s="291">
        <v>2.0</v>
      </c>
      <c r="J414" s="291">
        <v>20.0</v>
      </c>
      <c r="K414" s="291">
        <v>10.0</v>
      </c>
      <c r="L414" s="288" t="s">
        <v>689</v>
      </c>
    </row>
    <row r="415" ht="15.0" customHeight="1">
      <c r="A415" s="85" t="s">
        <v>6646</v>
      </c>
      <c r="B415" s="85" t="s">
        <v>6647</v>
      </c>
      <c r="C415" s="85" t="s">
        <v>94</v>
      </c>
      <c r="D415" s="85" t="s">
        <v>6650</v>
      </c>
      <c r="E415" s="79" t="s">
        <v>6651</v>
      </c>
      <c r="F415" s="85" t="s">
        <v>5372</v>
      </c>
      <c r="G415" s="85">
        <v>2.0</v>
      </c>
      <c r="H415" s="85">
        <v>2.0</v>
      </c>
      <c r="I415" s="291">
        <v>2.0</v>
      </c>
      <c r="J415" s="291">
        <v>20.0</v>
      </c>
      <c r="K415" s="291">
        <v>10.0</v>
      </c>
      <c r="L415" s="288" t="s">
        <v>689</v>
      </c>
    </row>
    <row r="416" ht="15.0" customHeight="1">
      <c r="A416" s="82" t="s">
        <v>6652</v>
      </c>
      <c r="B416" s="82" t="s">
        <v>6653</v>
      </c>
      <c r="C416" s="82" t="s">
        <v>94</v>
      </c>
      <c r="D416" s="82" t="s">
        <v>6654</v>
      </c>
      <c r="E416" s="79" t="s">
        <v>6655</v>
      </c>
      <c r="F416" s="82" t="s">
        <v>5372</v>
      </c>
      <c r="G416" s="82">
        <v>5.0</v>
      </c>
      <c r="H416" s="82">
        <v>1.0</v>
      </c>
      <c r="I416" s="291">
        <v>7.0</v>
      </c>
      <c r="J416" s="291">
        <v>20.0</v>
      </c>
      <c r="K416" s="291">
        <f t="shared" ref="K416:K419" si="24">20/5</f>
        <v>4</v>
      </c>
      <c r="L416" s="288" t="s">
        <v>689</v>
      </c>
    </row>
    <row r="417" ht="15.0" customHeight="1">
      <c r="A417" s="82" t="s">
        <v>6652</v>
      </c>
      <c r="B417" s="82" t="s">
        <v>6653</v>
      </c>
      <c r="C417" s="82" t="s">
        <v>94</v>
      </c>
      <c r="D417" s="82" t="s">
        <v>6656</v>
      </c>
      <c r="E417" s="79" t="s">
        <v>6657</v>
      </c>
      <c r="F417" s="82" t="s">
        <v>5372</v>
      </c>
      <c r="G417" s="82">
        <v>5.0</v>
      </c>
      <c r="H417" s="82">
        <v>1.0</v>
      </c>
      <c r="I417" s="291">
        <v>7.0</v>
      </c>
      <c r="J417" s="291">
        <v>20.0</v>
      </c>
      <c r="K417" s="291">
        <f t="shared" si="24"/>
        <v>4</v>
      </c>
      <c r="L417" s="288" t="s">
        <v>689</v>
      </c>
    </row>
    <row r="418" ht="15.0" customHeight="1">
      <c r="A418" s="82" t="s">
        <v>6652</v>
      </c>
      <c r="B418" s="82" t="s">
        <v>6653</v>
      </c>
      <c r="C418" s="82" t="s">
        <v>94</v>
      </c>
      <c r="D418" s="82" t="s">
        <v>6658</v>
      </c>
      <c r="E418" s="79" t="s">
        <v>6659</v>
      </c>
      <c r="F418" s="82" t="s">
        <v>5372</v>
      </c>
      <c r="G418" s="82">
        <v>5.0</v>
      </c>
      <c r="H418" s="82">
        <v>1.0</v>
      </c>
      <c r="I418" s="291">
        <v>7.0</v>
      </c>
      <c r="J418" s="291">
        <v>20.0</v>
      </c>
      <c r="K418" s="291">
        <f t="shared" si="24"/>
        <v>4</v>
      </c>
      <c r="L418" s="288" t="s">
        <v>689</v>
      </c>
    </row>
    <row r="419" ht="15.0" customHeight="1">
      <c r="A419" s="82" t="s">
        <v>6652</v>
      </c>
      <c r="B419" s="82" t="s">
        <v>6653</v>
      </c>
      <c r="C419" s="82" t="s">
        <v>94</v>
      </c>
      <c r="D419" s="82" t="s">
        <v>6660</v>
      </c>
      <c r="E419" s="79" t="s">
        <v>6661</v>
      </c>
      <c r="F419" s="82" t="s">
        <v>5372</v>
      </c>
      <c r="G419" s="82">
        <v>5.0</v>
      </c>
      <c r="H419" s="82">
        <v>1.0</v>
      </c>
      <c r="I419" s="291">
        <v>7.0</v>
      </c>
      <c r="J419" s="291">
        <v>20.0</v>
      </c>
      <c r="K419" s="291">
        <f t="shared" si="24"/>
        <v>4</v>
      </c>
      <c r="L419" s="288" t="s">
        <v>689</v>
      </c>
    </row>
    <row r="420" ht="15.0" customHeight="1">
      <c r="A420" s="82" t="s">
        <v>3223</v>
      </c>
      <c r="B420" s="82" t="s">
        <v>6662</v>
      </c>
      <c r="C420" s="82" t="s">
        <v>94</v>
      </c>
      <c r="D420" s="82" t="s">
        <v>6663</v>
      </c>
      <c r="E420" s="79" t="s">
        <v>6664</v>
      </c>
      <c r="F420" s="82" t="s">
        <v>5372</v>
      </c>
      <c r="G420" s="82">
        <v>3.0</v>
      </c>
      <c r="H420" s="82">
        <v>2.0</v>
      </c>
      <c r="I420" s="82">
        <v>3.0</v>
      </c>
      <c r="J420" s="152">
        <v>20.0</v>
      </c>
      <c r="K420" s="84">
        <f t="shared" ref="K420:K422" si="25">20/3</f>
        <v>6.666666667</v>
      </c>
      <c r="L420" s="288" t="s">
        <v>689</v>
      </c>
    </row>
    <row r="421" ht="15.0" customHeight="1">
      <c r="A421" s="82" t="s">
        <v>3223</v>
      </c>
      <c r="B421" s="82" t="s">
        <v>6662</v>
      </c>
      <c r="C421" s="82" t="s">
        <v>94</v>
      </c>
      <c r="D421" s="82" t="s">
        <v>6665</v>
      </c>
      <c r="E421" s="79" t="s">
        <v>6666</v>
      </c>
      <c r="F421" s="82" t="s">
        <v>5372</v>
      </c>
      <c r="G421" s="82">
        <v>3.0</v>
      </c>
      <c r="H421" s="82">
        <v>2.0</v>
      </c>
      <c r="I421" s="82">
        <v>3.0</v>
      </c>
      <c r="J421" s="152">
        <v>20.0</v>
      </c>
      <c r="K421" s="84">
        <f t="shared" si="25"/>
        <v>6.666666667</v>
      </c>
      <c r="L421" s="288" t="s">
        <v>689</v>
      </c>
    </row>
    <row r="422" ht="15.0" customHeight="1">
      <c r="A422" s="82" t="s">
        <v>3223</v>
      </c>
      <c r="B422" s="82" t="s">
        <v>6662</v>
      </c>
      <c r="C422" s="82" t="s">
        <v>94</v>
      </c>
      <c r="D422" s="82" t="s">
        <v>6667</v>
      </c>
      <c r="E422" s="79" t="s">
        <v>6668</v>
      </c>
      <c r="F422" s="82" t="s">
        <v>5372</v>
      </c>
      <c r="G422" s="82">
        <v>3.0</v>
      </c>
      <c r="H422" s="82">
        <v>2.0</v>
      </c>
      <c r="I422" s="82">
        <v>3.0</v>
      </c>
      <c r="J422" s="152">
        <v>20.0</v>
      </c>
      <c r="K422" s="84">
        <f t="shared" si="25"/>
        <v>6.666666667</v>
      </c>
      <c r="L422" s="288" t="s">
        <v>689</v>
      </c>
    </row>
    <row r="423" ht="15.0" customHeight="1">
      <c r="A423" s="82" t="s">
        <v>3227</v>
      </c>
      <c r="B423" s="82" t="s">
        <v>3228</v>
      </c>
      <c r="C423" s="82" t="s">
        <v>94</v>
      </c>
      <c r="D423" s="82" t="s">
        <v>6669</v>
      </c>
      <c r="E423" s="79" t="s">
        <v>6670</v>
      </c>
      <c r="F423" s="86" t="s">
        <v>5372</v>
      </c>
      <c r="G423" s="82">
        <v>2.0</v>
      </c>
      <c r="H423" s="82">
        <v>1.0</v>
      </c>
      <c r="I423" s="82">
        <v>12.0</v>
      </c>
      <c r="J423" s="152">
        <v>20.0</v>
      </c>
      <c r="K423" s="84">
        <v>10.0</v>
      </c>
      <c r="L423" s="288" t="s">
        <v>689</v>
      </c>
    </row>
    <row r="424" ht="15.0" customHeight="1">
      <c r="A424" s="82" t="s">
        <v>3227</v>
      </c>
      <c r="B424" s="82" t="s">
        <v>3228</v>
      </c>
      <c r="C424" s="82" t="s">
        <v>94</v>
      </c>
      <c r="D424" s="82" t="s">
        <v>6671</v>
      </c>
      <c r="E424" s="79" t="s">
        <v>6672</v>
      </c>
      <c r="F424" s="86" t="s">
        <v>5372</v>
      </c>
      <c r="G424" s="82">
        <v>2.0</v>
      </c>
      <c r="H424" s="82">
        <v>1.0</v>
      </c>
      <c r="I424" s="82">
        <v>12.0</v>
      </c>
      <c r="J424" s="152">
        <v>20.0</v>
      </c>
      <c r="K424" s="84">
        <v>10.0</v>
      </c>
      <c r="L424" s="288" t="s">
        <v>689</v>
      </c>
    </row>
    <row r="425" ht="15.0" customHeight="1">
      <c r="A425" s="82" t="s">
        <v>3227</v>
      </c>
      <c r="B425" s="82" t="s">
        <v>3228</v>
      </c>
      <c r="C425" s="82" t="s">
        <v>94</v>
      </c>
      <c r="D425" s="82" t="s">
        <v>6673</v>
      </c>
      <c r="E425" s="79" t="s">
        <v>6674</v>
      </c>
      <c r="F425" s="86" t="s">
        <v>5372</v>
      </c>
      <c r="G425" s="82">
        <v>2.0</v>
      </c>
      <c r="H425" s="82">
        <v>1.0</v>
      </c>
      <c r="I425" s="82">
        <v>12.0</v>
      </c>
      <c r="J425" s="152">
        <v>20.0</v>
      </c>
      <c r="K425" s="84">
        <v>10.0</v>
      </c>
      <c r="L425" s="288" t="s">
        <v>689</v>
      </c>
    </row>
    <row r="426" ht="15.0" customHeight="1">
      <c r="A426" s="82" t="s">
        <v>3227</v>
      </c>
      <c r="B426" s="82" t="s">
        <v>3228</v>
      </c>
      <c r="C426" s="82" t="s">
        <v>94</v>
      </c>
      <c r="D426" s="82" t="s">
        <v>6675</v>
      </c>
      <c r="E426" s="79" t="s">
        <v>6676</v>
      </c>
      <c r="F426" s="86" t="s">
        <v>5372</v>
      </c>
      <c r="G426" s="82">
        <v>2.0</v>
      </c>
      <c r="H426" s="82">
        <v>1.0</v>
      </c>
      <c r="I426" s="82">
        <v>12.0</v>
      </c>
      <c r="J426" s="152">
        <v>20.0</v>
      </c>
      <c r="K426" s="84">
        <v>10.0</v>
      </c>
      <c r="L426" s="288" t="s">
        <v>689</v>
      </c>
    </row>
    <row r="427" ht="15.0" customHeight="1">
      <c r="A427" s="82" t="s">
        <v>3227</v>
      </c>
      <c r="B427" s="82" t="s">
        <v>3228</v>
      </c>
      <c r="C427" s="82" t="s">
        <v>94</v>
      </c>
      <c r="D427" s="82" t="s">
        <v>6677</v>
      </c>
      <c r="E427" s="79" t="s">
        <v>6678</v>
      </c>
      <c r="F427" s="86" t="s">
        <v>5372</v>
      </c>
      <c r="G427" s="82">
        <v>2.0</v>
      </c>
      <c r="H427" s="82">
        <v>1.0</v>
      </c>
      <c r="I427" s="82">
        <v>12.0</v>
      </c>
      <c r="J427" s="152">
        <v>20.0</v>
      </c>
      <c r="K427" s="84">
        <v>10.0</v>
      </c>
      <c r="L427" s="288" t="s">
        <v>689</v>
      </c>
    </row>
    <row r="428" ht="15.0" customHeight="1">
      <c r="A428" s="82" t="s">
        <v>3227</v>
      </c>
      <c r="B428" s="82" t="s">
        <v>3228</v>
      </c>
      <c r="C428" s="82" t="s">
        <v>94</v>
      </c>
      <c r="D428" s="82" t="s">
        <v>6679</v>
      </c>
      <c r="E428" s="79" t="s">
        <v>6680</v>
      </c>
      <c r="F428" s="86" t="s">
        <v>5372</v>
      </c>
      <c r="G428" s="82">
        <v>2.0</v>
      </c>
      <c r="H428" s="82">
        <v>1.0</v>
      </c>
      <c r="I428" s="82">
        <v>12.0</v>
      </c>
      <c r="J428" s="152">
        <v>20.0</v>
      </c>
      <c r="K428" s="84">
        <v>10.0</v>
      </c>
      <c r="L428" s="288" t="s">
        <v>689</v>
      </c>
    </row>
    <row r="429" ht="15.0" customHeight="1">
      <c r="A429" s="82" t="s">
        <v>3223</v>
      </c>
      <c r="B429" s="82" t="s">
        <v>6681</v>
      </c>
      <c r="C429" s="82" t="s">
        <v>94</v>
      </c>
      <c r="D429" s="82" t="s">
        <v>6682</v>
      </c>
      <c r="E429" s="79" t="s">
        <v>6683</v>
      </c>
      <c r="F429" s="82" t="s">
        <v>5372</v>
      </c>
      <c r="G429" s="82">
        <v>3.0</v>
      </c>
      <c r="H429" s="82">
        <v>2.0</v>
      </c>
      <c r="I429" s="82">
        <v>3.0</v>
      </c>
      <c r="J429" s="152">
        <v>20.0</v>
      </c>
      <c r="K429" s="84">
        <f>20/2</f>
        <v>10</v>
      </c>
      <c r="L429" s="288" t="s">
        <v>689</v>
      </c>
    </row>
    <row r="430" ht="15.0" customHeight="1">
      <c r="A430" s="78" t="s">
        <v>3266</v>
      </c>
      <c r="B430" s="78" t="s">
        <v>3267</v>
      </c>
      <c r="C430" s="78" t="s">
        <v>94</v>
      </c>
      <c r="D430" s="82" t="s">
        <v>6684</v>
      </c>
      <c r="E430" s="79" t="s">
        <v>6685</v>
      </c>
      <c r="F430" s="79" t="s">
        <v>6685</v>
      </c>
      <c r="G430" s="82">
        <v>1.0</v>
      </c>
      <c r="H430" s="82">
        <v>1.0</v>
      </c>
      <c r="I430" s="291">
        <v>2.0</v>
      </c>
      <c r="J430" s="291">
        <v>20.0</v>
      </c>
      <c r="K430" s="291">
        <v>20.0</v>
      </c>
      <c r="L430" s="288" t="s">
        <v>852</v>
      </c>
    </row>
    <row r="431" ht="15.0" customHeight="1">
      <c r="A431" s="78" t="s">
        <v>3266</v>
      </c>
      <c r="B431" s="78" t="s">
        <v>3267</v>
      </c>
      <c r="C431" s="78" t="s">
        <v>94</v>
      </c>
      <c r="D431" s="82" t="s">
        <v>6686</v>
      </c>
      <c r="E431" s="79" t="s">
        <v>6687</v>
      </c>
      <c r="F431" s="79" t="s">
        <v>6687</v>
      </c>
      <c r="G431" s="99">
        <v>1.0</v>
      </c>
      <c r="H431" s="185">
        <v>1.0</v>
      </c>
      <c r="I431" s="82">
        <v>2.0</v>
      </c>
      <c r="J431" s="82">
        <v>10.0</v>
      </c>
      <c r="K431" s="82">
        <v>10.0</v>
      </c>
      <c r="L431" s="288" t="s">
        <v>852</v>
      </c>
    </row>
    <row r="432" ht="15.0" customHeight="1">
      <c r="A432" s="85" t="s">
        <v>3279</v>
      </c>
      <c r="B432" s="85" t="s">
        <v>6688</v>
      </c>
      <c r="C432" s="78" t="s">
        <v>94</v>
      </c>
      <c r="D432" s="82" t="s">
        <v>6689</v>
      </c>
      <c r="E432" s="79" t="s">
        <v>6690</v>
      </c>
      <c r="F432" s="79" t="s">
        <v>6690</v>
      </c>
      <c r="G432" s="83">
        <v>2.0</v>
      </c>
      <c r="H432" s="92">
        <v>2.0</v>
      </c>
      <c r="I432" s="82">
        <v>3.0</v>
      </c>
      <c r="J432" s="82">
        <v>20.0</v>
      </c>
      <c r="K432" s="82">
        <v>10.0</v>
      </c>
      <c r="L432" s="288" t="s">
        <v>852</v>
      </c>
    </row>
    <row r="433" ht="15.0" customHeight="1">
      <c r="A433" s="85" t="s">
        <v>6691</v>
      </c>
      <c r="B433" s="85" t="s">
        <v>223</v>
      </c>
      <c r="C433" s="78" t="s">
        <v>94</v>
      </c>
      <c r="D433" s="82" t="s">
        <v>6692</v>
      </c>
      <c r="E433" s="79" t="s">
        <v>5800</v>
      </c>
      <c r="F433" s="79" t="s">
        <v>5800</v>
      </c>
      <c r="G433" s="83">
        <v>7.0</v>
      </c>
      <c r="H433" s="92">
        <v>5.0</v>
      </c>
      <c r="I433" s="82">
        <v>7.0</v>
      </c>
      <c r="J433" s="82">
        <v>20.0</v>
      </c>
      <c r="K433" s="82">
        <v>4.0</v>
      </c>
      <c r="L433" s="288" t="s">
        <v>852</v>
      </c>
    </row>
    <row r="434" ht="15.0" customHeight="1">
      <c r="A434" s="85" t="s">
        <v>6691</v>
      </c>
      <c r="B434" s="85" t="s">
        <v>223</v>
      </c>
      <c r="C434" s="78" t="s">
        <v>94</v>
      </c>
      <c r="D434" s="85" t="s">
        <v>6693</v>
      </c>
      <c r="E434" s="85" t="s">
        <v>5880</v>
      </c>
      <c r="F434" s="85" t="s">
        <v>5880</v>
      </c>
      <c r="G434" s="83">
        <v>7.0</v>
      </c>
      <c r="H434" s="92">
        <v>5.0</v>
      </c>
      <c r="I434" s="82">
        <v>7.0</v>
      </c>
      <c r="J434" s="82">
        <v>10.0</v>
      </c>
      <c r="K434" s="82">
        <v>2.0</v>
      </c>
      <c r="L434" s="288" t="s">
        <v>852</v>
      </c>
    </row>
    <row r="435" ht="15.0" customHeight="1">
      <c r="A435" s="85" t="s">
        <v>6691</v>
      </c>
      <c r="B435" s="85" t="s">
        <v>223</v>
      </c>
      <c r="C435" s="78" t="s">
        <v>94</v>
      </c>
      <c r="D435" s="85" t="s">
        <v>6694</v>
      </c>
      <c r="E435" s="79" t="s">
        <v>6695</v>
      </c>
      <c r="F435" s="79" t="s">
        <v>6695</v>
      </c>
      <c r="G435" s="83">
        <v>7.0</v>
      </c>
      <c r="H435" s="92">
        <v>5.0</v>
      </c>
      <c r="I435" s="82">
        <v>7.0</v>
      </c>
      <c r="J435" s="82">
        <v>20.0</v>
      </c>
      <c r="K435" s="82">
        <v>4.0</v>
      </c>
      <c r="L435" s="288" t="s">
        <v>852</v>
      </c>
    </row>
    <row r="436" ht="15.0" customHeight="1">
      <c r="A436" s="82" t="s">
        <v>6696</v>
      </c>
      <c r="B436" s="82" t="s">
        <v>3298</v>
      </c>
      <c r="C436" s="82" t="s">
        <v>182</v>
      </c>
      <c r="D436" s="82" t="s">
        <v>6697</v>
      </c>
      <c r="E436" s="79" t="s">
        <v>6698</v>
      </c>
      <c r="F436" s="82" t="s">
        <v>5372</v>
      </c>
      <c r="G436" s="82">
        <v>2.0</v>
      </c>
      <c r="H436" s="82">
        <v>2.0</v>
      </c>
      <c r="I436" s="294">
        <v>2.0</v>
      </c>
      <c r="J436" s="294">
        <v>20.0</v>
      </c>
      <c r="K436" s="294">
        <f t="shared" ref="K436:K484" si="26">J436/H436</f>
        <v>10</v>
      </c>
      <c r="L436" s="288" t="s">
        <v>870</v>
      </c>
    </row>
    <row r="437" ht="15.0" customHeight="1">
      <c r="A437" s="82" t="s">
        <v>6696</v>
      </c>
      <c r="B437" s="82" t="s">
        <v>3298</v>
      </c>
      <c r="C437" s="82" t="s">
        <v>182</v>
      </c>
      <c r="D437" s="82" t="s">
        <v>6699</v>
      </c>
      <c r="E437" s="79" t="s">
        <v>6700</v>
      </c>
      <c r="F437" s="82" t="s">
        <v>5372</v>
      </c>
      <c r="G437" s="82">
        <v>2.0</v>
      </c>
      <c r="H437" s="82">
        <v>2.0</v>
      </c>
      <c r="I437" s="294">
        <v>2.0</v>
      </c>
      <c r="J437" s="294">
        <v>20.0</v>
      </c>
      <c r="K437" s="294">
        <f t="shared" si="26"/>
        <v>10</v>
      </c>
      <c r="L437" s="288" t="s">
        <v>870</v>
      </c>
    </row>
    <row r="438" ht="15.0" customHeight="1">
      <c r="A438" s="82" t="s">
        <v>6696</v>
      </c>
      <c r="B438" s="82" t="s">
        <v>3298</v>
      </c>
      <c r="C438" s="82" t="s">
        <v>182</v>
      </c>
      <c r="D438" s="82" t="s">
        <v>6701</v>
      </c>
      <c r="E438" s="79" t="s">
        <v>6702</v>
      </c>
      <c r="F438" s="82" t="s">
        <v>5372</v>
      </c>
      <c r="G438" s="82">
        <v>2.0</v>
      </c>
      <c r="H438" s="82">
        <v>2.0</v>
      </c>
      <c r="I438" s="294">
        <v>2.0</v>
      </c>
      <c r="J438" s="294">
        <v>20.0</v>
      </c>
      <c r="K438" s="294">
        <f t="shared" si="26"/>
        <v>10</v>
      </c>
      <c r="L438" s="288" t="s">
        <v>870</v>
      </c>
    </row>
    <row r="439" ht="15.0" customHeight="1">
      <c r="A439" s="82" t="s">
        <v>6696</v>
      </c>
      <c r="B439" s="82" t="s">
        <v>3298</v>
      </c>
      <c r="C439" s="82" t="s">
        <v>182</v>
      </c>
      <c r="D439" s="82" t="s">
        <v>6703</v>
      </c>
      <c r="E439" s="79" t="s">
        <v>6704</v>
      </c>
      <c r="F439" s="82" t="s">
        <v>5372</v>
      </c>
      <c r="G439" s="82">
        <v>2.0</v>
      </c>
      <c r="H439" s="82">
        <v>2.0</v>
      </c>
      <c r="I439" s="294">
        <v>2.0</v>
      </c>
      <c r="J439" s="294">
        <v>20.0</v>
      </c>
      <c r="K439" s="294">
        <f t="shared" si="26"/>
        <v>10</v>
      </c>
      <c r="L439" s="288" t="s">
        <v>870</v>
      </c>
    </row>
    <row r="440" ht="15.0" customHeight="1">
      <c r="A440" s="82" t="s">
        <v>6696</v>
      </c>
      <c r="B440" s="82" t="s">
        <v>3298</v>
      </c>
      <c r="C440" s="82" t="s">
        <v>182</v>
      </c>
      <c r="D440" s="82" t="s">
        <v>6705</v>
      </c>
      <c r="E440" s="79" t="s">
        <v>6706</v>
      </c>
      <c r="F440" s="82" t="s">
        <v>5372</v>
      </c>
      <c r="G440" s="82">
        <v>2.0</v>
      </c>
      <c r="H440" s="82">
        <v>2.0</v>
      </c>
      <c r="I440" s="294">
        <v>2.0</v>
      </c>
      <c r="J440" s="294">
        <v>20.0</v>
      </c>
      <c r="K440" s="294">
        <f t="shared" si="26"/>
        <v>10</v>
      </c>
      <c r="L440" s="288" t="s">
        <v>870</v>
      </c>
    </row>
    <row r="441" ht="15.0" customHeight="1">
      <c r="A441" s="82" t="s">
        <v>6696</v>
      </c>
      <c r="B441" s="82" t="s">
        <v>3298</v>
      </c>
      <c r="C441" s="82" t="s">
        <v>182</v>
      </c>
      <c r="D441" s="82" t="s">
        <v>6707</v>
      </c>
      <c r="E441" s="79" t="s">
        <v>6708</v>
      </c>
      <c r="F441" s="82" t="s">
        <v>5372</v>
      </c>
      <c r="G441" s="82">
        <v>2.0</v>
      </c>
      <c r="H441" s="82">
        <v>2.0</v>
      </c>
      <c r="I441" s="294">
        <v>2.0</v>
      </c>
      <c r="J441" s="294">
        <v>20.0</v>
      </c>
      <c r="K441" s="294">
        <f t="shared" si="26"/>
        <v>10</v>
      </c>
      <c r="L441" s="288" t="s">
        <v>870</v>
      </c>
    </row>
    <row r="442" ht="15.0" customHeight="1">
      <c r="A442" s="82" t="s">
        <v>6696</v>
      </c>
      <c r="B442" s="82" t="s">
        <v>3298</v>
      </c>
      <c r="C442" s="82" t="s">
        <v>182</v>
      </c>
      <c r="D442" s="82" t="s">
        <v>6709</v>
      </c>
      <c r="E442" s="79" t="s">
        <v>6710</v>
      </c>
      <c r="F442" s="82" t="s">
        <v>5372</v>
      </c>
      <c r="G442" s="82">
        <v>2.0</v>
      </c>
      <c r="H442" s="82">
        <v>2.0</v>
      </c>
      <c r="I442" s="294">
        <v>2.0</v>
      </c>
      <c r="J442" s="294">
        <v>20.0</v>
      </c>
      <c r="K442" s="294">
        <f t="shared" si="26"/>
        <v>10</v>
      </c>
      <c r="L442" s="288" t="s">
        <v>870</v>
      </c>
    </row>
    <row r="443" ht="15.0" customHeight="1">
      <c r="A443" s="82" t="s">
        <v>6696</v>
      </c>
      <c r="B443" s="82" t="s">
        <v>3298</v>
      </c>
      <c r="C443" s="82" t="s">
        <v>182</v>
      </c>
      <c r="D443" s="82" t="s">
        <v>6711</v>
      </c>
      <c r="E443" s="79" t="s">
        <v>6712</v>
      </c>
      <c r="F443" s="82" t="s">
        <v>5372</v>
      </c>
      <c r="G443" s="82">
        <v>2.0</v>
      </c>
      <c r="H443" s="82">
        <v>2.0</v>
      </c>
      <c r="I443" s="294">
        <v>2.0</v>
      </c>
      <c r="J443" s="294">
        <v>20.0</v>
      </c>
      <c r="K443" s="294">
        <f t="shared" si="26"/>
        <v>10</v>
      </c>
      <c r="L443" s="288" t="s">
        <v>870</v>
      </c>
    </row>
    <row r="444" ht="15.0" customHeight="1">
      <c r="A444" s="82" t="s">
        <v>6696</v>
      </c>
      <c r="B444" s="82" t="s">
        <v>3298</v>
      </c>
      <c r="C444" s="82" t="s">
        <v>182</v>
      </c>
      <c r="D444" s="82" t="s">
        <v>6713</v>
      </c>
      <c r="E444" s="79" t="s">
        <v>6714</v>
      </c>
      <c r="F444" s="82" t="s">
        <v>5372</v>
      </c>
      <c r="G444" s="82">
        <v>2.0</v>
      </c>
      <c r="H444" s="82">
        <v>2.0</v>
      </c>
      <c r="I444" s="294">
        <v>2.0</v>
      </c>
      <c r="J444" s="294">
        <v>20.0</v>
      </c>
      <c r="K444" s="294">
        <f t="shared" si="26"/>
        <v>10</v>
      </c>
      <c r="L444" s="288" t="s">
        <v>870</v>
      </c>
    </row>
    <row r="445" ht="15.0" customHeight="1">
      <c r="A445" s="82" t="s">
        <v>6696</v>
      </c>
      <c r="B445" s="82" t="s">
        <v>3298</v>
      </c>
      <c r="C445" s="82" t="s">
        <v>182</v>
      </c>
      <c r="D445" s="82" t="s">
        <v>6715</v>
      </c>
      <c r="E445" s="79" t="s">
        <v>6716</v>
      </c>
      <c r="F445" s="82" t="s">
        <v>5372</v>
      </c>
      <c r="G445" s="82">
        <v>2.0</v>
      </c>
      <c r="H445" s="82">
        <v>2.0</v>
      </c>
      <c r="I445" s="294">
        <v>2.0</v>
      </c>
      <c r="J445" s="294">
        <v>20.0</v>
      </c>
      <c r="K445" s="294">
        <f t="shared" si="26"/>
        <v>10</v>
      </c>
      <c r="L445" s="288" t="s">
        <v>870</v>
      </c>
    </row>
    <row r="446" ht="15.0" customHeight="1">
      <c r="A446" s="82" t="s">
        <v>6696</v>
      </c>
      <c r="B446" s="82" t="s">
        <v>3298</v>
      </c>
      <c r="C446" s="82" t="s">
        <v>182</v>
      </c>
      <c r="D446" s="82" t="s">
        <v>6717</v>
      </c>
      <c r="E446" s="79" t="s">
        <v>6716</v>
      </c>
      <c r="F446" s="82" t="s">
        <v>5372</v>
      </c>
      <c r="G446" s="82">
        <v>2.0</v>
      </c>
      <c r="H446" s="82">
        <v>2.0</v>
      </c>
      <c r="I446" s="294">
        <v>2.0</v>
      </c>
      <c r="J446" s="294">
        <v>20.0</v>
      </c>
      <c r="K446" s="294">
        <f t="shared" si="26"/>
        <v>10</v>
      </c>
      <c r="L446" s="288" t="s">
        <v>870</v>
      </c>
    </row>
    <row r="447" ht="15.0" customHeight="1">
      <c r="A447" s="82" t="s">
        <v>6696</v>
      </c>
      <c r="B447" s="82" t="s">
        <v>3298</v>
      </c>
      <c r="C447" s="82" t="s">
        <v>182</v>
      </c>
      <c r="D447" s="82" t="s">
        <v>6718</v>
      </c>
      <c r="E447" s="79" t="s">
        <v>6719</v>
      </c>
      <c r="F447" s="82" t="s">
        <v>5372</v>
      </c>
      <c r="G447" s="82">
        <v>2.0</v>
      </c>
      <c r="H447" s="82">
        <v>2.0</v>
      </c>
      <c r="I447" s="294">
        <v>2.0</v>
      </c>
      <c r="J447" s="294">
        <v>20.0</v>
      </c>
      <c r="K447" s="294">
        <f t="shared" si="26"/>
        <v>10</v>
      </c>
      <c r="L447" s="288" t="s">
        <v>870</v>
      </c>
    </row>
    <row r="448" ht="15.0" customHeight="1">
      <c r="A448" s="82" t="s">
        <v>6696</v>
      </c>
      <c r="B448" s="82" t="s">
        <v>3298</v>
      </c>
      <c r="C448" s="82" t="s">
        <v>182</v>
      </c>
      <c r="D448" s="82" t="s">
        <v>6720</v>
      </c>
      <c r="E448" s="79" t="s">
        <v>6721</v>
      </c>
      <c r="F448" s="82" t="s">
        <v>5372</v>
      </c>
      <c r="G448" s="82">
        <v>2.0</v>
      </c>
      <c r="H448" s="82">
        <v>2.0</v>
      </c>
      <c r="I448" s="294">
        <v>2.0</v>
      </c>
      <c r="J448" s="294">
        <v>20.0</v>
      </c>
      <c r="K448" s="294">
        <f t="shared" si="26"/>
        <v>10</v>
      </c>
      <c r="L448" s="288" t="s">
        <v>870</v>
      </c>
    </row>
    <row r="449" ht="15.0" customHeight="1">
      <c r="A449" s="82" t="s">
        <v>6696</v>
      </c>
      <c r="B449" s="82" t="s">
        <v>3298</v>
      </c>
      <c r="C449" s="82" t="s">
        <v>182</v>
      </c>
      <c r="D449" s="82" t="s">
        <v>6722</v>
      </c>
      <c r="E449" s="79" t="s">
        <v>6723</v>
      </c>
      <c r="F449" s="82" t="s">
        <v>5372</v>
      </c>
      <c r="G449" s="82">
        <v>2.0</v>
      </c>
      <c r="H449" s="82">
        <v>2.0</v>
      </c>
      <c r="I449" s="294">
        <v>2.0</v>
      </c>
      <c r="J449" s="294">
        <v>20.0</v>
      </c>
      <c r="K449" s="294">
        <f t="shared" si="26"/>
        <v>10</v>
      </c>
      <c r="L449" s="288" t="s">
        <v>870</v>
      </c>
    </row>
    <row r="450" ht="15.0" customHeight="1">
      <c r="A450" s="82" t="s">
        <v>6696</v>
      </c>
      <c r="B450" s="82" t="s">
        <v>3298</v>
      </c>
      <c r="C450" s="82" t="s">
        <v>182</v>
      </c>
      <c r="D450" s="82" t="s">
        <v>6724</v>
      </c>
      <c r="E450" s="79" t="s">
        <v>6725</v>
      </c>
      <c r="F450" s="82" t="s">
        <v>5372</v>
      </c>
      <c r="G450" s="82">
        <v>2.0</v>
      </c>
      <c r="H450" s="82">
        <v>2.0</v>
      </c>
      <c r="I450" s="294">
        <v>2.0</v>
      </c>
      <c r="J450" s="294">
        <v>20.0</v>
      </c>
      <c r="K450" s="294">
        <f t="shared" si="26"/>
        <v>10</v>
      </c>
      <c r="L450" s="288" t="s">
        <v>870</v>
      </c>
    </row>
    <row r="451" ht="15.0" customHeight="1">
      <c r="A451" s="82" t="s">
        <v>6696</v>
      </c>
      <c r="B451" s="82" t="s">
        <v>3298</v>
      </c>
      <c r="C451" s="82" t="s">
        <v>182</v>
      </c>
      <c r="D451" s="82" t="s">
        <v>6726</v>
      </c>
      <c r="E451" s="79" t="s">
        <v>6727</v>
      </c>
      <c r="F451" s="82" t="s">
        <v>5372</v>
      </c>
      <c r="G451" s="82">
        <v>2.0</v>
      </c>
      <c r="H451" s="82">
        <v>2.0</v>
      </c>
      <c r="I451" s="294">
        <v>2.0</v>
      </c>
      <c r="J451" s="294">
        <v>20.0</v>
      </c>
      <c r="K451" s="294">
        <f t="shared" si="26"/>
        <v>10</v>
      </c>
      <c r="L451" s="288" t="s">
        <v>870</v>
      </c>
    </row>
    <row r="452" ht="15.0" customHeight="1">
      <c r="A452" s="82" t="s">
        <v>6696</v>
      </c>
      <c r="B452" s="82" t="s">
        <v>3298</v>
      </c>
      <c r="C452" s="82" t="s">
        <v>182</v>
      </c>
      <c r="D452" s="82" t="s">
        <v>6728</v>
      </c>
      <c r="E452" s="79" t="s">
        <v>6729</v>
      </c>
      <c r="F452" s="82" t="s">
        <v>5372</v>
      </c>
      <c r="G452" s="82">
        <v>2.0</v>
      </c>
      <c r="H452" s="82">
        <v>2.0</v>
      </c>
      <c r="I452" s="294">
        <v>2.0</v>
      </c>
      <c r="J452" s="294">
        <v>20.0</v>
      </c>
      <c r="K452" s="294">
        <f t="shared" si="26"/>
        <v>10</v>
      </c>
      <c r="L452" s="288" t="s">
        <v>870</v>
      </c>
    </row>
    <row r="453" ht="15.0" customHeight="1">
      <c r="A453" s="82" t="s">
        <v>6696</v>
      </c>
      <c r="B453" s="82" t="s">
        <v>3298</v>
      </c>
      <c r="C453" s="82" t="s">
        <v>182</v>
      </c>
      <c r="D453" s="82" t="s">
        <v>6730</v>
      </c>
      <c r="E453" s="79" t="s">
        <v>6731</v>
      </c>
      <c r="F453" s="82" t="s">
        <v>5372</v>
      </c>
      <c r="G453" s="82">
        <v>2.0</v>
      </c>
      <c r="H453" s="82">
        <v>2.0</v>
      </c>
      <c r="I453" s="294">
        <v>2.0</v>
      </c>
      <c r="J453" s="294">
        <v>20.0</v>
      </c>
      <c r="K453" s="294">
        <f t="shared" si="26"/>
        <v>10</v>
      </c>
      <c r="L453" s="288" t="s">
        <v>870</v>
      </c>
    </row>
    <row r="454" ht="15.0" customHeight="1">
      <c r="A454" s="82" t="s">
        <v>6732</v>
      </c>
      <c r="B454" s="82" t="s">
        <v>6733</v>
      </c>
      <c r="C454" s="82" t="s">
        <v>182</v>
      </c>
      <c r="D454" s="82" t="s">
        <v>6734</v>
      </c>
      <c r="E454" s="79" t="s">
        <v>6735</v>
      </c>
      <c r="F454" s="82" t="s">
        <v>5372</v>
      </c>
      <c r="G454" s="82">
        <v>1.0</v>
      </c>
      <c r="H454" s="82">
        <v>1.0</v>
      </c>
      <c r="I454" s="294">
        <v>2.0</v>
      </c>
      <c r="J454" s="294">
        <v>20.0</v>
      </c>
      <c r="K454" s="294">
        <f t="shared" si="26"/>
        <v>20</v>
      </c>
      <c r="L454" s="288" t="s">
        <v>870</v>
      </c>
    </row>
    <row r="455" ht="15.0" customHeight="1">
      <c r="A455" s="82" t="s">
        <v>6732</v>
      </c>
      <c r="B455" s="82" t="s">
        <v>6733</v>
      </c>
      <c r="C455" s="82" t="s">
        <v>182</v>
      </c>
      <c r="D455" s="82" t="s">
        <v>6736</v>
      </c>
      <c r="E455" s="79" t="s">
        <v>6737</v>
      </c>
      <c r="F455" s="82" t="s">
        <v>5372</v>
      </c>
      <c r="G455" s="82">
        <v>1.0</v>
      </c>
      <c r="H455" s="82">
        <v>1.0</v>
      </c>
      <c r="I455" s="294">
        <v>2.0</v>
      </c>
      <c r="J455" s="294">
        <v>20.0</v>
      </c>
      <c r="K455" s="294">
        <f t="shared" si="26"/>
        <v>20</v>
      </c>
      <c r="L455" s="288" t="s">
        <v>870</v>
      </c>
    </row>
    <row r="456" ht="15.0" customHeight="1">
      <c r="A456" s="82" t="s">
        <v>6732</v>
      </c>
      <c r="B456" s="82" t="s">
        <v>6733</v>
      </c>
      <c r="C456" s="82" t="s">
        <v>182</v>
      </c>
      <c r="D456" s="82" t="s">
        <v>6738</v>
      </c>
      <c r="E456" s="79" t="s">
        <v>6739</v>
      </c>
      <c r="F456" s="82" t="s">
        <v>5372</v>
      </c>
      <c r="G456" s="82">
        <v>1.0</v>
      </c>
      <c r="H456" s="82">
        <v>1.0</v>
      </c>
      <c r="I456" s="294">
        <v>2.0</v>
      </c>
      <c r="J456" s="294">
        <v>20.0</v>
      </c>
      <c r="K456" s="294">
        <f t="shared" si="26"/>
        <v>20</v>
      </c>
      <c r="L456" s="288" t="s">
        <v>870</v>
      </c>
    </row>
    <row r="457" ht="15.0" customHeight="1">
      <c r="A457" s="82" t="s">
        <v>6732</v>
      </c>
      <c r="B457" s="82" t="s">
        <v>6733</v>
      </c>
      <c r="C457" s="82" t="s">
        <v>182</v>
      </c>
      <c r="D457" s="82" t="s">
        <v>6740</v>
      </c>
      <c r="E457" s="79" t="s">
        <v>6741</v>
      </c>
      <c r="F457" s="82" t="s">
        <v>5372</v>
      </c>
      <c r="G457" s="82">
        <v>1.0</v>
      </c>
      <c r="H457" s="82">
        <v>1.0</v>
      </c>
      <c r="I457" s="294">
        <v>2.0</v>
      </c>
      <c r="J457" s="294">
        <v>20.0</v>
      </c>
      <c r="K457" s="294">
        <f t="shared" si="26"/>
        <v>20</v>
      </c>
      <c r="L457" s="288" t="s">
        <v>870</v>
      </c>
    </row>
    <row r="458" ht="15.0" customHeight="1">
      <c r="A458" s="82" t="s">
        <v>6732</v>
      </c>
      <c r="B458" s="82" t="s">
        <v>6733</v>
      </c>
      <c r="C458" s="82" t="s">
        <v>182</v>
      </c>
      <c r="D458" s="82" t="s">
        <v>6742</v>
      </c>
      <c r="E458" s="79" t="s">
        <v>6743</v>
      </c>
      <c r="F458" s="82" t="s">
        <v>5372</v>
      </c>
      <c r="G458" s="82">
        <v>1.0</v>
      </c>
      <c r="H458" s="82">
        <v>1.0</v>
      </c>
      <c r="I458" s="294">
        <v>2.0</v>
      </c>
      <c r="J458" s="294">
        <v>20.0</v>
      </c>
      <c r="K458" s="294">
        <f t="shared" si="26"/>
        <v>20</v>
      </c>
      <c r="L458" s="288" t="s">
        <v>870</v>
      </c>
    </row>
    <row r="459" ht="15.0" customHeight="1">
      <c r="A459" s="82" t="s">
        <v>6732</v>
      </c>
      <c r="B459" s="82" t="s">
        <v>6733</v>
      </c>
      <c r="C459" s="82" t="s">
        <v>182</v>
      </c>
      <c r="D459" s="82" t="s">
        <v>6744</v>
      </c>
      <c r="E459" s="79" t="s">
        <v>6745</v>
      </c>
      <c r="F459" s="82" t="s">
        <v>5372</v>
      </c>
      <c r="G459" s="82">
        <v>1.0</v>
      </c>
      <c r="H459" s="82">
        <v>1.0</v>
      </c>
      <c r="I459" s="294">
        <v>2.0</v>
      </c>
      <c r="J459" s="294">
        <v>20.0</v>
      </c>
      <c r="K459" s="294">
        <f t="shared" si="26"/>
        <v>20</v>
      </c>
      <c r="L459" s="288" t="s">
        <v>870</v>
      </c>
    </row>
    <row r="460" ht="15.0" customHeight="1">
      <c r="A460" s="82" t="s">
        <v>6732</v>
      </c>
      <c r="B460" s="82" t="s">
        <v>6733</v>
      </c>
      <c r="C460" s="82" t="s">
        <v>182</v>
      </c>
      <c r="D460" s="82" t="s">
        <v>6746</v>
      </c>
      <c r="E460" s="79" t="s">
        <v>6747</v>
      </c>
      <c r="F460" s="82" t="s">
        <v>5372</v>
      </c>
      <c r="G460" s="82">
        <v>1.0</v>
      </c>
      <c r="H460" s="82">
        <v>1.0</v>
      </c>
      <c r="I460" s="294">
        <v>2.0</v>
      </c>
      <c r="J460" s="294">
        <v>20.0</v>
      </c>
      <c r="K460" s="294">
        <f t="shared" si="26"/>
        <v>20</v>
      </c>
      <c r="L460" s="288" t="s">
        <v>870</v>
      </c>
    </row>
    <row r="461" ht="15.0" customHeight="1">
      <c r="A461" s="82" t="s">
        <v>6732</v>
      </c>
      <c r="B461" s="82" t="s">
        <v>6733</v>
      </c>
      <c r="C461" s="82" t="s">
        <v>182</v>
      </c>
      <c r="D461" s="82" t="s">
        <v>6748</v>
      </c>
      <c r="E461" s="79" t="s">
        <v>6749</v>
      </c>
      <c r="F461" s="82" t="s">
        <v>5372</v>
      </c>
      <c r="G461" s="82">
        <v>1.0</v>
      </c>
      <c r="H461" s="82">
        <v>1.0</v>
      </c>
      <c r="I461" s="294">
        <v>2.0</v>
      </c>
      <c r="J461" s="294">
        <v>20.0</v>
      </c>
      <c r="K461" s="294">
        <f t="shared" si="26"/>
        <v>20</v>
      </c>
      <c r="L461" s="288" t="s">
        <v>870</v>
      </c>
    </row>
    <row r="462" ht="15.0" customHeight="1">
      <c r="A462" s="82" t="s">
        <v>6732</v>
      </c>
      <c r="B462" s="82" t="s">
        <v>6733</v>
      </c>
      <c r="C462" s="82" t="s">
        <v>182</v>
      </c>
      <c r="D462" s="82" t="s">
        <v>6750</v>
      </c>
      <c r="E462" s="79" t="s">
        <v>6751</v>
      </c>
      <c r="F462" s="82" t="s">
        <v>5372</v>
      </c>
      <c r="G462" s="82">
        <v>1.0</v>
      </c>
      <c r="H462" s="82">
        <v>1.0</v>
      </c>
      <c r="I462" s="294">
        <v>2.0</v>
      </c>
      <c r="J462" s="294">
        <v>20.0</v>
      </c>
      <c r="K462" s="294">
        <f t="shared" si="26"/>
        <v>20</v>
      </c>
      <c r="L462" s="288" t="s">
        <v>870</v>
      </c>
    </row>
    <row r="463" ht="15.0" customHeight="1">
      <c r="A463" s="82" t="s">
        <v>6732</v>
      </c>
      <c r="B463" s="82" t="s">
        <v>6733</v>
      </c>
      <c r="C463" s="82" t="s">
        <v>182</v>
      </c>
      <c r="D463" s="82" t="s">
        <v>6752</v>
      </c>
      <c r="E463" s="79" t="s">
        <v>6753</v>
      </c>
      <c r="F463" s="82" t="s">
        <v>5372</v>
      </c>
      <c r="G463" s="82">
        <v>1.0</v>
      </c>
      <c r="H463" s="82">
        <v>1.0</v>
      </c>
      <c r="I463" s="294">
        <v>2.0</v>
      </c>
      <c r="J463" s="294">
        <v>20.0</v>
      </c>
      <c r="K463" s="294">
        <f t="shared" si="26"/>
        <v>20</v>
      </c>
      <c r="L463" s="288" t="s">
        <v>870</v>
      </c>
    </row>
    <row r="464" ht="15.0" customHeight="1">
      <c r="A464" s="82" t="s">
        <v>6732</v>
      </c>
      <c r="B464" s="82" t="s">
        <v>6733</v>
      </c>
      <c r="C464" s="82" t="s">
        <v>182</v>
      </c>
      <c r="D464" s="82" t="s">
        <v>6754</v>
      </c>
      <c r="E464" s="79" t="s">
        <v>6755</v>
      </c>
      <c r="F464" s="82" t="s">
        <v>5372</v>
      </c>
      <c r="G464" s="82">
        <v>1.0</v>
      </c>
      <c r="H464" s="82">
        <v>1.0</v>
      </c>
      <c r="I464" s="294">
        <v>2.0</v>
      </c>
      <c r="J464" s="294">
        <v>20.0</v>
      </c>
      <c r="K464" s="294">
        <f t="shared" si="26"/>
        <v>20</v>
      </c>
      <c r="L464" s="288" t="s">
        <v>870</v>
      </c>
    </row>
    <row r="465" ht="15.0" customHeight="1">
      <c r="A465" s="82" t="s">
        <v>6732</v>
      </c>
      <c r="B465" s="82" t="s">
        <v>6733</v>
      </c>
      <c r="C465" s="82" t="s">
        <v>182</v>
      </c>
      <c r="D465" s="82" t="s">
        <v>6756</v>
      </c>
      <c r="E465" s="79" t="s">
        <v>6755</v>
      </c>
      <c r="F465" s="82" t="s">
        <v>5372</v>
      </c>
      <c r="G465" s="82">
        <v>1.0</v>
      </c>
      <c r="H465" s="82">
        <v>1.0</v>
      </c>
      <c r="I465" s="294">
        <v>2.0</v>
      </c>
      <c r="J465" s="294">
        <v>20.0</v>
      </c>
      <c r="K465" s="294">
        <f t="shared" si="26"/>
        <v>20</v>
      </c>
      <c r="L465" s="288" t="s">
        <v>870</v>
      </c>
    </row>
    <row r="466" ht="15.0" customHeight="1">
      <c r="A466" s="82" t="s">
        <v>6757</v>
      </c>
      <c r="B466" s="82" t="s">
        <v>6758</v>
      </c>
      <c r="C466" s="82" t="s">
        <v>182</v>
      </c>
      <c r="D466" s="82" t="s">
        <v>6759</v>
      </c>
      <c r="E466" s="79" t="s">
        <v>6760</v>
      </c>
      <c r="F466" s="82" t="s">
        <v>5372</v>
      </c>
      <c r="G466" s="82">
        <v>1.0</v>
      </c>
      <c r="H466" s="82">
        <v>1.0</v>
      </c>
      <c r="I466" s="294">
        <v>4.0</v>
      </c>
      <c r="J466" s="294">
        <v>20.0</v>
      </c>
      <c r="K466" s="294">
        <f t="shared" si="26"/>
        <v>20</v>
      </c>
      <c r="L466" s="288" t="s">
        <v>870</v>
      </c>
    </row>
    <row r="467" ht="15.0" customHeight="1">
      <c r="A467" s="82" t="s">
        <v>6757</v>
      </c>
      <c r="B467" s="82" t="s">
        <v>6758</v>
      </c>
      <c r="C467" s="82" t="s">
        <v>182</v>
      </c>
      <c r="D467" s="82" t="s">
        <v>6761</v>
      </c>
      <c r="E467" s="79" t="s">
        <v>6762</v>
      </c>
      <c r="F467" s="82" t="s">
        <v>5372</v>
      </c>
      <c r="G467" s="82">
        <v>1.0</v>
      </c>
      <c r="H467" s="82">
        <v>1.0</v>
      </c>
      <c r="I467" s="294">
        <v>4.0</v>
      </c>
      <c r="J467" s="294">
        <v>20.0</v>
      </c>
      <c r="K467" s="294">
        <f t="shared" si="26"/>
        <v>20</v>
      </c>
      <c r="L467" s="288" t="s">
        <v>870</v>
      </c>
    </row>
    <row r="468" ht="15.0" customHeight="1">
      <c r="A468" s="82" t="s">
        <v>6757</v>
      </c>
      <c r="B468" s="82" t="s">
        <v>6758</v>
      </c>
      <c r="C468" s="82" t="s">
        <v>182</v>
      </c>
      <c r="D468" s="82" t="s">
        <v>6763</v>
      </c>
      <c r="E468" s="79" t="s">
        <v>6764</v>
      </c>
      <c r="F468" s="82" t="s">
        <v>5372</v>
      </c>
      <c r="G468" s="82">
        <v>1.0</v>
      </c>
      <c r="H468" s="82">
        <v>1.0</v>
      </c>
      <c r="I468" s="294">
        <v>4.0</v>
      </c>
      <c r="J468" s="294">
        <v>20.0</v>
      </c>
      <c r="K468" s="294">
        <f t="shared" si="26"/>
        <v>20</v>
      </c>
      <c r="L468" s="288" t="s">
        <v>870</v>
      </c>
    </row>
    <row r="469" ht="15.0" customHeight="1">
      <c r="A469" s="82" t="s">
        <v>6757</v>
      </c>
      <c r="B469" s="82" t="s">
        <v>6758</v>
      </c>
      <c r="C469" s="82" t="s">
        <v>182</v>
      </c>
      <c r="D469" s="82" t="s">
        <v>6765</v>
      </c>
      <c r="E469" s="79" t="s">
        <v>6766</v>
      </c>
      <c r="F469" s="82" t="s">
        <v>5372</v>
      </c>
      <c r="G469" s="82">
        <v>1.0</v>
      </c>
      <c r="H469" s="82">
        <v>1.0</v>
      </c>
      <c r="I469" s="294">
        <v>4.0</v>
      </c>
      <c r="J469" s="294">
        <v>20.0</v>
      </c>
      <c r="K469" s="294">
        <f t="shared" si="26"/>
        <v>20</v>
      </c>
      <c r="L469" s="288" t="s">
        <v>870</v>
      </c>
    </row>
    <row r="470" ht="15.0" customHeight="1">
      <c r="A470" s="82" t="s">
        <v>6767</v>
      </c>
      <c r="B470" s="82" t="s">
        <v>6768</v>
      </c>
      <c r="C470" s="82" t="s">
        <v>182</v>
      </c>
      <c r="D470" s="82" t="s">
        <v>3291</v>
      </c>
      <c r="E470" s="79" t="s">
        <v>3292</v>
      </c>
      <c r="F470" s="82" t="s">
        <v>5372</v>
      </c>
      <c r="G470" s="82">
        <v>1.0</v>
      </c>
      <c r="H470" s="82">
        <v>1.0</v>
      </c>
      <c r="I470" s="294">
        <v>2.0</v>
      </c>
      <c r="J470" s="294">
        <v>20.0</v>
      </c>
      <c r="K470" s="294">
        <f t="shared" si="26"/>
        <v>20</v>
      </c>
      <c r="L470" s="288" t="s">
        <v>870</v>
      </c>
    </row>
    <row r="471" ht="15.0" customHeight="1">
      <c r="A471" s="82" t="s">
        <v>6767</v>
      </c>
      <c r="B471" s="82" t="s">
        <v>6768</v>
      </c>
      <c r="C471" s="82" t="s">
        <v>182</v>
      </c>
      <c r="D471" s="82" t="s">
        <v>6769</v>
      </c>
      <c r="E471" s="79" t="s">
        <v>6770</v>
      </c>
      <c r="F471" s="82" t="s">
        <v>5372</v>
      </c>
      <c r="G471" s="82">
        <v>1.0</v>
      </c>
      <c r="H471" s="82">
        <v>1.0</v>
      </c>
      <c r="I471" s="294">
        <v>2.0</v>
      </c>
      <c r="J471" s="294">
        <v>20.0</v>
      </c>
      <c r="K471" s="294">
        <f t="shared" si="26"/>
        <v>20</v>
      </c>
      <c r="L471" s="288" t="s">
        <v>870</v>
      </c>
    </row>
    <row r="472" ht="15.0" customHeight="1">
      <c r="A472" s="82" t="s">
        <v>6767</v>
      </c>
      <c r="B472" s="82" t="s">
        <v>6768</v>
      </c>
      <c r="C472" s="82" t="s">
        <v>182</v>
      </c>
      <c r="D472" s="82" t="s">
        <v>3289</v>
      </c>
      <c r="E472" s="79" t="s">
        <v>6771</v>
      </c>
      <c r="F472" s="82" t="s">
        <v>5372</v>
      </c>
      <c r="G472" s="82">
        <v>1.0</v>
      </c>
      <c r="H472" s="82">
        <v>1.0</v>
      </c>
      <c r="I472" s="294">
        <v>2.0</v>
      </c>
      <c r="J472" s="294">
        <v>20.0</v>
      </c>
      <c r="K472" s="294">
        <f t="shared" si="26"/>
        <v>20</v>
      </c>
      <c r="L472" s="288" t="s">
        <v>870</v>
      </c>
    </row>
    <row r="473" ht="15.0" customHeight="1">
      <c r="A473" s="82" t="s">
        <v>6772</v>
      </c>
      <c r="B473" s="82" t="s">
        <v>3294</v>
      </c>
      <c r="C473" s="82" t="s">
        <v>182</v>
      </c>
      <c r="D473" s="82" t="s">
        <v>4474</v>
      </c>
      <c r="E473" s="79" t="s">
        <v>4475</v>
      </c>
      <c r="F473" s="82" t="s">
        <v>5372</v>
      </c>
      <c r="G473" s="82">
        <v>3.0</v>
      </c>
      <c r="H473" s="82">
        <v>3.0</v>
      </c>
      <c r="I473" s="294">
        <v>3.0</v>
      </c>
      <c r="J473" s="294">
        <v>20.0</v>
      </c>
      <c r="K473" s="294">
        <f t="shared" si="26"/>
        <v>6.666666667</v>
      </c>
      <c r="L473" s="288" t="s">
        <v>870</v>
      </c>
    </row>
    <row r="474" ht="15.0" customHeight="1">
      <c r="A474" s="82" t="s">
        <v>6772</v>
      </c>
      <c r="B474" s="82" t="s">
        <v>3294</v>
      </c>
      <c r="C474" s="82" t="s">
        <v>182</v>
      </c>
      <c r="D474" s="82" t="s">
        <v>4476</v>
      </c>
      <c r="E474" s="79" t="s">
        <v>6773</v>
      </c>
      <c r="F474" s="82" t="s">
        <v>5372</v>
      </c>
      <c r="G474" s="82">
        <v>3.0</v>
      </c>
      <c r="H474" s="82">
        <v>3.0</v>
      </c>
      <c r="I474" s="294">
        <v>3.0</v>
      </c>
      <c r="J474" s="294">
        <v>20.0</v>
      </c>
      <c r="K474" s="294">
        <f t="shared" si="26"/>
        <v>6.666666667</v>
      </c>
      <c r="L474" s="288" t="s">
        <v>870</v>
      </c>
    </row>
    <row r="475" ht="15.0" customHeight="1">
      <c r="A475" s="82" t="s">
        <v>6772</v>
      </c>
      <c r="B475" s="82" t="s">
        <v>3294</v>
      </c>
      <c r="C475" s="82" t="s">
        <v>182</v>
      </c>
      <c r="D475" s="82" t="s">
        <v>3295</v>
      </c>
      <c r="E475" s="79" t="s">
        <v>3296</v>
      </c>
      <c r="F475" s="82" t="s">
        <v>5372</v>
      </c>
      <c r="G475" s="82">
        <v>3.0</v>
      </c>
      <c r="H475" s="82">
        <v>3.0</v>
      </c>
      <c r="I475" s="294">
        <v>3.0</v>
      </c>
      <c r="J475" s="294">
        <v>20.0</v>
      </c>
      <c r="K475" s="294">
        <f t="shared" si="26"/>
        <v>6.666666667</v>
      </c>
      <c r="L475" s="288" t="s">
        <v>870</v>
      </c>
    </row>
    <row r="476" ht="15.0" customHeight="1">
      <c r="A476" s="82" t="s">
        <v>6772</v>
      </c>
      <c r="B476" s="82" t="s">
        <v>3294</v>
      </c>
      <c r="C476" s="82" t="s">
        <v>182</v>
      </c>
      <c r="D476" s="82" t="s">
        <v>6774</v>
      </c>
      <c r="E476" s="79" t="s">
        <v>6775</v>
      </c>
      <c r="F476" s="82" t="s">
        <v>5372</v>
      </c>
      <c r="G476" s="82">
        <v>3.0</v>
      </c>
      <c r="H476" s="82">
        <v>3.0</v>
      </c>
      <c r="I476" s="294">
        <v>3.0</v>
      </c>
      <c r="J476" s="294">
        <v>20.0</v>
      </c>
      <c r="K476" s="294">
        <f t="shared" si="26"/>
        <v>6.666666667</v>
      </c>
      <c r="L476" s="288" t="s">
        <v>870</v>
      </c>
    </row>
    <row r="477" ht="15.0" customHeight="1">
      <c r="A477" s="82" t="s">
        <v>6772</v>
      </c>
      <c r="B477" s="82" t="s">
        <v>3294</v>
      </c>
      <c r="C477" s="82" t="s">
        <v>182</v>
      </c>
      <c r="D477" s="82" t="s">
        <v>6776</v>
      </c>
      <c r="E477" s="79" t="s">
        <v>6777</v>
      </c>
      <c r="F477" s="82" t="s">
        <v>5372</v>
      </c>
      <c r="G477" s="82">
        <v>3.0</v>
      </c>
      <c r="H477" s="82">
        <v>3.0</v>
      </c>
      <c r="I477" s="294">
        <v>3.0</v>
      </c>
      <c r="J477" s="294">
        <v>20.0</v>
      </c>
      <c r="K477" s="294">
        <f t="shared" si="26"/>
        <v>6.666666667</v>
      </c>
      <c r="L477" s="288" t="s">
        <v>870</v>
      </c>
    </row>
    <row r="478" ht="15.0" customHeight="1">
      <c r="A478" s="82" t="s">
        <v>6778</v>
      </c>
      <c r="B478" s="82" t="s">
        <v>6779</v>
      </c>
      <c r="C478" s="82" t="s">
        <v>182</v>
      </c>
      <c r="D478" s="82" t="s">
        <v>6780</v>
      </c>
      <c r="E478" s="79" t="s">
        <v>6781</v>
      </c>
      <c r="F478" s="82" t="s">
        <v>5372</v>
      </c>
      <c r="G478" s="82">
        <v>1.0</v>
      </c>
      <c r="H478" s="82">
        <v>1.0</v>
      </c>
      <c r="I478" s="294">
        <v>1.0</v>
      </c>
      <c r="J478" s="294">
        <v>20.0</v>
      </c>
      <c r="K478" s="294">
        <f t="shared" si="26"/>
        <v>20</v>
      </c>
      <c r="L478" s="288" t="s">
        <v>870</v>
      </c>
    </row>
    <row r="479" ht="15.0" customHeight="1">
      <c r="A479" s="82" t="s">
        <v>6782</v>
      </c>
      <c r="B479" s="82" t="s">
        <v>6783</v>
      </c>
      <c r="C479" s="82" t="s">
        <v>182</v>
      </c>
      <c r="D479" s="82" t="s">
        <v>6784</v>
      </c>
      <c r="E479" s="79" t="s">
        <v>6785</v>
      </c>
      <c r="F479" s="82" t="s">
        <v>5372</v>
      </c>
      <c r="G479" s="82">
        <v>1.0</v>
      </c>
      <c r="H479" s="82">
        <v>1.0</v>
      </c>
      <c r="I479" s="294">
        <v>2.0</v>
      </c>
      <c r="J479" s="294">
        <v>20.0</v>
      </c>
      <c r="K479" s="294">
        <f t="shared" si="26"/>
        <v>20</v>
      </c>
      <c r="L479" s="288" t="s">
        <v>870</v>
      </c>
    </row>
    <row r="480" ht="15.0" customHeight="1">
      <c r="A480" s="82" t="s">
        <v>6782</v>
      </c>
      <c r="B480" s="82" t="s">
        <v>6783</v>
      </c>
      <c r="C480" s="82" t="s">
        <v>182</v>
      </c>
      <c r="D480" s="82" t="s">
        <v>6786</v>
      </c>
      <c r="E480" s="79" t="s">
        <v>6787</v>
      </c>
      <c r="F480" s="82" t="s">
        <v>5372</v>
      </c>
      <c r="G480" s="82">
        <v>1.0</v>
      </c>
      <c r="H480" s="82">
        <v>1.0</v>
      </c>
      <c r="I480" s="294">
        <v>2.0</v>
      </c>
      <c r="J480" s="294">
        <v>20.0</v>
      </c>
      <c r="K480" s="294">
        <f t="shared" si="26"/>
        <v>20</v>
      </c>
      <c r="L480" s="288" t="s">
        <v>870</v>
      </c>
    </row>
    <row r="481" ht="15.0" customHeight="1">
      <c r="A481" s="82" t="s">
        <v>6782</v>
      </c>
      <c r="B481" s="82" t="s">
        <v>6783</v>
      </c>
      <c r="C481" s="82" t="s">
        <v>182</v>
      </c>
      <c r="D481" s="82" t="s">
        <v>3295</v>
      </c>
      <c r="E481" s="79" t="s">
        <v>3296</v>
      </c>
      <c r="F481" s="82" t="s">
        <v>5372</v>
      </c>
      <c r="G481" s="82">
        <v>1.0</v>
      </c>
      <c r="H481" s="82">
        <v>1.0</v>
      </c>
      <c r="I481" s="294">
        <v>2.0</v>
      </c>
      <c r="J481" s="294">
        <v>20.0</v>
      </c>
      <c r="K481" s="294">
        <f t="shared" si="26"/>
        <v>20</v>
      </c>
      <c r="L481" s="288" t="s">
        <v>870</v>
      </c>
    </row>
    <row r="482" ht="15.0" customHeight="1">
      <c r="A482" s="82" t="s">
        <v>6788</v>
      </c>
      <c r="B482" s="82" t="s">
        <v>4069</v>
      </c>
      <c r="C482" s="82" t="s">
        <v>182</v>
      </c>
      <c r="D482" s="82" t="s">
        <v>6789</v>
      </c>
      <c r="E482" s="79" t="s">
        <v>5986</v>
      </c>
      <c r="F482" s="82" t="s">
        <v>5372</v>
      </c>
      <c r="G482" s="82">
        <v>3.0</v>
      </c>
      <c r="H482" s="82">
        <v>3.0</v>
      </c>
      <c r="I482" s="294">
        <v>3.0</v>
      </c>
      <c r="J482" s="294">
        <v>20.0</v>
      </c>
      <c r="K482" s="294">
        <f t="shared" si="26"/>
        <v>6.666666667</v>
      </c>
      <c r="L482" s="288" t="s">
        <v>870</v>
      </c>
    </row>
    <row r="483" ht="15.0" customHeight="1">
      <c r="A483" s="82" t="s">
        <v>5488</v>
      </c>
      <c r="B483" s="82" t="s">
        <v>6790</v>
      </c>
      <c r="C483" s="82" t="s">
        <v>182</v>
      </c>
      <c r="D483" s="82" t="s">
        <v>6791</v>
      </c>
      <c r="E483" s="79" t="s">
        <v>605</v>
      </c>
      <c r="F483" s="82" t="s">
        <v>5372</v>
      </c>
      <c r="G483" s="82">
        <v>1.0</v>
      </c>
      <c r="H483" s="82">
        <v>1.0</v>
      </c>
      <c r="I483" s="294">
        <v>1.0</v>
      </c>
      <c r="J483" s="294">
        <v>20.0</v>
      </c>
      <c r="K483" s="294">
        <f t="shared" si="26"/>
        <v>20</v>
      </c>
      <c r="L483" s="288" t="s">
        <v>870</v>
      </c>
    </row>
    <row r="484" ht="15.0" customHeight="1">
      <c r="A484" s="82" t="s">
        <v>6792</v>
      </c>
      <c r="B484" s="82" t="s">
        <v>6793</v>
      </c>
      <c r="C484" s="82" t="s">
        <v>182</v>
      </c>
      <c r="D484" s="82" t="s">
        <v>6794</v>
      </c>
      <c r="E484" s="79" t="s">
        <v>6795</v>
      </c>
      <c r="F484" s="82" t="s">
        <v>5372</v>
      </c>
      <c r="G484" s="82">
        <v>2.0</v>
      </c>
      <c r="H484" s="82">
        <v>2.0</v>
      </c>
      <c r="I484" s="294">
        <v>2.0</v>
      </c>
      <c r="J484" s="294">
        <v>20.0</v>
      </c>
      <c r="K484" s="294">
        <f t="shared" si="26"/>
        <v>10</v>
      </c>
      <c r="L484" s="288" t="s">
        <v>870</v>
      </c>
    </row>
    <row r="485" ht="15.0" customHeight="1">
      <c r="A485" s="82" t="s">
        <v>6796</v>
      </c>
      <c r="B485" s="82" t="s">
        <v>6797</v>
      </c>
      <c r="C485" s="82" t="s">
        <v>94</v>
      </c>
      <c r="D485" s="78" t="s">
        <v>6798</v>
      </c>
      <c r="E485" s="79" t="s">
        <v>6799</v>
      </c>
      <c r="F485" s="78" t="s">
        <v>6800</v>
      </c>
      <c r="G485" s="82">
        <v>1.0</v>
      </c>
      <c r="H485" s="82">
        <v>1.0</v>
      </c>
      <c r="I485" s="155">
        <v>2.0</v>
      </c>
      <c r="J485" s="155">
        <v>10.0</v>
      </c>
      <c r="K485" s="155">
        <v>10.0</v>
      </c>
      <c r="L485" s="288" t="s">
        <v>880</v>
      </c>
    </row>
    <row r="486" ht="15.0" customHeight="1">
      <c r="A486" s="82" t="s">
        <v>6796</v>
      </c>
      <c r="B486" s="82" t="s">
        <v>6797</v>
      </c>
      <c r="C486" s="82" t="s">
        <v>94</v>
      </c>
      <c r="D486" s="82" t="s">
        <v>6801</v>
      </c>
      <c r="E486" s="79" t="s">
        <v>6802</v>
      </c>
      <c r="F486" s="82" t="s">
        <v>6803</v>
      </c>
      <c r="G486" s="82">
        <v>1.0</v>
      </c>
      <c r="H486" s="82">
        <v>1.0</v>
      </c>
      <c r="I486" s="155">
        <v>2.0</v>
      </c>
      <c r="J486" s="155">
        <v>10.0</v>
      </c>
      <c r="K486" s="155">
        <v>10.0</v>
      </c>
      <c r="L486" s="288" t="s">
        <v>880</v>
      </c>
    </row>
    <row r="487" ht="15.0" customHeight="1">
      <c r="A487" s="82" t="s">
        <v>6796</v>
      </c>
      <c r="B487" s="82" t="s">
        <v>6797</v>
      </c>
      <c r="C487" s="82" t="s">
        <v>94</v>
      </c>
      <c r="D487" s="82" t="s">
        <v>6804</v>
      </c>
      <c r="E487" s="79" t="s">
        <v>6805</v>
      </c>
      <c r="F487" s="82" t="s">
        <v>6806</v>
      </c>
      <c r="G487" s="82">
        <v>1.0</v>
      </c>
      <c r="H487" s="82">
        <v>1.0</v>
      </c>
      <c r="I487" s="155">
        <v>2.0</v>
      </c>
      <c r="J487" s="155">
        <v>20.0</v>
      </c>
      <c r="K487" s="155">
        <v>20.0</v>
      </c>
      <c r="L487" s="288" t="s">
        <v>880</v>
      </c>
    </row>
    <row r="488" ht="15.0" customHeight="1">
      <c r="A488" s="82" t="s">
        <v>6796</v>
      </c>
      <c r="B488" s="82" t="s">
        <v>6797</v>
      </c>
      <c r="C488" s="82" t="s">
        <v>94</v>
      </c>
      <c r="D488" s="82" t="s">
        <v>6807</v>
      </c>
      <c r="E488" s="79" t="s">
        <v>6808</v>
      </c>
      <c r="F488" s="82" t="s">
        <v>6809</v>
      </c>
      <c r="G488" s="82">
        <v>1.0</v>
      </c>
      <c r="H488" s="82">
        <v>1.0</v>
      </c>
      <c r="I488" s="155">
        <v>2.0</v>
      </c>
      <c r="J488" s="155">
        <v>20.0</v>
      </c>
      <c r="K488" s="155">
        <v>20.0</v>
      </c>
      <c r="L488" s="288" t="s">
        <v>880</v>
      </c>
    </row>
    <row r="489" ht="15.0" customHeight="1">
      <c r="A489" s="82" t="s">
        <v>6796</v>
      </c>
      <c r="B489" s="82" t="s">
        <v>6797</v>
      </c>
      <c r="C489" s="82" t="s">
        <v>94</v>
      </c>
      <c r="D489" s="85" t="s">
        <v>6810</v>
      </c>
      <c r="E489" s="79" t="s">
        <v>6811</v>
      </c>
      <c r="F489" s="82" t="s">
        <v>6812</v>
      </c>
      <c r="G489" s="82">
        <v>1.0</v>
      </c>
      <c r="H489" s="82">
        <v>1.0</v>
      </c>
      <c r="I489" s="155">
        <v>2.0</v>
      </c>
      <c r="J489" s="155">
        <v>20.0</v>
      </c>
      <c r="K489" s="155">
        <v>20.0</v>
      </c>
      <c r="L489" s="288" t="s">
        <v>880</v>
      </c>
    </row>
    <row r="490" ht="15.0" customHeight="1">
      <c r="A490" s="82" t="s">
        <v>6796</v>
      </c>
      <c r="B490" s="82" t="s">
        <v>6797</v>
      </c>
      <c r="C490" s="82" t="s">
        <v>94</v>
      </c>
      <c r="D490" s="85" t="s">
        <v>6813</v>
      </c>
      <c r="E490" s="79" t="s">
        <v>6814</v>
      </c>
      <c r="F490" s="315" t="s">
        <v>5213</v>
      </c>
      <c r="G490" s="82">
        <v>1.0</v>
      </c>
      <c r="H490" s="82">
        <v>1.0</v>
      </c>
      <c r="I490" s="155">
        <v>2.0</v>
      </c>
      <c r="J490" s="155">
        <v>20.0</v>
      </c>
      <c r="K490" s="155">
        <v>20.0</v>
      </c>
      <c r="L490" s="288" t="s">
        <v>880</v>
      </c>
    </row>
    <row r="491" ht="15.0" customHeight="1">
      <c r="A491" s="82" t="s">
        <v>6796</v>
      </c>
      <c r="B491" s="82" t="s">
        <v>6797</v>
      </c>
      <c r="C491" s="82" t="s">
        <v>94</v>
      </c>
      <c r="D491" s="82" t="s">
        <v>6815</v>
      </c>
      <c r="E491" s="79" t="s">
        <v>6816</v>
      </c>
      <c r="F491" s="315" t="s">
        <v>6817</v>
      </c>
      <c r="G491" s="82">
        <v>1.0</v>
      </c>
      <c r="H491" s="82">
        <v>1.0</v>
      </c>
      <c r="I491" s="155">
        <v>2.0</v>
      </c>
      <c r="J491" s="155">
        <v>20.0</v>
      </c>
      <c r="K491" s="155">
        <v>20.0</v>
      </c>
      <c r="L491" s="288" t="s">
        <v>880</v>
      </c>
    </row>
    <row r="492" ht="15.0" customHeight="1">
      <c r="A492" s="82" t="s">
        <v>6818</v>
      </c>
      <c r="B492" s="82" t="s">
        <v>3047</v>
      </c>
      <c r="C492" s="82" t="s">
        <v>94</v>
      </c>
      <c r="D492" s="82" t="s">
        <v>6819</v>
      </c>
      <c r="E492" s="79" t="s">
        <v>6820</v>
      </c>
      <c r="F492" s="315" t="s">
        <v>1184</v>
      </c>
      <c r="G492" s="98"/>
      <c r="H492" s="91"/>
      <c r="I492" s="155">
        <v>2.0</v>
      </c>
      <c r="J492" s="155">
        <v>20.0</v>
      </c>
      <c r="K492" s="155">
        <v>10.0</v>
      </c>
      <c r="L492" s="288" t="s">
        <v>880</v>
      </c>
    </row>
    <row r="493" ht="15.0" customHeight="1">
      <c r="A493" s="82" t="s">
        <v>6818</v>
      </c>
      <c r="B493" s="100" t="s">
        <v>3047</v>
      </c>
      <c r="C493" s="82" t="s">
        <v>94</v>
      </c>
      <c r="D493" s="85" t="s">
        <v>6821</v>
      </c>
      <c r="E493" s="79" t="s">
        <v>6822</v>
      </c>
      <c r="F493" s="315" t="s">
        <v>1184</v>
      </c>
      <c r="G493" s="98"/>
      <c r="H493" s="91"/>
      <c r="I493" s="155">
        <v>2.0</v>
      </c>
      <c r="J493" s="155">
        <v>20.0</v>
      </c>
      <c r="K493" s="155">
        <v>10.0</v>
      </c>
      <c r="L493" s="288" t="s">
        <v>880</v>
      </c>
    </row>
    <row r="494" ht="15.0" customHeight="1">
      <c r="A494" s="82" t="s">
        <v>6823</v>
      </c>
      <c r="B494" s="82" t="s">
        <v>6824</v>
      </c>
      <c r="C494" s="82" t="s">
        <v>94</v>
      </c>
      <c r="D494" s="85" t="s">
        <v>6825</v>
      </c>
      <c r="E494" s="79" t="s">
        <v>6826</v>
      </c>
      <c r="F494" s="316" t="s">
        <v>6800</v>
      </c>
      <c r="G494" s="98"/>
      <c r="H494" s="91"/>
      <c r="I494" s="155">
        <v>2.0</v>
      </c>
      <c r="J494" s="155">
        <v>20.0</v>
      </c>
      <c r="K494" s="155">
        <v>20.0</v>
      </c>
      <c r="L494" s="288" t="s">
        <v>880</v>
      </c>
    </row>
    <row r="495" ht="15.0" customHeight="1">
      <c r="A495" s="82" t="s">
        <v>6823</v>
      </c>
      <c r="B495" s="82" t="s">
        <v>6824</v>
      </c>
      <c r="C495" s="82" t="s">
        <v>94</v>
      </c>
      <c r="D495" s="85" t="s">
        <v>6827</v>
      </c>
      <c r="E495" s="79" t="s">
        <v>6828</v>
      </c>
      <c r="F495" s="317" t="s">
        <v>6829</v>
      </c>
      <c r="G495" s="98"/>
      <c r="H495" s="91"/>
      <c r="I495" s="155">
        <v>2.0</v>
      </c>
      <c r="J495" s="155">
        <v>20.0</v>
      </c>
      <c r="K495" s="155">
        <v>20.0</v>
      </c>
      <c r="L495" s="288" t="s">
        <v>880</v>
      </c>
    </row>
    <row r="496" ht="15.0" customHeight="1">
      <c r="A496" s="82" t="s">
        <v>6823</v>
      </c>
      <c r="B496" s="82" t="s">
        <v>6824</v>
      </c>
      <c r="C496" s="82" t="s">
        <v>94</v>
      </c>
      <c r="D496" s="85" t="s">
        <v>6830</v>
      </c>
      <c r="E496" s="79" t="s">
        <v>6831</v>
      </c>
      <c r="F496" s="316" t="s">
        <v>6800</v>
      </c>
      <c r="G496" s="98"/>
      <c r="H496" s="91"/>
      <c r="I496" s="155">
        <v>2.0</v>
      </c>
      <c r="J496" s="155">
        <v>20.0</v>
      </c>
      <c r="K496" s="155">
        <v>20.0</v>
      </c>
      <c r="L496" s="288" t="s">
        <v>880</v>
      </c>
    </row>
    <row r="497" ht="15.0" customHeight="1">
      <c r="A497" s="82" t="s">
        <v>6823</v>
      </c>
      <c r="B497" s="82" t="s">
        <v>6824</v>
      </c>
      <c r="C497" s="82" t="s">
        <v>94</v>
      </c>
      <c r="D497" s="85" t="s">
        <v>6832</v>
      </c>
      <c r="E497" s="79" t="s">
        <v>6833</v>
      </c>
      <c r="F497" s="317" t="s">
        <v>6834</v>
      </c>
      <c r="G497" s="98"/>
      <c r="H497" s="91"/>
      <c r="I497" s="155">
        <v>2.0</v>
      </c>
      <c r="J497" s="155">
        <v>20.0</v>
      </c>
      <c r="K497" s="155">
        <v>20.0</v>
      </c>
      <c r="L497" s="288" t="s">
        <v>880</v>
      </c>
    </row>
    <row r="498" ht="15.0" customHeight="1">
      <c r="A498" s="82" t="s">
        <v>6823</v>
      </c>
      <c r="B498" s="82" t="s">
        <v>6835</v>
      </c>
      <c r="C498" s="82" t="s">
        <v>94</v>
      </c>
      <c r="D498" s="82" t="s">
        <v>6836</v>
      </c>
      <c r="E498" s="79" t="s">
        <v>6837</v>
      </c>
      <c r="F498" s="318" t="s">
        <v>6838</v>
      </c>
      <c r="G498" s="98"/>
      <c r="H498" s="91"/>
      <c r="I498" s="155">
        <v>2.0</v>
      </c>
      <c r="J498" s="155">
        <v>20.0</v>
      </c>
      <c r="K498" s="155">
        <v>20.0</v>
      </c>
      <c r="L498" s="288" t="s">
        <v>880</v>
      </c>
    </row>
    <row r="499" ht="15.0" customHeight="1">
      <c r="A499" s="82" t="s">
        <v>3975</v>
      </c>
      <c r="B499" s="82" t="s">
        <v>3976</v>
      </c>
      <c r="C499" s="85" t="s">
        <v>94</v>
      </c>
      <c r="D499" s="82" t="s">
        <v>6839</v>
      </c>
      <c r="E499" s="79" t="s">
        <v>5880</v>
      </c>
      <c r="F499" s="82" t="s">
        <v>5803</v>
      </c>
      <c r="G499" s="82">
        <v>2.0</v>
      </c>
      <c r="H499" s="82">
        <v>2.0</v>
      </c>
      <c r="I499" s="82">
        <v>2.0</v>
      </c>
      <c r="J499" s="293">
        <v>10.0</v>
      </c>
      <c r="K499" s="291">
        <f t="shared" ref="K499:K515" si="27">J499/G499</f>
        <v>5</v>
      </c>
      <c r="L499" s="288" t="s">
        <v>954</v>
      </c>
    </row>
    <row r="500" ht="15.0" customHeight="1">
      <c r="A500" s="82" t="s">
        <v>3975</v>
      </c>
      <c r="B500" s="82" t="s">
        <v>3976</v>
      </c>
      <c r="C500" s="85" t="s">
        <v>94</v>
      </c>
      <c r="D500" s="82" t="s">
        <v>6840</v>
      </c>
      <c r="E500" s="79" t="s">
        <v>5918</v>
      </c>
      <c r="F500" s="82" t="s">
        <v>5803</v>
      </c>
      <c r="G500" s="82">
        <v>2.0</v>
      </c>
      <c r="H500" s="82">
        <v>2.0</v>
      </c>
      <c r="I500" s="82">
        <v>2.0</v>
      </c>
      <c r="J500" s="293">
        <v>10.0</v>
      </c>
      <c r="K500" s="291">
        <f t="shared" si="27"/>
        <v>5</v>
      </c>
      <c r="L500" s="288" t="s">
        <v>954</v>
      </c>
    </row>
    <row r="501" ht="15.0" customHeight="1">
      <c r="A501" s="78" t="s">
        <v>6841</v>
      </c>
      <c r="B501" s="85" t="s">
        <v>6842</v>
      </c>
      <c r="C501" s="85" t="s">
        <v>94</v>
      </c>
      <c r="D501" s="82" t="s">
        <v>6843</v>
      </c>
      <c r="E501" s="79" t="s">
        <v>6175</v>
      </c>
      <c r="F501" s="82" t="s">
        <v>6844</v>
      </c>
      <c r="G501" s="82">
        <v>4.0</v>
      </c>
      <c r="H501" s="82">
        <v>3.0</v>
      </c>
      <c r="I501" s="82">
        <v>4.0</v>
      </c>
      <c r="J501" s="293">
        <v>20.0</v>
      </c>
      <c r="K501" s="291">
        <f t="shared" si="27"/>
        <v>5</v>
      </c>
      <c r="L501" s="288" t="s">
        <v>954</v>
      </c>
    </row>
    <row r="502" ht="15.0" customHeight="1">
      <c r="A502" s="82" t="s">
        <v>6845</v>
      </c>
      <c r="B502" s="82" t="s">
        <v>3985</v>
      </c>
      <c r="C502" s="82" t="s">
        <v>94</v>
      </c>
      <c r="D502" s="82" t="s">
        <v>6846</v>
      </c>
      <c r="E502" s="79" t="s">
        <v>6847</v>
      </c>
      <c r="F502" s="86" t="s">
        <v>5972</v>
      </c>
      <c r="G502" s="82">
        <v>6.0</v>
      </c>
      <c r="H502" s="82">
        <v>6.0</v>
      </c>
      <c r="I502" s="82">
        <v>6.0</v>
      </c>
      <c r="J502" s="293">
        <v>20.0</v>
      </c>
      <c r="K502" s="291">
        <f t="shared" si="27"/>
        <v>3.333333333</v>
      </c>
      <c r="L502" s="288" t="s">
        <v>954</v>
      </c>
    </row>
    <row r="503" ht="15.0" customHeight="1">
      <c r="A503" s="82" t="s">
        <v>6845</v>
      </c>
      <c r="B503" s="82" t="s">
        <v>3985</v>
      </c>
      <c r="C503" s="82" t="s">
        <v>94</v>
      </c>
      <c r="D503" s="82" t="s">
        <v>6848</v>
      </c>
      <c r="E503" s="79" t="s">
        <v>6849</v>
      </c>
      <c r="F503" s="86" t="s">
        <v>5972</v>
      </c>
      <c r="G503" s="82">
        <v>6.0</v>
      </c>
      <c r="H503" s="82">
        <v>6.0</v>
      </c>
      <c r="I503" s="82">
        <v>6.0</v>
      </c>
      <c r="J503" s="293">
        <v>20.0</v>
      </c>
      <c r="K503" s="291">
        <f t="shared" si="27"/>
        <v>3.333333333</v>
      </c>
      <c r="L503" s="288" t="s">
        <v>954</v>
      </c>
    </row>
    <row r="504" ht="15.0" customHeight="1">
      <c r="A504" s="78" t="s">
        <v>3993</v>
      </c>
      <c r="B504" s="82" t="s">
        <v>3994</v>
      </c>
      <c r="C504" s="78" t="s">
        <v>94</v>
      </c>
      <c r="D504" s="82" t="s">
        <v>6850</v>
      </c>
      <c r="E504" s="79" t="s">
        <v>6851</v>
      </c>
      <c r="F504" s="86" t="s">
        <v>6852</v>
      </c>
      <c r="G504" s="82">
        <v>4.0</v>
      </c>
      <c r="H504" s="82">
        <v>4.0</v>
      </c>
      <c r="I504" s="82">
        <v>4.0</v>
      </c>
      <c r="J504" s="293">
        <v>20.0</v>
      </c>
      <c r="K504" s="291">
        <f t="shared" si="27"/>
        <v>5</v>
      </c>
      <c r="L504" s="288" t="s">
        <v>954</v>
      </c>
    </row>
    <row r="505" ht="15.0" customHeight="1">
      <c r="A505" s="78" t="s">
        <v>4001</v>
      </c>
      <c r="B505" s="82" t="s">
        <v>4002</v>
      </c>
      <c r="C505" s="82" t="s">
        <v>94</v>
      </c>
      <c r="D505" s="82" t="s">
        <v>6853</v>
      </c>
      <c r="E505" s="79" t="s">
        <v>5880</v>
      </c>
      <c r="F505" s="82" t="s">
        <v>5803</v>
      </c>
      <c r="G505" s="82">
        <v>1.0</v>
      </c>
      <c r="H505" s="82">
        <v>1.0</v>
      </c>
      <c r="I505" s="82">
        <v>1.0</v>
      </c>
      <c r="J505" s="152">
        <v>10.0</v>
      </c>
      <c r="K505" s="291">
        <f t="shared" si="27"/>
        <v>10</v>
      </c>
      <c r="L505" s="288" t="s">
        <v>954</v>
      </c>
    </row>
    <row r="506" ht="15.0" customHeight="1">
      <c r="A506" s="78" t="s">
        <v>4004</v>
      </c>
      <c r="B506" s="82" t="s">
        <v>4005</v>
      </c>
      <c r="C506" s="82" t="s">
        <v>94</v>
      </c>
      <c r="D506" s="82" t="s">
        <v>6854</v>
      </c>
      <c r="E506" s="79" t="s">
        <v>6175</v>
      </c>
      <c r="F506" s="82" t="s">
        <v>6844</v>
      </c>
      <c r="G506" s="82">
        <v>5.0</v>
      </c>
      <c r="H506" s="82">
        <v>5.0</v>
      </c>
      <c r="I506" s="82">
        <v>5.0</v>
      </c>
      <c r="J506" s="152">
        <v>20.0</v>
      </c>
      <c r="K506" s="291">
        <f t="shared" si="27"/>
        <v>4</v>
      </c>
      <c r="L506" s="288" t="s">
        <v>954</v>
      </c>
    </row>
    <row r="507" ht="15.0" customHeight="1">
      <c r="A507" s="78" t="s">
        <v>4004</v>
      </c>
      <c r="B507" s="82" t="s">
        <v>4005</v>
      </c>
      <c r="C507" s="82" t="s">
        <v>94</v>
      </c>
      <c r="D507" s="82" t="s">
        <v>6855</v>
      </c>
      <c r="E507" s="79" t="s">
        <v>6170</v>
      </c>
      <c r="F507" s="82" t="s">
        <v>6844</v>
      </c>
      <c r="G507" s="82">
        <v>5.0</v>
      </c>
      <c r="H507" s="82">
        <v>5.0</v>
      </c>
      <c r="I507" s="82">
        <v>5.0</v>
      </c>
      <c r="J507" s="152">
        <v>20.0</v>
      </c>
      <c r="K507" s="291">
        <f t="shared" si="27"/>
        <v>4</v>
      </c>
      <c r="L507" s="288" t="s">
        <v>954</v>
      </c>
    </row>
    <row r="508" ht="15.0" customHeight="1">
      <c r="A508" s="78" t="s">
        <v>224</v>
      </c>
      <c r="B508" s="78" t="s">
        <v>5960</v>
      </c>
      <c r="C508" s="82" t="s">
        <v>94</v>
      </c>
      <c r="D508" s="82" t="s">
        <v>6856</v>
      </c>
      <c r="E508" s="79" t="s">
        <v>5962</v>
      </c>
      <c r="F508" s="82" t="s">
        <v>5803</v>
      </c>
      <c r="G508" s="288">
        <v>5.0</v>
      </c>
      <c r="H508" s="288">
        <v>5.0</v>
      </c>
      <c r="I508" s="288">
        <v>7.0</v>
      </c>
      <c r="J508" s="288">
        <v>10.0</v>
      </c>
      <c r="K508" s="291">
        <f t="shared" si="27"/>
        <v>2</v>
      </c>
      <c r="L508" s="288" t="s">
        <v>954</v>
      </c>
    </row>
    <row r="509" ht="15.0" customHeight="1">
      <c r="A509" s="78" t="s">
        <v>224</v>
      </c>
      <c r="B509" s="78" t="s">
        <v>5960</v>
      </c>
      <c r="C509" s="82" t="s">
        <v>94</v>
      </c>
      <c r="D509" s="82" t="s">
        <v>6857</v>
      </c>
      <c r="E509" s="79" t="s">
        <v>5880</v>
      </c>
      <c r="F509" s="82" t="s">
        <v>5803</v>
      </c>
      <c r="G509" s="288">
        <v>5.0</v>
      </c>
      <c r="H509" s="288">
        <v>5.0</v>
      </c>
      <c r="I509" s="288">
        <v>7.0</v>
      </c>
      <c r="J509" s="288">
        <v>10.0</v>
      </c>
      <c r="K509" s="291">
        <f t="shared" si="27"/>
        <v>2</v>
      </c>
      <c r="L509" s="288" t="s">
        <v>954</v>
      </c>
    </row>
    <row r="510" ht="15.0" customHeight="1">
      <c r="A510" s="157" t="s">
        <v>1740</v>
      </c>
      <c r="B510" s="157" t="s">
        <v>1741</v>
      </c>
      <c r="C510" s="157" t="s">
        <v>94</v>
      </c>
      <c r="D510" s="82" t="s">
        <v>6858</v>
      </c>
      <c r="E510" s="79" t="s">
        <v>5923</v>
      </c>
      <c r="F510" s="82" t="s">
        <v>5924</v>
      </c>
      <c r="G510" s="156">
        <v>3.0</v>
      </c>
      <c r="H510" s="156">
        <v>3.0</v>
      </c>
      <c r="I510" s="100">
        <v>3.0</v>
      </c>
      <c r="J510" s="100">
        <v>20.0</v>
      </c>
      <c r="K510" s="291">
        <f t="shared" si="27"/>
        <v>6.666666667</v>
      </c>
      <c r="L510" s="288" t="s">
        <v>954</v>
      </c>
    </row>
    <row r="511" ht="15.0" customHeight="1">
      <c r="A511" s="78" t="s">
        <v>6859</v>
      </c>
      <c r="B511" s="85" t="s">
        <v>6860</v>
      </c>
      <c r="C511" s="157" t="s">
        <v>94</v>
      </c>
      <c r="D511" s="82" t="s">
        <v>6861</v>
      </c>
      <c r="E511" s="79" t="s">
        <v>5880</v>
      </c>
      <c r="F511" s="82" t="s">
        <v>5803</v>
      </c>
      <c r="G511" s="82">
        <v>4.0</v>
      </c>
      <c r="H511" s="82">
        <v>4.0</v>
      </c>
      <c r="I511" s="82">
        <v>4.0</v>
      </c>
      <c r="J511" s="293">
        <v>10.0</v>
      </c>
      <c r="K511" s="291">
        <f t="shared" si="27"/>
        <v>2.5</v>
      </c>
      <c r="L511" s="288" t="s">
        <v>954</v>
      </c>
    </row>
    <row r="512" ht="15.0" customHeight="1">
      <c r="A512" s="78" t="s">
        <v>6862</v>
      </c>
      <c r="B512" s="82" t="s">
        <v>6863</v>
      </c>
      <c r="C512" s="157" t="s">
        <v>94</v>
      </c>
      <c r="D512" s="82" t="s">
        <v>6864</v>
      </c>
      <c r="E512" s="79" t="s">
        <v>5880</v>
      </c>
      <c r="F512" s="82" t="s">
        <v>5803</v>
      </c>
      <c r="G512" s="82">
        <v>5.0</v>
      </c>
      <c r="H512" s="82">
        <v>5.0</v>
      </c>
      <c r="I512" s="82">
        <v>5.0</v>
      </c>
      <c r="J512" s="293">
        <v>10.0</v>
      </c>
      <c r="K512" s="291">
        <f t="shared" si="27"/>
        <v>2</v>
      </c>
      <c r="L512" s="288" t="s">
        <v>954</v>
      </c>
    </row>
    <row r="513" ht="15.0" customHeight="1">
      <c r="A513" s="157" t="s">
        <v>6865</v>
      </c>
      <c r="B513" s="85" t="s">
        <v>6866</v>
      </c>
      <c r="C513" s="157" t="s">
        <v>94</v>
      </c>
      <c r="D513" s="82" t="s">
        <v>6867</v>
      </c>
      <c r="E513" s="79" t="s">
        <v>6868</v>
      </c>
      <c r="F513" s="82" t="s">
        <v>6575</v>
      </c>
      <c r="G513" s="82">
        <v>3.0</v>
      </c>
      <c r="H513" s="82">
        <v>3.0</v>
      </c>
      <c r="I513" s="82">
        <v>3.0</v>
      </c>
      <c r="J513" s="293">
        <v>20.0</v>
      </c>
      <c r="K513" s="291">
        <f t="shared" si="27"/>
        <v>6.666666667</v>
      </c>
      <c r="L513" s="288" t="s">
        <v>954</v>
      </c>
    </row>
    <row r="514" ht="15.0" customHeight="1">
      <c r="A514" s="78" t="s">
        <v>6869</v>
      </c>
      <c r="B514" s="85" t="s">
        <v>6870</v>
      </c>
      <c r="C514" s="157" t="s">
        <v>94</v>
      </c>
      <c r="D514" s="82" t="s">
        <v>6871</v>
      </c>
      <c r="E514" s="79" t="s">
        <v>5880</v>
      </c>
      <c r="F514" s="82" t="s">
        <v>5803</v>
      </c>
      <c r="G514" s="82">
        <v>4.0</v>
      </c>
      <c r="H514" s="82">
        <v>4.0</v>
      </c>
      <c r="I514" s="82">
        <v>4.0</v>
      </c>
      <c r="J514" s="293">
        <v>10.0</v>
      </c>
      <c r="K514" s="291">
        <f t="shared" si="27"/>
        <v>2.5</v>
      </c>
      <c r="L514" s="288" t="s">
        <v>954</v>
      </c>
    </row>
    <row r="515" ht="15.0" customHeight="1">
      <c r="A515" s="78" t="s">
        <v>6872</v>
      </c>
      <c r="B515" s="85" t="s">
        <v>6873</v>
      </c>
      <c r="C515" s="157" t="s">
        <v>94</v>
      </c>
      <c r="D515" s="82" t="s">
        <v>6874</v>
      </c>
      <c r="E515" s="79" t="s">
        <v>6875</v>
      </c>
      <c r="F515" s="82" t="s">
        <v>6876</v>
      </c>
      <c r="G515" s="82">
        <v>4.0</v>
      </c>
      <c r="H515" s="82">
        <v>4.0</v>
      </c>
      <c r="I515" s="82">
        <v>4.0</v>
      </c>
      <c r="J515" s="293">
        <v>10.0</v>
      </c>
      <c r="K515" s="291">
        <f t="shared" si="27"/>
        <v>2.5</v>
      </c>
      <c r="L515" s="288" t="s">
        <v>954</v>
      </c>
    </row>
    <row r="516" ht="15.0" customHeight="1">
      <c r="A516" s="82" t="s">
        <v>5509</v>
      </c>
      <c r="B516" s="82" t="s">
        <v>6877</v>
      </c>
      <c r="C516" s="148" t="s">
        <v>94</v>
      </c>
      <c r="D516" s="82" t="s">
        <v>6878</v>
      </c>
      <c r="E516" s="82" t="s">
        <v>6879</v>
      </c>
      <c r="F516" s="79" t="s">
        <v>5372</v>
      </c>
      <c r="G516" s="148">
        <v>1.0</v>
      </c>
      <c r="H516" s="148">
        <v>1.0</v>
      </c>
      <c r="I516" s="148">
        <v>1.0</v>
      </c>
      <c r="J516" s="287">
        <v>20.0</v>
      </c>
      <c r="K516" s="287">
        <v>20.0</v>
      </c>
      <c r="L516" s="288" t="s">
        <v>5513</v>
      </c>
    </row>
    <row r="517" ht="15.0" customHeight="1">
      <c r="A517" s="82" t="s">
        <v>6396</v>
      </c>
      <c r="B517" s="82" t="s">
        <v>6397</v>
      </c>
      <c r="C517" s="148" t="s">
        <v>94</v>
      </c>
      <c r="D517" s="78" t="s">
        <v>6398</v>
      </c>
      <c r="E517" s="159" t="s">
        <v>6399</v>
      </c>
      <c r="F517" s="78" t="s">
        <v>6400</v>
      </c>
      <c r="G517" s="148">
        <v>3.0</v>
      </c>
      <c r="H517" s="148">
        <v>3.0</v>
      </c>
      <c r="I517" s="148">
        <v>3.0</v>
      </c>
      <c r="J517" s="287">
        <v>20.0</v>
      </c>
      <c r="K517" s="287">
        <v>6.66</v>
      </c>
      <c r="L517" s="288" t="s">
        <v>5513</v>
      </c>
    </row>
    <row r="518" ht="15.0" customHeight="1">
      <c r="A518" s="82" t="s">
        <v>6401</v>
      </c>
      <c r="B518" s="82" t="s">
        <v>6402</v>
      </c>
      <c r="C518" s="149" t="s">
        <v>94</v>
      </c>
      <c r="D518" s="82" t="s">
        <v>6403</v>
      </c>
      <c r="E518" s="82" t="s">
        <v>6404</v>
      </c>
      <c r="F518" s="78" t="s">
        <v>5372</v>
      </c>
      <c r="G518" s="148">
        <v>2.0</v>
      </c>
      <c r="H518" s="148">
        <v>2.0</v>
      </c>
      <c r="I518" s="148">
        <v>2.0</v>
      </c>
      <c r="J518" s="287">
        <v>20.0</v>
      </c>
      <c r="K518" s="287">
        <v>10.0</v>
      </c>
      <c r="L518" s="288" t="s">
        <v>5513</v>
      </c>
    </row>
    <row r="519" ht="15.0" customHeight="1">
      <c r="A519" s="148" t="s">
        <v>6880</v>
      </c>
      <c r="B519" s="148" t="s">
        <v>6881</v>
      </c>
      <c r="C519" s="148" t="s">
        <v>94</v>
      </c>
      <c r="D519" s="82" t="s">
        <v>6882</v>
      </c>
      <c r="E519" s="161" t="s">
        <v>6883</v>
      </c>
      <c r="F519" s="148" t="s">
        <v>5208</v>
      </c>
      <c r="G519" s="148">
        <v>1.0</v>
      </c>
      <c r="H519" s="148">
        <v>1.0</v>
      </c>
      <c r="I519" s="287">
        <v>3.0</v>
      </c>
      <c r="J519" s="287">
        <v>20.0</v>
      </c>
      <c r="K519" s="287">
        <v>20.0</v>
      </c>
      <c r="L519" s="288" t="s">
        <v>4024</v>
      </c>
    </row>
    <row r="520" ht="15.0" customHeight="1">
      <c r="A520" s="148" t="s">
        <v>6884</v>
      </c>
      <c r="B520" s="148" t="s">
        <v>6885</v>
      </c>
      <c r="C520" s="148" t="s">
        <v>94</v>
      </c>
      <c r="D520" s="147" t="s">
        <v>6886</v>
      </c>
      <c r="E520" s="147" t="s">
        <v>6887</v>
      </c>
      <c r="F520" s="147" t="s">
        <v>5372</v>
      </c>
      <c r="G520" s="190">
        <v>2.0</v>
      </c>
      <c r="H520" s="319">
        <v>2.0</v>
      </c>
      <c r="I520" s="148">
        <v>2.0</v>
      </c>
      <c r="J520" s="148">
        <v>20.0</v>
      </c>
      <c r="K520" s="148">
        <v>10.0</v>
      </c>
      <c r="L520" s="288" t="s">
        <v>4024</v>
      </c>
    </row>
    <row r="521" ht="15.0" customHeight="1">
      <c r="A521" s="148" t="s">
        <v>6884</v>
      </c>
      <c r="B521" s="148" t="s">
        <v>6888</v>
      </c>
      <c r="C521" s="148" t="s">
        <v>94</v>
      </c>
      <c r="D521" s="148" t="s">
        <v>6889</v>
      </c>
      <c r="E521" s="148" t="s">
        <v>6890</v>
      </c>
      <c r="F521" s="147" t="s">
        <v>6891</v>
      </c>
      <c r="G521" s="190">
        <v>2.0</v>
      </c>
      <c r="H521" s="319">
        <v>2.0</v>
      </c>
      <c r="I521" s="148">
        <v>2.0</v>
      </c>
      <c r="J521" s="148">
        <v>20.0</v>
      </c>
      <c r="K521" s="148">
        <v>10.0</v>
      </c>
      <c r="L521" s="288" t="s">
        <v>4024</v>
      </c>
    </row>
    <row r="522" ht="15.0" customHeight="1">
      <c r="A522" s="148" t="s">
        <v>6884</v>
      </c>
      <c r="B522" s="148" t="s">
        <v>6892</v>
      </c>
      <c r="C522" s="148" t="s">
        <v>94</v>
      </c>
      <c r="D522" s="320" t="s">
        <v>6893</v>
      </c>
      <c r="E522" s="148" t="s">
        <v>6894</v>
      </c>
      <c r="F522" s="148" t="s">
        <v>6895</v>
      </c>
      <c r="G522" s="190">
        <v>2.0</v>
      </c>
      <c r="H522" s="319">
        <v>2.0</v>
      </c>
      <c r="I522" s="148">
        <v>2.0</v>
      </c>
      <c r="J522" s="148">
        <v>20.0</v>
      </c>
      <c r="K522" s="148">
        <v>10.0</v>
      </c>
      <c r="L522" s="288" t="s">
        <v>4024</v>
      </c>
    </row>
    <row r="523" ht="15.0" customHeight="1">
      <c r="A523" s="148" t="s">
        <v>6884</v>
      </c>
      <c r="B523" s="148" t="s">
        <v>6896</v>
      </c>
      <c r="C523" s="148" t="s">
        <v>94</v>
      </c>
      <c r="D523" s="149" t="s">
        <v>6897</v>
      </c>
      <c r="E523" s="149" t="s">
        <v>6898</v>
      </c>
      <c r="F523" s="148" t="s">
        <v>6899</v>
      </c>
      <c r="G523" s="190">
        <v>2.0</v>
      </c>
      <c r="H523" s="319">
        <v>2.0</v>
      </c>
      <c r="I523" s="148">
        <v>2.0</v>
      </c>
      <c r="J523" s="148">
        <v>20.0</v>
      </c>
      <c r="K523" s="148">
        <v>10.0</v>
      </c>
      <c r="L523" s="288" t="s">
        <v>4024</v>
      </c>
    </row>
    <row r="524" ht="15.0" customHeight="1">
      <c r="A524" s="148" t="s">
        <v>6884</v>
      </c>
      <c r="B524" s="148" t="s">
        <v>6900</v>
      </c>
      <c r="C524" s="148" t="s">
        <v>94</v>
      </c>
      <c r="D524" s="149" t="s">
        <v>6901</v>
      </c>
      <c r="E524" s="149" t="s">
        <v>6902</v>
      </c>
      <c r="F524" s="148" t="s">
        <v>6899</v>
      </c>
      <c r="G524" s="190">
        <v>2.0</v>
      </c>
      <c r="H524" s="319">
        <v>2.0</v>
      </c>
      <c r="I524" s="148">
        <v>2.0</v>
      </c>
      <c r="J524" s="148">
        <v>20.0</v>
      </c>
      <c r="K524" s="148">
        <v>10.0</v>
      </c>
      <c r="L524" s="288" t="s">
        <v>4024</v>
      </c>
    </row>
    <row r="525" ht="15.0" customHeight="1">
      <c r="A525" s="148" t="s">
        <v>6884</v>
      </c>
      <c r="B525" s="148" t="s">
        <v>6903</v>
      </c>
      <c r="C525" s="148" t="s">
        <v>94</v>
      </c>
      <c r="D525" s="149" t="s">
        <v>6904</v>
      </c>
      <c r="E525" s="149" t="s">
        <v>6905</v>
      </c>
      <c r="F525" s="148" t="s">
        <v>6899</v>
      </c>
      <c r="G525" s="190">
        <v>2.0</v>
      </c>
      <c r="H525" s="319">
        <v>2.0</v>
      </c>
      <c r="I525" s="148">
        <v>2.0</v>
      </c>
      <c r="J525" s="148">
        <v>20.0</v>
      </c>
      <c r="K525" s="148">
        <v>10.0</v>
      </c>
      <c r="L525" s="288" t="s">
        <v>4024</v>
      </c>
    </row>
    <row r="526" ht="15.0" customHeight="1">
      <c r="A526" s="148" t="s">
        <v>6884</v>
      </c>
      <c r="B526" s="148" t="s">
        <v>6906</v>
      </c>
      <c r="C526" s="148" t="s">
        <v>94</v>
      </c>
      <c r="D526" s="149" t="s">
        <v>6907</v>
      </c>
      <c r="E526" s="149" t="s">
        <v>6908</v>
      </c>
      <c r="F526" s="148" t="s">
        <v>6899</v>
      </c>
      <c r="G526" s="191">
        <v>2.0</v>
      </c>
      <c r="H526" s="162">
        <v>2.0</v>
      </c>
      <c r="I526" s="148">
        <v>2.0</v>
      </c>
      <c r="J526" s="148">
        <v>20.0</v>
      </c>
      <c r="K526" s="148">
        <v>10.0</v>
      </c>
      <c r="L526" s="288" t="s">
        <v>4024</v>
      </c>
    </row>
    <row r="527" ht="15.0" customHeight="1">
      <c r="A527" s="82" t="s">
        <v>4043</v>
      </c>
      <c r="B527" s="82" t="s">
        <v>4044</v>
      </c>
      <c r="C527" s="82" t="s">
        <v>94</v>
      </c>
      <c r="D527" s="82" t="s">
        <v>6909</v>
      </c>
      <c r="E527" s="82" t="s">
        <v>6910</v>
      </c>
      <c r="F527" s="86"/>
      <c r="G527" s="82"/>
      <c r="H527" s="82">
        <v>1.0</v>
      </c>
      <c r="I527" s="82">
        <v>2.0</v>
      </c>
      <c r="J527" s="293">
        <v>20.0</v>
      </c>
      <c r="K527" s="84">
        <v>20.0</v>
      </c>
      <c r="L527" s="288" t="s">
        <v>4028</v>
      </c>
    </row>
    <row r="528" ht="15.0" customHeight="1">
      <c r="A528" s="82" t="s">
        <v>6696</v>
      </c>
      <c r="B528" s="82" t="s">
        <v>3298</v>
      </c>
      <c r="C528" s="82" t="s">
        <v>182</v>
      </c>
      <c r="D528" s="82" t="s">
        <v>6697</v>
      </c>
      <c r="E528" s="79" t="s">
        <v>6698</v>
      </c>
      <c r="F528" s="82" t="s">
        <v>5372</v>
      </c>
      <c r="G528" s="82">
        <v>2.0</v>
      </c>
      <c r="H528" s="82">
        <v>2.0</v>
      </c>
      <c r="I528" s="291">
        <v>2.0</v>
      </c>
      <c r="J528" s="291">
        <v>20.0</v>
      </c>
      <c r="K528" s="291">
        <f t="shared" ref="K528:K551" si="28">J528/H528</f>
        <v>10</v>
      </c>
      <c r="L528" s="288" t="s">
        <v>4078</v>
      </c>
    </row>
    <row r="529" ht="15.0" customHeight="1">
      <c r="A529" s="82" t="s">
        <v>6696</v>
      </c>
      <c r="B529" s="82" t="s">
        <v>3298</v>
      </c>
      <c r="C529" s="82" t="s">
        <v>182</v>
      </c>
      <c r="D529" s="82" t="s">
        <v>6699</v>
      </c>
      <c r="E529" s="79" t="s">
        <v>6700</v>
      </c>
      <c r="F529" s="82" t="s">
        <v>5372</v>
      </c>
      <c r="G529" s="82">
        <v>2.0</v>
      </c>
      <c r="H529" s="82">
        <v>2.0</v>
      </c>
      <c r="I529" s="291">
        <v>2.0</v>
      </c>
      <c r="J529" s="291">
        <v>20.0</v>
      </c>
      <c r="K529" s="291">
        <f t="shared" si="28"/>
        <v>10</v>
      </c>
      <c r="L529" s="288" t="s">
        <v>4078</v>
      </c>
    </row>
    <row r="530" ht="15.0" customHeight="1">
      <c r="A530" s="82" t="s">
        <v>6696</v>
      </c>
      <c r="B530" s="82" t="s">
        <v>3298</v>
      </c>
      <c r="C530" s="82" t="s">
        <v>182</v>
      </c>
      <c r="D530" s="82" t="s">
        <v>6701</v>
      </c>
      <c r="E530" s="79" t="s">
        <v>6702</v>
      </c>
      <c r="F530" s="82" t="s">
        <v>5372</v>
      </c>
      <c r="G530" s="82">
        <v>2.0</v>
      </c>
      <c r="H530" s="82">
        <v>2.0</v>
      </c>
      <c r="I530" s="291">
        <v>2.0</v>
      </c>
      <c r="J530" s="291">
        <v>20.0</v>
      </c>
      <c r="K530" s="291">
        <f t="shared" si="28"/>
        <v>10</v>
      </c>
      <c r="L530" s="288" t="s">
        <v>4078</v>
      </c>
    </row>
    <row r="531" ht="15.0" customHeight="1">
      <c r="A531" s="82" t="s">
        <v>6696</v>
      </c>
      <c r="B531" s="82" t="s">
        <v>3298</v>
      </c>
      <c r="C531" s="82" t="s">
        <v>182</v>
      </c>
      <c r="D531" s="82" t="s">
        <v>6703</v>
      </c>
      <c r="E531" s="79" t="s">
        <v>6704</v>
      </c>
      <c r="F531" s="82" t="s">
        <v>5372</v>
      </c>
      <c r="G531" s="82">
        <v>2.0</v>
      </c>
      <c r="H531" s="82">
        <v>2.0</v>
      </c>
      <c r="I531" s="291">
        <v>2.0</v>
      </c>
      <c r="J531" s="291">
        <v>20.0</v>
      </c>
      <c r="K531" s="291">
        <f t="shared" si="28"/>
        <v>10</v>
      </c>
      <c r="L531" s="288" t="s">
        <v>4078</v>
      </c>
    </row>
    <row r="532" ht="15.0" customHeight="1">
      <c r="A532" s="82" t="s">
        <v>6696</v>
      </c>
      <c r="B532" s="82" t="s">
        <v>3298</v>
      </c>
      <c r="C532" s="82" t="s">
        <v>182</v>
      </c>
      <c r="D532" s="82" t="s">
        <v>6705</v>
      </c>
      <c r="E532" s="79" t="s">
        <v>6706</v>
      </c>
      <c r="F532" s="82" t="s">
        <v>5372</v>
      </c>
      <c r="G532" s="82">
        <v>2.0</v>
      </c>
      <c r="H532" s="82">
        <v>2.0</v>
      </c>
      <c r="I532" s="291">
        <v>2.0</v>
      </c>
      <c r="J532" s="291">
        <v>20.0</v>
      </c>
      <c r="K532" s="291">
        <f t="shared" si="28"/>
        <v>10</v>
      </c>
      <c r="L532" s="288" t="s">
        <v>4078</v>
      </c>
    </row>
    <row r="533" ht="15.0" customHeight="1">
      <c r="A533" s="82" t="s">
        <v>6696</v>
      </c>
      <c r="B533" s="82" t="s">
        <v>3298</v>
      </c>
      <c r="C533" s="82" t="s">
        <v>182</v>
      </c>
      <c r="D533" s="82" t="s">
        <v>6707</v>
      </c>
      <c r="E533" s="79" t="s">
        <v>6708</v>
      </c>
      <c r="F533" s="82" t="s">
        <v>5372</v>
      </c>
      <c r="G533" s="82">
        <v>2.0</v>
      </c>
      <c r="H533" s="82">
        <v>2.0</v>
      </c>
      <c r="I533" s="291">
        <v>2.0</v>
      </c>
      <c r="J533" s="291">
        <v>20.0</v>
      </c>
      <c r="K533" s="291">
        <f t="shared" si="28"/>
        <v>10</v>
      </c>
      <c r="L533" s="288" t="s">
        <v>4078</v>
      </c>
    </row>
    <row r="534" ht="15.0" customHeight="1">
      <c r="A534" s="82" t="s">
        <v>6696</v>
      </c>
      <c r="B534" s="82" t="s">
        <v>3298</v>
      </c>
      <c r="C534" s="82" t="s">
        <v>182</v>
      </c>
      <c r="D534" s="82" t="s">
        <v>6709</v>
      </c>
      <c r="E534" s="79" t="s">
        <v>6710</v>
      </c>
      <c r="F534" s="82" t="s">
        <v>5372</v>
      </c>
      <c r="G534" s="82">
        <v>2.0</v>
      </c>
      <c r="H534" s="82">
        <v>2.0</v>
      </c>
      <c r="I534" s="291">
        <v>2.0</v>
      </c>
      <c r="J534" s="291">
        <v>20.0</v>
      </c>
      <c r="K534" s="291">
        <f t="shared" si="28"/>
        <v>10</v>
      </c>
      <c r="L534" s="288" t="s">
        <v>4078</v>
      </c>
    </row>
    <row r="535" ht="15.0" customHeight="1">
      <c r="A535" s="82" t="s">
        <v>6696</v>
      </c>
      <c r="B535" s="82" t="s">
        <v>3298</v>
      </c>
      <c r="C535" s="82" t="s">
        <v>182</v>
      </c>
      <c r="D535" s="82" t="s">
        <v>6711</v>
      </c>
      <c r="E535" s="79" t="s">
        <v>6712</v>
      </c>
      <c r="F535" s="82" t="s">
        <v>5372</v>
      </c>
      <c r="G535" s="82">
        <v>2.0</v>
      </c>
      <c r="H535" s="82">
        <v>2.0</v>
      </c>
      <c r="I535" s="291">
        <v>2.0</v>
      </c>
      <c r="J535" s="291">
        <v>20.0</v>
      </c>
      <c r="K535" s="291">
        <f t="shared" si="28"/>
        <v>10</v>
      </c>
      <c r="L535" s="288" t="s">
        <v>4078</v>
      </c>
    </row>
    <row r="536" ht="15.0" customHeight="1">
      <c r="A536" s="82" t="s">
        <v>6696</v>
      </c>
      <c r="B536" s="82" t="s">
        <v>3298</v>
      </c>
      <c r="C536" s="82" t="s">
        <v>182</v>
      </c>
      <c r="D536" s="82" t="s">
        <v>6713</v>
      </c>
      <c r="E536" s="79" t="s">
        <v>6714</v>
      </c>
      <c r="F536" s="82" t="s">
        <v>5372</v>
      </c>
      <c r="G536" s="82">
        <v>2.0</v>
      </c>
      <c r="H536" s="82">
        <v>2.0</v>
      </c>
      <c r="I536" s="291">
        <v>2.0</v>
      </c>
      <c r="J536" s="291">
        <v>20.0</v>
      </c>
      <c r="K536" s="291">
        <f t="shared" si="28"/>
        <v>10</v>
      </c>
      <c r="L536" s="288" t="s">
        <v>4078</v>
      </c>
    </row>
    <row r="537" ht="15.0" customHeight="1">
      <c r="A537" s="82" t="s">
        <v>6696</v>
      </c>
      <c r="B537" s="82" t="s">
        <v>3298</v>
      </c>
      <c r="C537" s="82" t="s">
        <v>182</v>
      </c>
      <c r="D537" s="82" t="s">
        <v>6715</v>
      </c>
      <c r="E537" s="79" t="s">
        <v>6716</v>
      </c>
      <c r="F537" s="82" t="s">
        <v>5372</v>
      </c>
      <c r="G537" s="82">
        <v>2.0</v>
      </c>
      <c r="H537" s="82">
        <v>2.0</v>
      </c>
      <c r="I537" s="291">
        <v>2.0</v>
      </c>
      <c r="J537" s="291">
        <v>20.0</v>
      </c>
      <c r="K537" s="291">
        <f t="shared" si="28"/>
        <v>10</v>
      </c>
      <c r="L537" s="288" t="s">
        <v>4078</v>
      </c>
    </row>
    <row r="538" ht="15.0" customHeight="1">
      <c r="A538" s="82" t="s">
        <v>6696</v>
      </c>
      <c r="B538" s="82" t="s">
        <v>3298</v>
      </c>
      <c r="C538" s="82" t="s">
        <v>182</v>
      </c>
      <c r="D538" s="82" t="s">
        <v>6717</v>
      </c>
      <c r="E538" s="79" t="s">
        <v>6716</v>
      </c>
      <c r="F538" s="82" t="s">
        <v>5372</v>
      </c>
      <c r="G538" s="82">
        <v>2.0</v>
      </c>
      <c r="H538" s="82">
        <v>2.0</v>
      </c>
      <c r="I538" s="291">
        <v>2.0</v>
      </c>
      <c r="J538" s="291">
        <v>20.0</v>
      </c>
      <c r="K538" s="291">
        <f t="shared" si="28"/>
        <v>10</v>
      </c>
      <c r="L538" s="288" t="s">
        <v>4078</v>
      </c>
    </row>
    <row r="539" ht="15.0" customHeight="1">
      <c r="A539" s="82" t="s">
        <v>6696</v>
      </c>
      <c r="B539" s="82" t="s">
        <v>3298</v>
      </c>
      <c r="C539" s="82" t="s">
        <v>182</v>
      </c>
      <c r="D539" s="82" t="s">
        <v>6718</v>
      </c>
      <c r="E539" s="79" t="s">
        <v>6719</v>
      </c>
      <c r="F539" s="82" t="s">
        <v>5372</v>
      </c>
      <c r="G539" s="82">
        <v>2.0</v>
      </c>
      <c r="H539" s="82">
        <v>2.0</v>
      </c>
      <c r="I539" s="291">
        <v>2.0</v>
      </c>
      <c r="J539" s="291">
        <v>20.0</v>
      </c>
      <c r="K539" s="291">
        <f t="shared" si="28"/>
        <v>10</v>
      </c>
      <c r="L539" s="288" t="s">
        <v>4078</v>
      </c>
    </row>
    <row r="540" ht="15.0" customHeight="1">
      <c r="A540" s="82" t="s">
        <v>6696</v>
      </c>
      <c r="B540" s="82" t="s">
        <v>3298</v>
      </c>
      <c r="C540" s="82" t="s">
        <v>182</v>
      </c>
      <c r="D540" s="82" t="s">
        <v>6720</v>
      </c>
      <c r="E540" s="79" t="s">
        <v>6721</v>
      </c>
      <c r="F540" s="82" t="s">
        <v>5372</v>
      </c>
      <c r="G540" s="82">
        <v>2.0</v>
      </c>
      <c r="H540" s="82">
        <v>2.0</v>
      </c>
      <c r="I540" s="291">
        <v>2.0</v>
      </c>
      <c r="J540" s="291">
        <v>20.0</v>
      </c>
      <c r="K540" s="291">
        <f t="shared" si="28"/>
        <v>10</v>
      </c>
      <c r="L540" s="288" t="s">
        <v>4078</v>
      </c>
    </row>
    <row r="541" ht="15.0" customHeight="1">
      <c r="A541" s="82" t="s">
        <v>6696</v>
      </c>
      <c r="B541" s="82" t="s">
        <v>3298</v>
      </c>
      <c r="C541" s="82" t="s">
        <v>182</v>
      </c>
      <c r="D541" s="82" t="s">
        <v>6722</v>
      </c>
      <c r="E541" s="79" t="s">
        <v>6723</v>
      </c>
      <c r="F541" s="82" t="s">
        <v>5372</v>
      </c>
      <c r="G541" s="82">
        <v>2.0</v>
      </c>
      <c r="H541" s="82">
        <v>2.0</v>
      </c>
      <c r="I541" s="291">
        <v>2.0</v>
      </c>
      <c r="J541" s="291">
        <v>20.0</v>
      </c>
      <c r="K541" s="291">
        <f t="shared" si="28"/>
        <v>10</v>
      </c>
      <c r="L541" s="288" t="s">
        <v>4078</v>
      </c>
    </row>
    <row r="542" ht="15.0" customHeight="1">
      <c r="A542" s="82" t="s">
        <v>6696</v>
      </c>
      <c r="B542" s="82" t="s">
        <v>3298</v>
      </c>
      <c r="C542" s="82" t="s">
        <v>182</v>
      </c>
      <c r="D542" s="82" t="s">
        <v>6724</v>
      </c>
      <c r="E542" s="79" t="s">
        <v>6725</v>
      </c>
      <c r="F542" s="82" t="s">
        <v>5372</v>
      </c>
      <c r="G542" s="82">
        <v>2.0</v>
      </c>
      <c r="H542" s="82">
        <v>2.0</v>
      </c>
      <c r="I542" s="291">
        <v>2.0</v>
      </c>
      <c r="J542" s="291">
        <v>20.0</v>
      </c>
      <c r="K542" s="291">
        <f t="shared" si="28"/>
        <v>10</v>
      </c>
      <c r="L542" s="288" t="s">
        <v>4078</v>
      </c>
    </row>
    <row r="543" ht="15.0" customHeight="1">
      <c r="A543" s="82" t="s">
        <v>6696</v>
      </c>
      <c r="B543" s="82" t="s">
        <v>3298</v>
      </c>
      <c r="C543" s="82" t="s">
        <v>182</v>
      </c>
      <c r="D543" s="82" t="s">
        <v>6726</v>
      </c>
      <c r="E543" s="79" t="s">
        <v>6727</v>
      </c>
      <c r="F543" s="82" t="s">
        <v>5372</v>
      </c>
      <c r="G543" s="82">
        <v>2.0</v>
      </c>
      <c r="H543" s="82">
        <v>2.0</v>
      </c>
      <c r="I543" s="291">
        <v>2.0</v>
      </c>
      <c r="J543" s="291">
        <v>20.0</v>
      </c>
      <c r="K543" s="291">
        <f t="shared" si="28"/>
        <v>10</v>
      </c>
      <c r="L543" s="288" t="s">
        <v>4078</v>
      </c>
    </row>
    <row r="544" ht="15.0" customHeight="1">
      <c r="A544" s="82" t="s">
        <v>6696</v>
      </c>
      <c r="B544" s="82" t="s">
        <v>3298</v>
      </c>
      <c r="C544" s="82" t="s">
        <v>182</v>
      </c>
      <c r="D544" s="82" t="s">
        <v>6728</v>
      </c>
      <c r="E544" s="79" t="s">
        <v>6729</v>
      </c>
      <c r="F544" s="82" t="s">
        <v>5372</v>
      </c>
      <c r="G544" s="82">
        <v>2.0</v>
      </c>
      <c r="H544" s="82">
        <v>2.0</v>
      </c>
      <c r="I544" s="291">
        <v>2.0</v>
      </c>
      <c r="J544" s="291">
        <v>20.0</v>
      </c>
      <c r="K544" s="291">
        <f t="shared" si="28"/>
        <v>10</v>
      </c>
      <c r="L544" s="288" t="s">
        <v>4078</v>
      </c>
    </row>
    <row r="545" ht="15.0" customHeight="1">
      <c r="A545" s="82" t="s">
        <v>6696</v>
      </c>
      <c r="B545" s="82" t="s">
        <v>3298</v>
      </c>
      <c r="C545" s="82" t="s">
        <v>182</v>
      </c>
      <c r="D545" s="82" t="s">
        <v>6730</v>
      </c>
      <c r="E545" s="79" t="s">
        <v>6731</v>
      </c>
      <c r="F545" s="82" t="s">
        <v>5372</v>
      </c>
      <c r="G545" s="82">
        <v>2.0</v>
      </c>
      <c r="H545" s="82">
        <v>2.0</v>
      </c>
      <c r="I545" s="291">
        <v>2.0</v>
      </c>
      <c r="J545" s="291">
        <v>20.0</v>
      </c>
      <c r="K545" s="291">
        <f t="shared" si="28"/>
        <v>10</v>
      </c>
      <c r="L545" s="288" t="s">
        <v>4078</v>
      </c>
    </row>
    <row r="546" ht="15.0" customHeight="1">
      <c r="A546" s="82" t="s">
        <v>6696</v>
      </c>
      <c r="B546" s="82" t="s">
        <v>3298</v>
      </c>
      <c r="C546" s="82" t="s">
        <v>182</v>
      </c>
      <c r="D546" s="82" t="s">
        <v>6911</v>
      </c>
      <c r="E546" s="79" t="s">
        <v>6912</v>
      </c>
      <c r="F546" s="82" t="s">
        <v>5372</v>
      </c>
      <c r="G546" s="82">
        <v>2.0</v>
      </c>
      <c r="H546" s="82">
        <v>2.0</v>
      </c>
      <c r="I546" s="291">
        <v>2.0</v>
      </c>
      <c r="J546" s="291">
        <v>20.0</v>
      </c>
      <c r="K546" s="291">
        <f t="shared" si="28"/>
        <v>10</v>
      </c>
      <c r="L546" s="288" t="s">
        <v>4078</v>
      </c>
    </row>
    <row r="547" ht="15.0" customHeight="1">
      <c r="A547" s="82" t="s">
        <v>6696</v>
      </c>
      <c r="B547" s="82" t="s">
        <v>3298</v>
      </c>
      <c r="C547" s="82" t="s">
        <v>182</v>
      </c>
      <c r="D547" s="82" t="s">
        <v>6913</v>
      </c>
      <c r="E547" s="79" t="s">
        <v>866</v>
      </c>
      <c r="F547" s="82" t="s">
        <v>5372</v>
      </c>
      <c r="G547" s="82">
        <v>2.0</v>
      </c>
      <c r="H547" s="82">
        <v>2.0</v>
      </c>
      <c r="I547" s="291">
        <v>2.0</v>
      </c>
      <c r="J547" s="291">
        <v>20.0</v>
      </c>
      <c r="K547" s="291">
        <f t="shared" si="28"/>
        <v>10</v>
      </c>
      <c r="L547" s="288" t="s">
        <v>4078</v>
      </c>
    </row>
    <row r="548" ht="15.0" customHeight="1">
      <c r="A548" s="82" t="s">
        <v>6914</v>
      </c>
      <c r="B548" s="82" t="s">
        <v>6915</v>
      </c>
      <c r="C548" s="82" t="s">
        <v>182</v>
      </c>
      <c r="D548" s="82" t="s">
        <v>6916</v>
      </c>
      <c r="E548" s="79" t="s">
        <v>6917</v>
      </c>
      <c r="F548" s="82" t="s">
        <v>5372</v>
      </c>
      <c r="G548" s="82">
        <v>2.0</v>
      </c>
      <c r="H548" s="82">
        <v>2.0</v>
      </c>
      <c r="I548" s="291">
        <v>2.0</v>
      </c>
      <c r="J548" s="291">
        <v>20.0</v>
      </c>
      <c r="K548" s="291">
        <f t="shared" si="28"/>
        <v>10</v>
      </c>
      <c r="L548" s="288" t="s">
        <v>4078</v>
      </c>
    </row>
    <row r="549" ht="15.0" customHeight="1">
      <c r="A549" s="82" t="s">
        <v>6914</v>
      </c>
      <c r="B549" s="82" t="s">
        <v>6915</v>
      </c>
      <c r="C549" s="82" t="s">
        <v>182</v>
      </c>
      <c r="D549" s="82" t="s">
        <v>6913</v>
      </c>
      <c r="E549" s="79" t="s">
        <v>866</v>
      </c>
      <c r="F549" s="82" t="s">
        <v>5372</v>
      </c>
      <c r="G549" s="82">
        <v>2.0</v>
      </c>
      <c r="H549" s="82">
        <v>2.0</v>
      </c>
      <c r="I549" s="291">
        <v>2.0</v>
      </c>
      <c r="J549" s="291">
        <v>20.0</v>
      </c>
      <c r="K549" s="291">
        <f t="shared" si="28"/>
        <v>10</v>
      </c>
      <c r="L549" s="288" t="s">
        <v>4078</v>
      </c>
    </row>
    <row r="550" ht="15.0" customHeight="1">
      <c r="A550" s="82" t="s">
        <v>6696</v>
      </c>
      <c r="B550" s="82" t="s">
        <v>6918</v>
      </c>
      <c r="C550" s="82" t="s">
        <v>182</v>
      </c>
      <c r="D550" s="82" t="s">
        <v>6916</v>
      </c>
      <c r="E550" s="79" t="s">
        <v>6917</v>
      </c>
      <c r="F550" s="82" t="s">
        <v>5372</v>
      </c>
      <c r="G550" s="82">
        <v>2.0</v>
      </c>
      <c r="H550" s="82">
        <v>2.0</v>
      </c>
      <c r="I550" s="291">
        <v>2.0</v>
      </c>
      <c r="J550" s="291">
        <v>20.0</v>
      </c>
      <c r="K550" s="291">
        <f t="shared" si="28"/>
        <v>10</v>
      </c>
      <c r="L550" s="288" t="s">
        <v>4078</v>
      </c>
    </row>
    <row r="551" ht="15.0" customHeight="1">
      <c r="A551" s="82" t="s">
        <v>6696</v>
      </c>
      <c r="B551" s="82" t="s">
        <v>6919</v>
      </c>
      <c r="C551" s="82" t="s">
        <v>182</v>
      </c>
      <c r="D551" s="82" t="s">
        <v>6916</v>
      </c>
      <c r="E551" s="79" t="s">
        <v>6917</v>
      </c>
      <c r="F551" s="82" t="s">
        <v>5372</v>
      </c>
      <c r="G551" s="82">
        <v>2.0</v>
      </c>
      <c r="H551" s="82">
        <v>2.0</v>
      </c>
      <c r="I551" s="291">
        <v>2.0</v>
      </c>
      <c r="J551" s="291">
        <v>20.0</v>
      </c>
      <c r="K551" s="291">
        <f t="shared" si="28"/>
        <v>10</v>
      </c>
      <c r="L551" s="288" t="s">
        <v>4078</v>
      </c>
    </row>
    <row r="552" ht="15.0" customHeight="1">
      <c r="A552" s="83" t="s">
        <v>6920</v>
      </c>
      <c r="B552" s="83" t="s">
        <v>182</v>
      </c>
      <c r="C552" s="83" t="s">
        <v>6921</v>
      </c>
      <c r="D552" s="83" t="s">
        <v>6922</v>
      </c>
      <c r="E552" s="306" t="s">
        <v>6923</v>
      </c>
      <c r="F552" s="83" t="s">
        <v>6924</v>
      </c>
      <c r="G552" s="83">
        <v>3.0</v>
      </c>
      <c r="H552" s="83">
        <v>2.0</v>
      </c>
      <c r="I552" s="83">
        <v>3.0</v>
      </c>
      <c r="J552" s="83">
        <v>20.0</v>
      </c>
      <c r="K552" s="82">
        <v>6.66</v>
      </c>
      <c r="L552" s="288" t="s">
        <v>971</v>
      </c>
    </row>
    <row r="553" ht="15.0" customHeight="1">
      <c r="A553" s="82" t="s">
        <v>2507</v>
      </c>
      <c r="B553" s="82" t="s">
        <v>182</v>
      </c>
      <c r="C553" s="82" t="s">
        <v>2508</v>
      </c>
      <c r="D553" s="83" t="s">
        <v>6161</v>
      </c>
      <c r="E553" s="306" t="s">
        <v>6162</v>
      </c>
      <c r="F553" s="83" t="s">
        <v>6163</v>
      </c>
      <c r="G553" s="83">
        <v>3.0</v>
      </c>
      <c r="H553" s="83">
        <v>3.0</v>
      </c>
      <c r="I553" s="83">
        <v>3.0</v>
      </c>
      <c r="J553" s="83">
        <v>10.0</v>
      </c>
      <c r="K553" s="82">
        <v>3.33</v>
      </c>
      <c r="L553" s="288" t="s">
        <v>971</v>
      </c>
    </row>
    <row r="554" ht="15.0" customHeight="1">
      <c r="A554" s="82" t="s">
        <v>6925</v>
      </c>
      <c r="B554" s="82" t="s">
        <v>182</v>
      </c>
      <c r="C554" s="82" t="s">
        <v>6926</v>
      </c>
      <c r="D554" s="82" t="s">
        <v>6927</v>
      </c>
      <c r="E554" s="79" t="s">
        <v>6928</v>
      </c>
      <c r="F554" s="83" t="s">
        <v>6176</v>
      </c>
      <c r="G554" s="83">
        <v>2.0</v>
      </c>
      <c r="H554" s="83">
        <v>1.0</v>
      </c>
      <c r="I554" s="83">
        <v>2.0</v>
      </c>
      <c r="J554" s="83">
        <v>20.0</v>
      </c>
      <c r="K554" s="82">
        <v>10.0</v>
      </c>
      <c r="L554" s="288" t="s">
        <v>971</v>
      </c>
    </row>
    <row r="555" ht="15.0" customHeight="1">
      <c r="A555" s="82" t="s">
        <v>6929</v>
      </c>
      <c r="B555" s="82" t="s">
        <v>182</v>
      </c>
      <c r="C555" s="82" t="s">
        <v>6930</v>
      </c>
      <c r="D555" s="82" t="s">
        <v>6931</v>
      </c>
      <c r="E555" s="79" t="s">
        <v>6932</v>
      </c>
      <c r="F555" s="83" t="s">
        <v>6176</v>
      </c>
      <c r="G555" s="83">
        <v>1.0</v>
      </c>
      <c r="H555" s="83">
        <v>1.0</v>
      </c>
      <c r="I555" s="83">
        <v>1.0</v>
      </c>
      <c r="J555" s="83">
        <v>20.0</v>
      </c>
      <c r="K555" s="82">
        <v>20.0</v>
      </c>
      <c r="L555" s="288" t="s">
        <v>971</v>
      </c>
    </row>
    <row r="556" ht="15.0" customHeight="1">
      <c r="A556" s="82" t="s">
        <v>4085</v>
      </c>
      <c r="B556" s="82" t="s">
        <v>182</v>
      </c>
      <c r="C556" s="82" t="s">
        <v>6933</v>
      </c>
      <c r="D556" s="82" t="s">
        <v>6927</v>
      </c>
      <c r="E556" s="79" t="s">
        <v>6928</v>
      </c>
      <c r="F556" s="83" t="s">
        <v>6176</v>
      </c>
      <c r="G556" s="83">
        <v>2.0</v>
      </c>
      <c r="H556" s="83">
        <v>1.0</v>
      </c>
      <c r="I556" s="83">
        <v>2.0</v>
      </c>
      <c r="J556" s="83">
        <v>20.0</v>
      </c>
      <c r="K556" s="82">
        <v>10.0</v>
      </c>
      <c r="L556" s="288" t="s">
        <v>971</v>
      </c>
    </row>
    <row r="557" ht="15.0" customHeight="1">
      <c r="A557" s="82" t="s">
        <v>6934</v>
      </c>
      <c r="B557" s="82" t="s">
        <v>182</v>
      </c>
      <c r="C557" s="82" t="s">
        <v>6935</v>
      </c>
      <c r="D557" s="82" t="s">
        <v>6927</v>
      </c>
      <c r="E557" s="79" t="s">
        <v>6928</v>
      </c>
      <c r="F557" s="83" t="s">
        <v>6176</v>
      </c>
      <c r="G557" s="83">
        <v>6.0</v>
      </c>
      <c r="H557" s="83">
        <v>6.0</v>
      </c>
      <c r="I557" s="83">
        <v>6.0</v>
      </c>
      <c r="J557" s="83">
        <v>20.0</v>
      </c>
      <c r="K557" s="82">
        <v>3.33</v>
      </c>
      <c r="L557" s="288" t="s">
        <v>971</v>
      </c>
    </row>
    <row r="558" ht="15.0" customHeight="1">
      <c r="A558" s="82" t="s">
        <v>6936</v>
      </c>
      <c r="B558" s="82" t="s">
        <v>182</v>
      </c>
      <c r="C558" s="82" t="s">
        <v>6937</v>
      </c>
      <c r="D558" s="82" t="s">
        <v>6927</v>
      </c>
      <c r="E558" s="79" t="s">
        <v>6928</v>
      </c>
      <c r="F558" s="83" t="s">
        <v>6176</v>
      </c>
      <c r="G558" s="83">
        <v>4.0</v>
      </c>
      <c r="H558" s="83">
        <v>4.0</v>
      </c>
      <c r="I558" s="83">
        <v>4.0</v>
      </c>
      <c r="J558" s="83">
        <v>20.0</v>
      </c>
      <c r="K558" s="82">
        <v>5.0</v>
      </c>
      <c r="L558" s="288" t="s">
        <v>971</v>
      </c>
    </row>
    <row r="559" ht="15.0" customHeight="1">
      <c r="A559" s="82" t="s">
        <v>6938</v>
      </c>
      <c r="B559" s="82" t="s">
        <v>182</v>
      </c>
      <c r="C559" s="82" t="s">
        <v>6939</v>
      </c>
      <c r="D559" s="82" t="s">
        <v>6927</v>
      </c>
      <c r="E559" s="79" t="s">
        <v>6928</v>
      </c>
      <c r="F559" s="83" t="s">
        <v>6176</v>
      </c>
      <c r="G559" s="83">
        <v>2.0</v>
      </c>
      <c r="H559" s="83">
        <v>2.0</v>
      </c>
      <c r="I559" s="83">
        <v>2.0</v>
      </c>
      <c r="J559" s="83">
        <v>20.0</v>
      </c>
      <c r="K559" s="82">
        <v>10.0</v>
      </c>
      <c r="L559" s="288" t="s">
        <v>971</v>
      </c>
    </row>
    <row r="560" ht="15.0" customHeight="1">
      <c r="A560" s="82" t="s">
        <v>6940</v>
      </c>
      <c r="B560" s="82" t="s">
        <v>182</v>
      </c>
      <c r="C560" s="82" t="s">
        <v>6941</v>
      </c>
      <c r="D560" s="82" t="s">
        <v>6931</v>
      </c>
      <c r="E560" s="79" t="s">
        <v>6932</v>
      </c>
      <c r="F560" s="83" t="s">
        <v>6176</v>
      </c>
      <c r="G560" s="83">
        <v>2.0</v>
      </c>
      <c r="H560" s="83">
        <v>2.0</v>
      </c>
      <c r="I560" s="83">
        <v>2.0</v>
      </c>
      <c r="J560" s="83">
        <v>20.0</v>
      </c>
      <c r="K560" s="82">
        <v>10.0</v>
      </c>
      <c r="L560" s="288" t="s">
        <v>971</v>
      </c>
    </row>
    <row r="561" ht="15.0" customHeight="1">
      <c r="A561" s="83" t="s">
        <v>6942</v>
      </c>
      <c r="B561" s="83"/>
      <c r="C561" s="83" t="s">
        <v>6943</v>
      </c>
      <c r="D561" s="82" t="s">
        <v>6931</v>
      </c>
      <c r="E561" s="79" t="s">
        <v>6932</v>
      </c>
      <c r="F561" s="83" t="s">
        <v>6176</v>
      </c>
      <c r="G561" s="82">
        <v>6.0</v>
      </c>
      <c r="H561" s="82">
        <v>6.0</v>
      </c>
      <c r="I561" s="82">
        <v>6.0</v>
      </c>
      <c r="J561" s="82">
        <v>20.0</v>
      </c>
      <c r="K561" s="82">
        <v>3.33</v>
      </c>
      <c r="L561" s="288" t="s">
        <v>971</v>
      </c>
    </row>
    <row r="562" ht="15.0" customHeight="1">
      <c r="A562" s="82" t="s">
        <v>6936</v>
      </c>
      <c r="B562" s="82" t="s">
        <v>182</v>
      </c>
      <c r="C562" s="82" t="s">
        <v>6944</v>
      </c>
      <c r="D562" s="82" t="s">
        <v>6931</v>
      </c>
      <c r="E562" s="79" t="s">
        <v>6932</v>
      </c>
      <c r="F562" s="83" t="s">
        <v>6176</v>
      </c>
      <c r="G562" s="82">
        <v>4.0</v>
      </c>
      <c r="H562" s="82">
        <v>4.0</v>
      </c>
      <c r="I562" s="82">
        <v>4.0</v>
      </c>
      <c r="J562" s="82">
        <v>20.0</v>
      </c>
      <c r="K562" s="82">
        <v>5.0</v>
      </c>
      <c r="L562" s="288" t="s">
        <v>971</v>
      </c>
    </row>
    <row r="563" ht="15.0" customHeight="1">
      <c r="A563" s="82" t="s">
        <v>6945</v>
      </c>
      <c r="B563" s="82" t="s">
        <v>182</v>
      </c>
      <c r="C563" s="82" t="s">
        <v>6946</v>
      </c>
      <c r="D563" s="82" t="s">
        <v>6931</v>
      </c>
      <c r="E563" s="79" t="s">
        <v>6932</v>
      </c>
      <c r="F563" s="83" t="s">
        <v>6176</v>
      </c>
      <c r="G563" s="82">
        <v>2.0</v>
      </c>
      <c r="H563" s="82">
        <v>2.0</v>
      </c>
      <c r="I563" s="82">
        <v>2.0</v>
      </c>
      <c r="J563" s="82">
        <v>20.0</v>
      </c>
      <c r="K563" s="82">
        <v>10.0</v>
      </c>
      <c r="L563" s="288" t="s">
        <v>971</v>
      </c>
    </row>
    <row r="564" ht="15.0" customHeight="1">
      <c r="A564" s="83" t="s">
        <v>6947</v>
      </c>
      <c r="B564" s="83" t="s">
        <v>182</v>
      </c>
      <c r="C564" s="83" t="s">
        <v>6948</v>
      </c>
      <c r="D564" s="83" t="s">
        <v>6949</v>
      </c>
      <c r="E564" s="79" t="s">
        <v>6950</v>
      </c>
      <c r="F564" s="83" t="s">
        <v>6176</v>
      </c>
      <c r="G564" s="82">
        <v>2.0</v>
      </c>
      <c r="H564" s="82">
        <v>2.0</v>
      </c>
      <c r="I564" s="82">
        <v>2.0</v>
      </c>
      <c r="J564" s="82">
        <v>20.0</v>
      </c>
      <c r="K564" s="82">
        <v>10.0</v>
      </c>
      <c r="L564" s="288" t="s">
        <v>971</v>
      </c>
    </row>
    <row r="565" ht="15.0" customHeight="1">
      <c r="A565" s="83" t="s">
        <v>4271</v>
      </c>
      <c r="B565" s="83" t="s">
        <v>182</v>
      </c>
      <c r="C565" s="83" t="s">
        <v>4272</v>
      </c>
      <c r="D565" s="82" t="s">
        <v>6951</v>
      </c>
      <c r="E565" s="79" t="s">
        <v>6952</v>
      </c>
      <c r="F565" s="83" t="s">
        <v>6953</v>
      </c>
      <c r="G565" s="82">
        <v>2.0</v>
      </c>
      <c r="H565" s="82">
        <v>1.0</v>
      </c>
      <c r="I565" s="82">
        <v>3.0</v>
      </c>
      <c r="J565" s="82">
        <v>20.0</v>
      </c>
      <c r="K565" s="82">
        <v>10.0</v>
      </c>
      <c r="L565" s="288" t="s">
        <v>971</v>
      </c>
    </row>
    <row r="566" ht="15.0" customHeight="1">
      <c r="A566" s="83" t="s">
        <v>6954</v>
      </c>
      <c r="B566" s="83" t="s">
        <v>182</v>
      </c>
      <c r="C566" s="83" t="s">
        <v>6955</v>
      </c>
      <c r="D566" s="82" t="s">
        <v>6956</v>
      </c>
      <c r="E566" s="79" t="s">
        <v>6957</v>
      </c>
      <c r="F566" s="83" t="s">
        <v>6958</v>
      </c>
      <c r="G566" s="82">
        <v>1.0</v>
      </c>
      <c r="H566" s="82">
        <v>1.0</v>
      </c>
      <c r="I566" s="82">
        <v>2.0</v>
      </c>
      <c r="J566" s="82">
        <v>20.0</v>
      </c>
      <c r="K566" s="82">
        <v>20.0</v>
      </c>
      <c r="L566" s="288" t="s">
        <v>971</v>
      </c>
    </row>
    <row r="567" ht="15.0" customHeight="1">
      <c r="A567" s="82" t="s">
        <v>2507</v>
      </c>
      <c r="B567" s="82" t="s">
        <v>182</v>
      </c>
      <c r="C567" s="82" t="s">
        <v>2508</v>
      </c>
      <c r="D567" s="82" t="s">
        <v>6164</v>
      </c>
      <c r="E567" s="79" t="s">
        <v>6165</v>
      </c>
      <c r="F567" s="83" t="s">
        <v>6166</v>
      </c>
      <c r="G567" s="82">
        <v>3.0</v>
      </c>
      <c r="H567" s="82">
        <v>3.0</v>
      </c>
      <c r="I567" s="82">
        <v>3.0</v>
      </c>
      <c r="J567" s="82">
        <v>20.0</v>
      </c>
      <c r="K567" s="82">
        <v>6.66</v>
      </c>
      <c r="L567" s="288" t="s">
        <v>971</v>
      </c>
    </row>
    <row r="568" ht="15.0" customHeight="1">
      <c r="A568" s="83" t="s">
        <v>6167</v>
      </c>
      <c r="B568" s="83" t="s">
        <v>182</v>
      </c>
      <c r="C568" s="83" t="s">
        <v>6168</v>
      </c>
      <c r="D568" s="82" t="s">
        <v>6169</v>
      </c>
      <c r="E568" s="79" t="s">
        <v>6170</v>
      </c>
      <c r="F568" s="83" t="s">
        <v>6171</v>
      </c>
      <c r="G568" s="82">
        <v>5.0</v>
      </c>
      <c r="H568" s="82">
        <v>5.0</v>
      </c>
      <c r="I568" s="82">
        <v>5.0</v>
      </c>
      <c r="J568" s="82">
        <v>20.0</v>
      </c>
      <c r="K568" s="82">
        <v>4.0</v>
      </c>
      <c r="L568" s="288" t="s">
        <v>971</v>
      </c>
    </row>
    <row r="569" ht="15.0" customHeight="1">
      <c r="A569" s="83" t="s">
        <v>3123</v>
      </c>
      <c r="B569" s="83" t="s">
        <v>182</v>
      </c>
      <c r="C569" s="83" t="s">
        <v>3124</v>
      </c>
      <c r="D569" s="82" t="s">
        <v>6959</v>
      </c>
      <c r="E569" s="79" t="s">
        <v>6960</v>
      </c>
      <c r="F569" s="83" t="s">
        <v>6961</v>
      </c>
      <c r="G569" s="82">
        <v>2.0</v>
      </c>
      <c r="H569" s="82">
        <v>1.0</v>
      </c>
      <c r="I569" s="82">
        <v>3.0</v>
      </c>
      <c r="J569" s="82">
        <v>20.0</v>
      </c>
      <c r="K569" s="82">
        <v>10.0</v>
      </c>
      <c r="L569" s="288" t="s">
        <v>971</v>
      </c>
    </row>
    <row r="570" ht="15.0" customHeight="1">
      <c r="A570" s="82" t="s">
        <v>6582</v>
      </c>
      <c r="B570" s="82" t="s">
        <v>182</v>
      </c>
      <c r="C570" s="82" t="s">
        <v>6583</v>
      </c>
      <c r="D570" s="82" t="s">
        <v>6584</v>
      </c>
      <c r="E570" s="79" t="s">
        <v>6416</v>
      </c>
      <c r="F570" s="83" t="s">
        <v>6176</v>
      </c>
      <c r="G570" s="82">
        <v>6.0</v>
      </c>
      <c r="H570" s="82">
        <v>6.0</v>
      </c>
      <c r="I570" s="82">
        <v>6.0</v>
      </c>
      <c r="J570" s="82">
        <v>20.0</v>
      </c>
      <c r="K570" s="82">
        <v>3.33</v>
      </c>
      <c r="L570" s="288" t="s">
        <v>971</v>
      </c>
    </row>
    <row r="571" ht="15.0" customHeight="1">
      <c r="A571" s="82" t="s">
        <v>6962</v>
      </c>
      <c r="B571" s="82" t="s">
        <v>182</v>
      </c>
      <c r="C571" s="82" t="s">
        <v>6963</v>
      </c>
      <c r="D571" s="82" t="s">
        <v>6584</v>
      </c>
      <c r="E571" s="79" t="s">
        <v>6416</v>
      </c>
      <c r="F571" s="83" t="s">
        <v>6176</v>
      </c>
      <c r="G571" s="82">
        <v>3.0</v>
      </c>
      <c r="H571" s="82">
        <v>3.0</v>
      </c>
      <c r="I571" s="82">
        <v>3.0</v>
      </c>
      <c r="J571" s="82">
        <v>20.0</v>
      </c>
      <c r="K571" s="82">
        <v>6.66</v>
      </c>
      <c r="L571" s="288" t="s">
        <v>971</v>
      </c>
    </row>
    <row r="572" ht="15.0" customHeight="1">
      <c r="A572" s="82" t="s">
        <v>6964</v>
      </c>
      <c r="B572" s="82" t="s">
        <v>182</v>
      </c>
      <c r="C572" s="82" t="s">
        <v>6965</v>
      </c>
      <c r="D572" s="82" t="s">
        <v>6584</v>
      </c>
      <c r="E572" s="79" t="s">
        <v>6416</v>
      </c>
      <c r="F572" s="83" t="s">
        <v>6176</v>
      </c>
      <c r="G572" s="82">
        <v>2.0</v>
      </c>
      <c r="H572" s="82">
        <v>2.0</v>
      </c>
      <c r="I572" s="82">
        <v>2.0</v>
      </c>
      <c r="J572" s="82">
        <v>20.0</v>
      </c>
      <c r="K572" s="82">
        <v>10.0</v>
      </c>
      <c r="L572" s="288" t="s">
        <v>971</v>
      </c>
    </row>
    <row r="573" ht="15.0" customHeight="1">
      <c r="A573" s="82" t="s">
        <v>6966</v>
      </c>
      <c r="B573" s="82" t="s">
        <v>182</v>
      </c>
      <c r="C573" s="82" t="s">
        <v>6967</v>
      </c>
      <c r="D573" s="82" t="s">
        <v>6584</v>
      </c>
      <c r="E573" s="79" t="s">
        <v>6416</v>
      </c>
      <c r="F573" s="83" t="s">
        <v>6176</v>
      </c>
      <c r="G573" s="82">
        <v>4.0</v>
      </c>
      <c r="H573" s="82">
        <v>4.0</v>
      </c>
      <c r="I573" s="82">
        <v>4.0</v>
      </c>
      <c r="J573" s="82">
        <v>20.0</v>
      </c>
      <c r="K573" s="82">
        <v>5.0</v>
      </c>
      <c r="L573" s="288" t="s">
        <v>971</v>
      </c>
    </row>
    <row r="574" ht="15.0" customHeight="1">
      <c r="A574" s="82" t="s">
        <v>6582</v>
      </c>
      <c r="B574" s="82" t="s">
        <v>182</v>
      </c>
      <c r="C574" s="82" t="s">
        <v>6583</v>
      </c>
      <c r="D574" s="82" t="s">
        <v>6585</v>
      </c>
      <c r="E574" s="79" t="s">
        <v>6414</v>
      </c>
      <c r="F574" s="83" t="s">
        <v>6176</v>
      </c>
      <c r="G574" s="82">
        <v>6.0</v>
      </c>
      <c r="H574" s="82">
        <v>6.0</v>
      </c>
      <c r="I574" s="82">
        <v>6.0</v>
      </c>
      <c r="J574" s="82">
        <v>20.0</v>
      </c>
      <c r="K574" s="82">
        <v>3.33</v>
      </c>
      <c r="L574" s="288" t="s">
        <v>971</v>
      </c>
    </row>
    <row r="575" ht="15.0" customHeight="1">
      <c r="A575" s="82" t="s">
        <v>6964</v>
      </c>
      <c r="B575" s="82" t="s">
        <v>182</v>
      </c>
      <c r="C575" s="82" t="s">
        <v>6965</v>
      </c>
      <c r="D575" s="82" t="s">
        <v>6585</v>
      </c>
      <c r="E575" s="79" t="s">
        <v>6414</v>
      </c>
      <c r="F575" s="83" t="s">
        <v>6176</v>
      </c>
      <c r="G575" s="82">
        <v>3.0</v>
      </c>
      <c r="H575" s="82">
        <v>3.0</v>
      </c>
      <c r="I575" s="82">
        <v>3.0</v>
      </c>
      <c r="J575" s="82">
        <v>20.0</v>
      </c>
      <c r="K575" s="82">
        <v>6.66</v>
      </c>
      <c r="L575" s="288" t="s">
        <v>971</v>
      </c>
    </row>
    <row r="576" ht="15.0" customHeight="1">
      <c r="A576" s="82" t="s">
        <v>6962</v>
      </c>
      <c r="B576" s="82" t="s">
        <v>182</v>
      </c>
      <c r="C576" s="82" t="s">
        <v>6963</v>
      </c>
      <c r="D576" s="82" t="s">
        <v>6585</v>
      </c>
      <c r="E576" s="79" t="s">
        <v>6414</v>
      </c>
      <c r="F576" s="83" t="s">
        <v>6176</v>
      </c>
      <c r="G576" s="82">
        <v>3.0</v>
      </c>
      <c r="H576" s="82">
        <v>3.0</v>
      </c>
      <c r="I576" s="82">
        <v>3.0</v>
      </c>
      <c r="J576" s="82">
        <v>20.0</v>
      </c>
      <c r="K576" s="82">
        <v>6.66</v>
      </c>
      <c r="L576" s="288" t="s">
        <v>971</v>
      </c>
    </row>
    <row r="577" ht="15.0" customHeight="1">
      <c r="A577" s="82" t="s">
        <v>6966</v>
      </c>
      <c r="B577" s="82" t="s">
        <v>182</v>
      </c>
      <c r="C577" s="82" t="s">
        <v>6967</v>
      </c>
      <c r="D577" s="82" t="s">
        <v>6585</v>
      </c>
      <c r="E577" s="79" t="s">
        <v>6414</v>
      </c>
      <c r="F577" s="83" t="s">
        <v>6176</v>
      </c>
      <c r="G577" s="82">
        <v>4.0</v>
      </c>
      <c r="H577" s="82">
        <v>4.0</v>
      </c>
      <c r="I577" s="82">
        <v>4.0</v>
      </c>
      <c r="J577" s="82">
        <v>20.0</v>
      </c>
      <c r="K577" s="82">
        <v>5.0</v>
      </c>
      <c r="L577" s="288" t="s">
        <v>971</v>
      </c>
    </row>
    <row r="578" ht="15.0" customHeight="1">
      <c r="A578" s="82" t="s">
        <v>6968</v>
      </c>
      <c r="B578" s="82" t="s">
        <v>182</v>
      </c>
      <c r="C578" s="82" t="s">
        <v>6969</v>
      </c>
      <c r="D578" s="82" t="s">
        <v>6585</v>
      </c>
      <c r="E578" s="79" t="s">
        <v>6414</v>
      </c>
      <c r="F578" s="83" t="s">
        <v>6176</v>
      </c>
      <c r="G578" s="82">
        <v>2.0</v>
      </c>
      <c r="H578" s="82">
        <v>2.0</v>
      </c>
      <c r="I578" s="82">
        <v>2.0</v>
      </c>
      <c r="J578" s="82">
        <v>20.0</v>
      </c>
      <c r="K578" s="82">
        <v>10.0</v>
      </c>
      <c r="L578" s="288" t="s">
        <v>971</v>
      </c>
    </row>
    <row r="579" ht="15.0" customHeight="1">
      <c r="A579" s="82" t="s">
        <v>6970</v>
      </c>
      <c r="B579" s="82" t="s">
        <v>182</v>
      </c>
      <c r="C579" s="82" t="s">
        <v>6971</v>
      </c>
      <c r="D579" s="82" t="s">
        <v>6174</v>
      </c>
      <c r="E579" s="79" t="s">
        <v>6175</v>
      </c>
      <c r="F579" s="83" t="s">
        <v>6176</v>
      </c>
      <c r="G579" s="82">
        <v>2.0</v>
      </c>
      <c r="H579" s="82">
        <v>2.0</v>
      </c>
      <c r="I579" s="82">
        <v>2.0</v>
      </c>
      <c r="J579" s="82">
        <v>20.0</v>
      </c>
      <c r="K579" s="82">
        <v>10.0</v>
      </c>
      <c r="L579" s="288" t="s">
        <v>971</v>
      </c>
    </row>
    <row r="580" ht="15.0" customHeight="1">
      <c r="A580" s="82" t="s">
        <v>6972</v>
      </c>
      <c r="B580" s="82" t="s">
        <v>182</v>
      </c>
      <c r="C580" s="82" t="s">
        <v>6973</v>
      </c>
      <c r="D580" s="82" t="s">
        <v>6174</v>
      </c>
      <c r="E580" s="79" t="s">
        <v>6175</v>
      </c>
      <c r="F580" s="83" t="s">
        <v>6176</v>
      </c>
      <c r="G580" s="82">
        <v>4.0</v>
      </c>
      <c r="H580" s="82">
        <v>4.0</v>
      </c>
      <c r="I580" s="82">
        <v>4.0</v>
      </c>
      <c r="J580" s="82">
        <v>20.0</v>
      </c>
      <c r="K580" s="82">
        <v>5.0</v>
      </c>
      <c r="L580" s="288" t="s">
        <v>971</v>
      </c>
    </row>
    <row r="581" ht="15.0" customHeight="1">
      <c r="A581" s="82" t="s">
        <v>6974</v>
      </c>
      <c r="B581" s="82" t="s">
        <v>182</v>
      </c>
      <c r="C581" s="82" t="s">
        <v>6975</v>
      </c>
      <c r="D581" s="82" t="s">
        <v>6174</v>
      </c>
      <c r="E581" s="79" t="s">
        <v>6175</v>
      </c>
      <c r="F581" s="83" t="s">
        <v>6176</v>
      </c>
      <c r="G581" s="82">
        <v>2.0</v>
      </c>
      <c r="H581" s="82">
        <v>2.0</v>
      </c>
      <c r="I581" s="82">
        <v>2.0</v>
      </c>
      <c r="J581" s="82">
        <v>20.0</v>
      </c>
      <c r="K581" s="82">
        <v>10.0</v>
      </c>
      <c r="L581" s="288" t="s">
        <v>971</v>
      </c>
    </row>
    <row r="582" ht="15.0" customHeight="1">
      <c r="A582" s="82" t="s">
        <v>6172</v>
      </c>
      <c r="B582" s="82" t="s">
        <v>182</v>
      </c>
      <c r="C582" s="82" t="s">
        <v>6173</v>
      </c>
      <c r="D582" s="82" t="s">
        <v>6174</v>
      </c>
      <c r="E582" s="79" t="s">
        <v>6175</v>
      </c>
      <c r="F582" s="83" t="s">
        <v>6176</v>
      </c>
      <c r="G582" s="82">
        <v>5.0</v>
      </c>
      <c r="H582" s="82">
        <v>5.0</v>
      </c>
      <c r="I582" s="82">
        <v>5.0</v>
      </c>
      <c r="J582" s="82">
        <v>20.0</v>
      </c>
      <c r="K582" s="82">
        <v>4.0</v>
      </c>
      <c r="L582" s="288" t="s">
        <v>971</v>
      </c>
    </row>
    <row r="583" ht="15.0" customHeight="1">
      <c r="A583" s="83" t="s">
        <v>6976</v>
      </c>
      <c r="B583" s="83" t="s">
        <v>182</v>
      </c>
      <c r="C583" s="83" t="s">
        <v>6977</v>
      </c>
      <c r="D583" s="82" t="s">
        <v>6978</v>
      </c>
      <c r="E583" s="79" t="s">
        <v>4332</v>
      </c>
      <c r="F583" s="83" t="s">
        <v>6979</v>
      </c>
      <c r="G583" s="82">
        <v>1.0</v>
      </c>
      <c r="H583" s="82">
        <v>1.0</v>
      </c>
      <c r="I583" s="82">
        <v>9.0</v>
      </c>
      <c r="J583" s="82">
        <v>20.0</v>
      </c>
      <c r="K583" s="82">
        <v>20.0</v>
      </c>
      <c r="L583" s="288" t="s">
        <v>971</v>
      </c>
    </row>
    <row r="584" ht="15.0" customHeight="1">
      <c r="A584" s="83" t="s">
        <v>6586</v>
      </c>
      <c r="B584" s="83" t="s">
        <v>182</v>
      </c>
      <c r="C584" s="83" t="s">
        <v>3110</v>
      </c>
      <c r="D584" s="82" t="s">
        <v>6587</v>
      </c>
      <c r="E584" s="79" t="s">
        <v>6588</v>
      </c>
      <c r="F584" s="83" t="s">
        <v>6589</v>
      </c>
      <c r="G584" s="82">
        <v>2.0</v>
      </c>
      <c r="H584" s="82">
        <v>2.0</v>
      </c>
      <c r="I584" s="82">
        <v>9.0</v>
      </c>
      <c r="J584" s="82">
        <v>20.0</v>
      </c>
      <c r="K584" s="82">
        <v>10.0</v>
      </c>
      <c r="L584" s="288" t="s">
        <v>971</v>
      </c>
    </row>
    <row r="585" ht="15.0" customHeight="1">
      <c r="A585" s="82" t="s">
        <v>6980</v>
      </c>
      <c r="B585" s="82" t="s">
        <v>182</v>
      </c>
      <c r="C585" s="82" t="s">
        <v>6981</v>
      </c>
      <c r="D585" s="82" t="s">
        <v>6982</v>
      </c>
      <c r="E585" s="79" t="s">
        <v>6983</v>
      </c>
      <c r="F585" s="83" t="s">
        <v>6984</v>
      </c>
      <c r="G585" s="82">
        <v>3.0</v>
      </c>
      <c r="H585" s="82">
        <v>1.0</v>
      </c>
      <c r="I585" s="82">
        <v>3.0</v>
      </c>
      <c r="J585" s="82">
        <v>20.0</v>
      </c>
      <c r="K585" s="82">
        <v>20.0</v>
      </c>
      <c r="L585" s="288" t="s">
        <v>971</v>
      </c>
    </row>
    <row r="586" ht="15.0" customHeight="1">
      <c r="A586" s="82" t="s">
        <v>6985</v>
      </c>
      <c r="B586" s="82" t="s">
        <v>182</v>
      </c>
      <c r="C586" s="82" t="s">
        <v>6986</v>
      </c>
      <c r="D586" s="82" t="s">
        <v>6987</v>
      </c>
      <c r="E586" s="79" t="s">
        <v>6988</v>
      </c>
      <c r="F586" s="83" t="s">
        <v>6984</v>
      </c>
      <c r="G586" s="82">
        <v>1.0</v>
      </c>
      <c r="H586" s="82">
        <v>1.0</v>
      </c>
      <c r="I586" s="82">
        <v>7.0</v>
      </c>
      <c r="J586" s="82">
        <v>20.0</v>
      </c>
      <c r="K586" s="82">
        <v>20.0</v>
      </c>
      <c r="L586" s="288" t="s">
        <v>971</v>
      </c>
    </row>
    <row r="587" ht="15.0" customHeight="1">
      <c r="A587" s="82" t="s">
        <v>6989</v>
      </c>
      <c r="B587" s="82" t="s">
        <v>182</v>
      </c>
      <c r="C587" s="82" t="s">
        <v>6990</v>
      </c>
      <c r="D587" s="83" t="s">
        <v>6991</v>
      </c>
      <c r="E587" s="306" t="s">
        <v>6992</v>
      </c>
      <c r="F587" s="82" t="s">
        <v>6993</v>
      </c>
      <c r="G587" s="83">
        <v>2.0</v>
      </c>
      <c r="H587" s="83">
        <v>1.0</v>
      </c>
      <c r="I587" s="83">
        <v>3.0</v>
      </c>
      <c r="J587" s="83">
        <v>20.0</v>
      </c>
      <c r="K587" s="82">
        <v>10.0</v>
      </c>
      <c r="L587" s="288" t="s">
        <v>971</v>
      </c>
    </row>
    <row r="588" ht="15.0" customHeight="1">
      <c r="A588" s="148" t="s">
        <v>6994</v>
      </c>
      <c r="B588" s="148" t="s">
        <v>6995</v>
      </c>
      <c r="C588" s="164" t="s">
        <v>94</v>
      </c>
      <c r="D588" s="321" t="s">
        <v>6996</v>
      </c>
      <c r="E588" s="148" t="s">
        <v>6997</v>
      </c>
      <c r="F588" s="148" t="s">
        <v>5227</v>
      </c>
      <c r="G588" s="148">
        <v>2.0</v>
      </c>
      <c r="H588" s="148">
        <v>2.0</v>
      </c>
      <c r="I588" s="149">
        <v>2.0</v>
      </c>
      <c r="J588" s="149">
        <v>20.0</v>
      </c>
      <c r="K588" s="149">
        <v>10.0</v>
      </c>
      <c r="L588" s="288" t="s">
        <v>1047</v>
      </c>
    </row>
    <row r="589" ht="15.0" customHeight="1">
      <c r="A589" s="148" t="s">
        <v>6994</v>
      </c>
      <c r="B589" s="148" t="s">
        <v>6995</v>
      </c>
      <c r="C589" s="164" t="s">
        <v>94</v>
      </c>
      <c r="D589" s="321" t="s">
        <v>6998</v>
      </c>
      <c r="E589" s="189" t="s">
        <v>6999</v>
      </c>
      <c r="F589" s="148" t="s">
        <v>5227</v>
      </c>
      <c r="G589" s="148">
        <v>2.0</v>
      </c>
      <c r="H589" s="148">
        <v>2.0</v>
      </c>
      <c r="I589" s="149">
        <v>2.0</v>
      </c>
      <c r="J589" s="149">
        <v>20.0</v>
      </c>
      <c r="K589" s="149">
        <v>10.0</v>
      </c>
      <c r="L589" s="288" t="s">
        <v>1047</v>
      </c>
    </row>
    <row r="590" ht="15.0" customHeight="1">
      <c r="A590" s="148" t="s">
        <v>6994</v>
      </c>
      <c r="B590" s="148" t="s">
        <v>6995</v>
      </c>
      <c r="C590" s="164" t="s">
        <v>94</v>
      </c>
      <c r="D590" s="321" t="s">
        <v>7000</v>
      </c>
      <c r="E590" s="148" t="s">
        <v>7001</v>
      </c>
      <c r="F590" s="148" t="s">
        <v>5227</v>
      </c>
      <c r="G590" s="148">
        <v>2.0</v>
      </c>
      <c r="H590" s="148">
        <v>2.0</v>
      </c>
      <c r="I590" s="149">
        <v>2.0</v>
      </c>
      <c r="J590" s="149">
        <v>20.0</v>
      </c>
      <c r="K590" s="149">
        <v>10.0</v>
      </c>
      <c r="L590" s="288" t="s">
        <v>1047</v>
      </c>
    </row>
    <row r="591" ht="15.0" customHeight="1">
      <c r="A591" s="148" t="s">
        <v>6994</v>
      </c>
      <c r="B591" s="148" t="s">
        <v>6995</v>
      </c>
      <c r="C591" s="164" t="s">
        <v>94</v>
      </c>
      <c r="D591" s="321" t="s">
        <v>7002</v>
      </c>
      <c r="E591" s="148" t="s">
        <v>7003</v>
      </c>
      <c r="F591" s="148" t="s">
        <v>5227</v>
      </c>
      <c r="G591" s="148">
        <v>2.0</v>
      </c>
      <c r="H591" s="148">
        <v>2.0</v>
      </c>
      <c r="I591" s="149">
        <v>2.0</v>
      </c>
      <c r="J591" s="149">
        <v>20.0</v>
      </c>
      <c r="K591" s="149">
        <v>10.0</v>
      </c>
      <c r="L591" s="288" t="s">
        <v>1047</v>
      </c>
    </row>
    <row r="592" ht="15.0" customHeight="1">
      <c r="A592" s="148" t="s">
        <v>7004</v>
      </c>
      <c r="B592" s="148" t="s">
        <v>7005</v>
      </c>
      <c r="C592" s="164" t="s">
        <v>94</v>
      </c>
      <c r="D592" s="321" t="s">
        <v>7006</v>
      </c>
      <c r="E592" s="161" t="s">
        <v>7007</v>
      </c>
      <c r="F592" s="148" t="s">
        <v>5227</v>
      </c>
      <c r="G592" s="148">
        <v>2.0</v>
      </c>
      <c r="H592" s="148">
        <v>2.0</v>
      </c>
      <c r="I592" s="149">
        <v>2.0</v>
      </c>
      <c r="J592" s="149">
        <v>20.0</v>
      </c>
      <c r="K592" s="149">
        <v>10.0</v>
      </c>
      <c r="L592" s="288" t="s">
        <v>1047</v>
      </c>
    </row>
    <row r="593" ht="15.0" customHeight="1">
      <c r="A593" s="148" t="s">
        <v>7004</v>
      </c>
      <c r="B593" s="148" t="s">
        <v>7005</v>
      </c>
      <c r="C593" s="164" t="s">
        <v>94</v>
      </c>
      <c r="D593" s="321" t="s">
        <v>7008</v>
      </c>
      <c r="E593" s="161" t="s">
        <v>7009</v>
      </c>
      <c r="F593" s="148" t="s">
        <v>5227</v>
      </c>
      <c r="G593" s="148">
        <v>2.0</v>
      </c>
      <c r="H593" s="148">
        <v>2.0</v>
      </c>
      <c r="I593" s="149">
        <v>2.0</v>
      </c>
      <c r="J593" s="149">
        <v>20.0</v>
      </c>
      <c r="K593" s="149">
        <v>10.0</v>
      </c>
      <c r="L593" s="288" t="s">
        <v>1047</v>
      </c>
    </row>
    <row r="594" ht="15.0" customHeight="1">
      <c r="A594" s="148" t="s">
        <v>6994</v>
      </c>
      <c r="B594" s="148" t="s">
        <v>7010</v>
      </c>
      <c r="C594" s="164" t="s">
        <v>94</v>
      </c>
      <c r="D594" s="321" t="s">
        <v>7011</v>
      </c>
      <c r="E594" s="161" t="s">
        <v>7012</v>
      </c>
      <c r="F594" s="148" t="s">
        <v>5227</v>
      </c>
      <c r="G594" s="148">
        <v>2.0</v>
      </c>
      <c r="H594" s="148">
        <v>2.0</v>
      </c>
      <c r="I594" s="149">
        <v>2.0</v>
      </c>
      <c r="J594" s="149">
        <v>20.0</v>
      </c>
      <c r="K594" s="149">
        <v>10.0</v>
      </c>
      <c r="L594" s="288" t="s">
        <v>1047</v>
      </c>
    </row>
    <row r="595" ht="15.0" customHeight="1">
      <c r="A595" s="148" t="s">
        <v>6994</v>
      </c>
      <c r="B595" s="148" t="s">
        <v>7010</v>
      </c>
      <c r="C595" s="164" t="s">
        <v>94</v>
      </c>
      <c r="D595" s="321" t="s">
        <v>7013</v>
      </c>
      <c r="E595" s="161" t="s">
        <v>7014</v>
      </c>
      <c r="F595" s="148" t="s">
        <v>5227</v>
      </c>
      <c r="G595" s="148">
        <v>2.0</v>
      </c>
      <c r="H595" s="148">
        <v>2.0</v>
      </c>
      <c r="I595" s="149">
        <v>2.0</v>
      </c>
      <c r="J595" s="149">
        <v>20.0</v>
      </c>
      <c r="K595" s="149">
        <v>10.0</v>
      </c>
      <c r="L595" s="288" t="s">
        <v>1047</v>
      </c>
    </row>
    <row r="596" ht="15.0" customHeight="1">
      <c r="A596" s="148" t="s">
        <v>6994</v>
      </c>
      <c r="B596" s="148" t="s">
        <v>7010</v>
      </c>
      <c r="C596" s="164" t="s">
        <v>94</v>
      </c>
      <c r="D596" s="321" t="s">
        <v>7015</v>
      </c>
      <c r="E596" s="161" t="s">
        <v>7016</v>
      </c>
      <c r="F596" s="148" t="s">
        <v>5227</v>
      </c>
      <c r="G596" s="148">
        <v>2.0</v>
      </c>
      <c r="H596" s="148">
        <v>2.0</v>
      </c>
      <c r="I596" s="149">
        <v>2.0</v>
      </c>
      <c r="J596" s="149">
        <v>20.0</v>
      </c>
      <c r="K596" s="149">
        <v>10.0</v>
      </c>
      <c r="L596" s="288" t="s">
        <v>1047</v>
      </c>
    </row>
    <row r="597" ht="15.0" customHeight="1">
      <c r="A597" s="148" t="s">
        <v>7004</v>
      </c>
      <c r="B597" s="148" t="s">
        <v>3904</v>
      </c>
      <c r="C597" s="164" t="s">
        <v>94</v>
      </c>
      <c r="D597" s="321" t="s">
        <v>7017</v>
      </c>
      <c r="E597" s="161" t="s">
        <v>7018</v>
      </c>
      <c r="F597" s="148" t="s">
        <v>5227</v>
      </c>
      <c r="G597" s="148">
        <v>2.0</v>
      </c>
      <c r="H597" s="148">
        <v>2.0</v>
      </c>
      <c r="I597" s="149">
        <v>2.0</v>
      </c>
      <c r="J597" s="149">
        <v>20.0</v>
      </c>
      <c r="K597" s="149">
        <v>10.0</v>
      </c>
      <c r="L597" s="288" t="s">
        <v>1047</v>
      </c>
    </row>
    <row r="598" ht="15.0" customHeight="1">
      <c r="A598" s="82" t="s">
        <v>7019</v>
      </c>
      <c r="B598" s="82" t="s">
        <v>7020</v>
      </c>
      <c r="C598" s="82" t="s">
        <v>94</v>
      </c>
      <c r="D598" s="82" t="s">
        <v>7021</v>
      </c>
      <c r="E598" s="82" t="s">
        <v>7022</v>
      </c>
      <c r="F598" s="148" t="s">
        <v>5227</v>
      </c>
      <c r="G598" s="148">
        <v>4.0</v>
      </c>
      <c r="H598" s="148">
        <v>4.0</v>
      </c>
      <c r="I598" s="287">
        <v>4.0</v>
      </c>
      <c r="J598" s="287">
        <v>10.0</v>
      </c>
      <c r="K598" s="287">
        <f t="shared" ref="K598:K601" si="29">J598/I598</f>
        <v>2.5</v>
      </c>
      <c r="L598" s="288" t="s">
        <v>4343</v>
      </c>
    </row>
    <row r="599" ht="15.0" customHeight="1">
      <c r="A599" s="82" t="s">
        <v>7019</v>
      </c>
      <c r="B599" s="82" t="s">
        <v>7020</v>
      </c>
      <c r="C599" s="82" t="s">
        <v>94</v>
      </c>
      <c r="D599" s="82" t="s">
        <v>7023</v>
      </c>
      <c r="E599" s="82" t="s">
        <v>7024</v>
      </c>
      <c r="F599" s="148" t="s">
        <v>5227</v>
      </c>
      <c r="G599" s="148">
        <v>4.0</v>
      </c>
      <c r="H599" s="148">
        <v>4.0</v>
      </c>
      <c r="I599" s="287">
        <v>4.0</v>
      </c>
      <c r="J599" s="287">
        <v>10.0</v>
      </c>
      <c r="K599" s="287">
        <f t="shared" si="29"/>
        <v>2.5</v>
      </c>
      <c r="L599" s="288" t="s">
        <v>4343</v>
      </c>
    </row>
    <row r="600" ht="15.0" customHeight="1">
      <c r="A600" s="82" t="s">
        <v>7025</v>
      </c>
      <c r="B600" s="85" t="s">
        <v>7026</v>
      </c>
      <c r="C600" s="82" t="s">
        <v>94</v>
      </c>
      <c r="D600" s="78" t="s">
        <v>7027</v>
      </c>
      <c r="E600" s="78" t="s">
        <v>7028</v>
      </c>
      <c r="F600" s="148" t="s">
        <v>5227</v>
      </c>
      <c r="G600" s="148">
        <v>2.0</v>
      </c>
      <c r="H600" s="148">
        <v>2.0</v>
      </c>
      <c r="I600" s="287">
        <v>2.0</v>
      </c>
      <c r="J600" s="287">
        <v>10.0</v>
      </c>
      <c r="K600" s="287">
        <f t="shared" si="29"/>
        <v>5</v>
      </c>
      <c r="L600" s="288" t="s">
        <v>4343</v>
      </c>
    </row>
    <row r="601" ht="15.0" customHeight="1">
      <c r="A601" s="85" t="s">
        <v>7029</v>
      </c>
      <c r="B601" s="85" t="s">
        <v>7030</v>
      </c>
      <c r="C601" s="82" t="s">
        <v>94</v>
      </c>
      <c r="D601" s="78" t="s">
        <v>7031</v>
      </c>
      <c r="E601" s="78" t="s">
        <v>7032</v>
      </c>
      <c r="F601" s="148" t="s">
        <v>5227</v>
      </c>
      <c r="G601" s="190">
        <v>3.0</v>
      </c>
      <c r="H601" s="148">
        <v>3.0</v>
      </c>
      <c r="I601" s="148">
        <v>2.0</v>
      </c>
      <c r="J601" s="148">
        <v>10.0</v>
      </c>
      <c r="K601" s="148">
        <f t="shared" si="29"/>
        <v>5</v>
      </c>
      <c r="L601" s="288" t="s">
        <v>4343</v>
      </c>
    </row>
    <row r="602" ht="15.0" customHeight="1">
      <c r="A602" s="78" t="s">
        <v>2685</v>
      </c>
      <c r="B602" s="82" t="s">
        <v>2686</v>
      </c>
      <c r="C602" s="97" t="s">
        <v>182</v>
      </c>
      <c r="D602" s="192" t="s">
        <v>7033</v>
      </c>
      <c r="E602" s="82" t="s">
        <v>7034</v>
      </c>
      <c r="F602" s="148" t="s">
        <v>5372</v>
      </c>
      <c r="G602" s="82">
        <v>2.0</v>
      </c>
      <c r="H602" s="82">
        <v>2.0</v>
      </c>
      <c r="I602" s="82">
        <v>2.0</v>
      </c>
      <c r="J602" s="82">
        <v>10.0</v>
      </c>
      <c r="K602" s="82">
        <v>5.0</v>
      </c>
      <c r="L602" s="288" t="s">
        <v>4352</v>
      </c>
    </row>
    <row r="603" ht="15.0" customHeight="1">
      <c r="A603" s="78" t="s">
        <v>2685</v>
      </c>
      <c r="B603" s="82" t="s">
        <v>2686</v>
      </c>
      <c r="C603" s="97" t="s">
        <v>182</v>
      </c>
      <c r="D603" s="192" t="s">
        <v>7035</v>
      </c>
      <c r="E603" s="80" t="s">
        <v>2688</v>
      </c>
      <c r="F603" s="78"/>
      <c r="G603" s="82">
        <v>2.0</v>
      </c>
      <c r="H603" s="82">
        <v>2.0</v>
      </c>
      <c r="I603" s="82">
        <v>2.0</v>
      </c>
      <c r="J603" s="82">
        <v>20.0</v>
      </c>
      <c r="K603" s="82">
        <v>10.0</v>
      </c>
      <c r="L603" s="288" t="s">
        <v>4352</v>
      </c>
    </row>
    <row r="604" ht="15.0" customHeight="1">
      <c r="A604" s="78" t="s">
        <v>2685</v>
      </c>
      <c r="B604" s="82" t="s">
        <v>4348</v>
      </c>
      <c r="C604" s="97" t="s">
        <v>182</v>
      </c>
      <c r="D604" s="96" t="s">
        <v>7036</v>
      </c>
      <c r="E604" s="82" t="s">
        <v>7037</v>
      </c>
      <c r="F604" s="82"/>
      <c r="G604" s="82">
        <v>2.0</v>
      </c>
      <c r="H604" s="82">
        <v>2.0</v>
      </c>
      <c r="I604" s="82">
        <v>2.0</v>
      </c>
      <c r="J604" s="82">
        <v>10.0</v>
      </c>
      <c r="K604" s="82">
        <v>5.0</v>
      </c>
      <c r="L604" s="288" t="s">
        <v>4352</v>
      </c>
    </row>
    <row r="605" ht="15.0" customHeight="1">
      <c r="A605" s="78" t="s">
        <v>4353</v>
      </c>
      <c r="B605" s="82" t="s">
        <v>4354</v>
      </c>
      <c r="C605" s="97" t="s">
        <v>182</v>
      </c>
      <c r="D605" s="96" t="s">
        <v>7038</v>
      </c>
      <c r="E605" s="82" t="s">
        <v>7039</v>
      </c>
      <c r="F605" s="148" t="s">
        <v>7040</v>
      </c>
      <c r="G605" s="82">
        <v>2.0</v>
      </c>
      <c r="H605" s="82">
        <v>2.0</v>
      </c>
      <c r="I605" s="82">
        <v>2.0</v>
      </c>
      <c r="J605" s="82">
        <v>10.0</v>
      </c>
      <c r="K605" s="82">
        <v>5.0</v>
      </c>
      <c r="L605" s="288" t="s">
        <v>4352</v>
      </c>
    </row>
    <row r="606" ht="15.0" customHeight="1">
      <c r="A606" s="78" t="s">
        <v>4356</v>
      </c>
      <c r="B606" s="82" t="s">
        <v>2551</v>
      </c>
      <c r="C606" s="97" t="s">
        <v>94</v>
      </c>
      <c r="D606" s="96" t="s">
        <v>7041</v>
      </c>
      <c r="E606" s="79" t="s">
        <v>7042</v>
      </c>
      <c r="F606" s="85"/>
      <c r="G606" s="82">
        <v>2.0</v>
      </c>
      <c r="H606" s="82">
        <v>2.0</v>
      </c>
      <c r="I606" s="82">
        <v>2.0</v>
      </c>
      <c r="J606" s="82">
        <v>10.0</v>
      </c>
      <c r="K606" s="82">
        <v>5.0</v>
      </c>
      <c r="L606" s="288" t="s">
        <v>4352</v>
      </c>
    </row>
    <row r="607" ht="15.0" customHeight="1">
      <c r="A607" s="78" t="s">
        <v>4356</v>
      </c>
      <c r="B607" s="82" t="s">
        <v>2551</v>
      </c>
      <c r="C607" s="97" t="s">
        <v>94</v>
      </c>
      <c r="D607" s="96" t="s">
        <v>7043</v>
      </c>
      <c r="E607" s="79" t="s">
        <v>7044</v>
      </c>
      <c r="F607" s="85"/>
      <c r="G607" s="82">
        <v>2.0</v>
      </c>
      <c r="H607" s="82">
        <v>2.0</v>
      </c>
      <c r="I607" s="82">
        <v>2.0</v>
      </c>
      <c r="J607" s="82">
        <v>10.0</v>
      </c>
      <c r="K607" s="82">
        <v>5.0</v>
      </c>
      <c r="L607" s="288" t="s">
        <v>4352</v>
      </c>
    </row>
    <row r="608" ht="15.0" customHeight="1">
      <c r="A608" s="78" t="s">
        <v>4356</v>
      </c>
      <c r="B608" s="82" t="s">
        <v>2551</v>
      </c>
      <c r="C608" s="97" t="s">
        <v>94</v>
      </c>
      <c r="D608" s="96" t="s">
        <v>7045</v>
      </c>
      <c r="E608" s="85" t="s">
        <v>7046</v>
      </c>
      <c r="F608" s="85"/>
      <c r="G608" s="82">
        <v>2.0</v>
      </c>
      <c r="H608" s="82">
        <v>2.0</v>
      </c>
      <c r="I608" s="82">
        <v>2.0</v>
      </c>
      <c r="J608" s="82">
        <v>10.0</v>
      </c>
      <c r="K608" s="82">
        <v>5.0</v>
      </c>
      <c r="L608" s="288" t="s">
        <v>4352</v>
      </c>
    </row>
    <row r="609" ht="15.0" customHeight="1">
      <c r="A609" s="96" t="s">
        <v>4359</v>
      </c>
      <c r="B609" s="82" t="s">
        <v>2680</v>
      </c>
      <c r="C609" s="97" t="s">
        <v>182</v>
      </c>
      <c r="D609" s="96" t="s">
        <v>7047</v>
      </c>
      <c r="E609" s="85" t="s">
        <v>6255</v>
      </c>
      <c r="F609" s="85"/>
      <c r="G609" s="82">
        <v>3.0</v>
      </c>
      <c r="H609" s="82">
        <v>3.0</v>
      </c>
      <c r="I609" s="291">
        <v>3.0</v>
      </c>
      <c r="J609" s="291">
        <v>10.0</v>
      </c>
      <c r="K609" s="291">
        <v>3.33</v>
      </c>
      <c r="L609" s="288" t="s">
        <v>4352</v>
      </c>
    </row>
    <row r="610" ht="15.0" customHeight="1">
      <c r="A610" s="96" t="s">
        <v>7048</v>
      </c>
      <c r="B610" s="192" t="s">
        <v>7049</v>
      </c>
      <c r="C610" s="97" t="s">
        <v>182</v>
      </c>
      <c r="D610" s="96" t="s">
        <v>7050</v>
      </c>
      <c r="E610" s="85" t="s">
        <v>7051</v>
      </c>
      <c r="F610" s="85"/>
      <c r="G610" s="82">
        <v>3.0</v>
      </c>
      <c r="H610" s="82">
        <v>3.0</v>
      </c>
      <c r="I610" s="291">
        <v>3.0</v>
      </c>
      <c r="J610" s="291">
        <v>10.0</v>
      </c>
      <c r="K610" s="291">
        <v>3.33</v>
      </c>
      <c r="L610" s="288" t="s">
        <v>4352</v>
      </c>
    </row>
    <row r="611" ht="15.0" customHeight="1">
      <c r="A611" s="82" t="s">
        <v>4364</v>
      </c>
      <c r="B611" s="82" t="s">
        <v>4365</v>
      </c>
      <c r="C611" s="82" t="s">
        <v>147</v>
      </c>
      <c r="D611" s="82" t="s">
        <v>7052</v>
      </c>
      <c r="E611" s="82" t="s">
        <v>7053</v>
      </c>
      <c r="F611" s="82" t="s">
        <v>7054</v>
      </c>
      <c r="G611" s="82">
        <v>1.0</v>
      </c>
      <c r="H611" s="82">
        <v>1.0</v>
      </c>
      <c r="I611" s="294">
        <v>2.0</v>
      </c>
      <c r="J611" s="294">
        <v>20.0</v>
      </c>
      <c r="K611" s="294">
        <v>20.0</v>
      </c>
      <c r="L611" s="294" t="s">
        <v>153</v>
      </c>
      <c r="M611" s="107"/>
      <c r="N611" s="107"/>
      <c r="O611" s="107"/>
      <c r="P611" s="107"/>
      <c r="Q611" s="107"/>
      <c r="R611" s="107"/>
      <c r="S611" s="107"/>
      <c r="T611" s="107"/>
      <c r="U611" s="107"/>
      <c r="V611" s="107"/>
      <c r="W611" s="107"/>
      <c r="X611" s="107"/>
      <c r="Y611" s="107"/>
      <c r="Z611" s="107"/>
    </row>
    <row r="612" ht="15.0" customHeight="1">
      <c r="A612" s="85" t="s">
        <v>4364</v>
      </c>
      <c r="B612" s="85" t="s">
        <v>4365</v>
      </c>
      <c r="C612" s="85" t="s">
        <v>147</v>
      </c>
      <c r="D612" s="78" t="s">
        <v>7055</v>
      </c>
      <c r="E612" s="78" t="s">
        <v>7056</v>
      </c>
      <c r="F612" s="78" t="s">
        <v>7057</v>
      </c>
      <c r="G612" s="99">
        <v>1.0</v>
      </c>
      <c r="H612" s="185">
        <v>1.0</v>
      </c>
      <c r="I612" s="155">
        <v>2.0</v>
      </c>
      <c r="J612" s="155">
        <v>20.0</v>
      </c>
      <c r="K612" s="155">
        <v>20.0</v>
      </c>
      <c r="L612" s="155" t="s">
        <v>153</v>
      </c>
      <c r="M612" s="322"/>
      <c r="N612" s="322"/>
      <c r="O612" s="322"/>
      <c r="P612" s="322"/>
      <c r="Q612" s="322"/>
      <c r="R612" s="322"/>
      <c r="S612" s="322"/>
      <c r="T612" s="322"/>
      <c r="U612" s="322"/>
      <c r="V612" s="322"/>
      <c r="W612" s="322"/>
      <c r="X612" s="322"/>
      <c r="Y612" s="322"/>
      <c r="Z612" s="322"/>
    </row>
    <row r="613" ht="15.0" customHeight="1">
      <c r="A613" s="85" t="s">
        <v>4364</v>
      </c>
      <c r="B613" s="85" t="s">
        <v>4365</v>
      </c>
      <c r="C613" s="85" t="s">
        <v>147</v>
      </c>
      <c r="D613" s="78" t="s">
        <v>7058</v>
      </c>
      <c r="E613" s="78" t="s">
        <v>7059</v>
      </c>
      <c r="F613" s="78" t="s">
        <v>7060</v>
      </c>
      <c r="G613" s="99">
        <v>1.0</v>
      </c>
      <c r="H613" s="185">
        <v>1.0</v>
      </c>
      <c r="I613" s="155">
        <v>2.0</v>
      </c>
      <c r="J613" s="155">
        <v>20.0</v>
      </c>
      <c r="K613" s="155">
        <v>20.0</v>
      </c>
      <c r="L613" s="155" t="s">
        <v>153</v>
      </c>
      <c r="M613" s="322"/>
      <c r="N613" s="322"/>
      <c r="O613" s="322"/>
      <c r="P613" s="322"/>
      <c r="Q613" s="322"/>
      <c r="R613" s="322"/>
      <c r="S613" s="322"/>
      <c r="T613" s="322"/>
      <c r="U613" s="322"/>
      <c r="V613" s="322"/>
      <c r="W613" s="322"/>
      <c r="X613" s="322"/>
      <c r="Y613" s="322"/>
      <c r="Z613" s="322"/>
    </row>
    <row r="614" ht="15.0" customHeight="1">
      <c r="A614" s="85" t="s">
        <v>4364</v>
      </c>
      <c r="B614" s="85" t="s">
        <v>4365</v>
      </c>
      <c r="C614" s="85" t="s">
        <v>147</v>
      </c>
      <c r="D614" s="78" t="s">
        <v>7061</v>
      </c>
      <c r="E614" s="78" t="s">
        <v>7062</v>
      </c>
      <c r="F614" s="78" t="s">
        <v>7063</v>
      </c>
      <c r="G614" s="99">
        <v>1.0</v>
      </c>
      <c r="H614" s="185">
        <v>1.0</v>
      </c>
      <c r="I614" s="155">
        <v>2.0</v>
      </c>
      <c r="J614" s="155">
        <v>20.0</v>
      </c>
      <c r="K614" s="155">
        <v>20.0</v>
      </c>
      <c r="L614" s="155" t="s">
        <v>153</v>
      </c>
      <c r="M614" s="322"/>
      <c r="N614" s="322"/>
      <c r="O614" s="322"/>
      <c r="P614" s="322"/>
      <c r="Q614" s="322"/>
      <c r="R614" s="322"/>
      <c r="S614" s="322"/>
      <c r="T614" s="322"/>
      <c r="U614" s="322"/>
      <c r="V614" s="322"/>
      <c r="W614" s="322"/>
      <c r="X614" s="322"/>
      <c r="Y614" s="322"/>
      <c r="Z614" s="322"/>
    </row>
    <row r="615" ht="15.0" customHeight="1">
      <c r="A615" s="85" t="s">
        <v>4364</v>
      </c>
      <c r="B615" s="85" t="s">
        <v>4365</v>
      </c>
      <c r="C615" s="85" t="s">
        <v>147</v>
      </c>
      <c r="D615" s="78" t="s">
        <v>7064</v>
      </c>
      <c r="E615" s="78" t="s">
        <v>7065</v>
      </c>
      <c r="F615" s="78" t="s">
        <v>7060</v>
      </c>
      <c r="G615" s="99">
        <v>1.0</v>
      </c>
      <c r="H615" s="185">
        <v>1.0</v>
      </c>
      <c r="I615" s="155">
        <v>2.0</v>
      </c>
      <c r="J615" s="155">
        <v>20.0</v>
      </c>
      <c r="K615" s="155">
        <v>20.0</v>
      </c>
      <c r="L615" s="155" t="s">
        <v>153</v>
      </c>
      <c r="M615" s="322"/>
      <c r="N615" s="322"/>
      <c r="O615" s="322"/>
      <c r="P615" s="322"/>
      <c r="Q615" s="322"/>
      <c r="R615" s="322"/>
      <c r="S615" s="322"/>
      <c r="T615" s="322"/>
      <c r="U615" s="322"/>
      <c r="V615" s="322"/>
      <c r="W615" s="322"/>
      <c r="X615" s="322"/>
      <c r="Y615" s="322"/>
      <c r="Z615" s="322"/>
    </row>
    <row r="616" ht="15.0" customHeight="1">
      <c r="A616" s="85" t="s">
        <v>4364</v>
      </c>
      <c r="B616" s="85" t="s">
        <v>4365</v>
      </c>
      <c r="C616" s="85" t="s">
        <v>147</v>
      </c>
      <c r="D616" s="78" t="s">
        <v>7066</v>
      </c>
      <c r="E616" s="78" t="s">
        <v>7067</v>
      </c>
      <c r="F616" s="78" t="s">
        <v>7057</v>
      </c>
      <c r="G616" s="99">
        <v>1.0</v>
      </c>
      <c r="H616" s="185">
        <v>1.0</v>
      </c>
      <c r="I616" s="155">
        <v>2.0</v>
      </c>
      <c r="J616" s="155">
        <v>20.0</v>
      </c>
      <c r="K616" s="155">
        <v>20.0</v>
      </c>
      <c r="L616" s="155" t="s">
        <v>153</v>
      </c>
      <c r="M616" s="322"/>
      <c r="N616" s="322"/>
      <c r="O616" s="322"/>
      <c r="P616" s="322"/>
      <c r="Q616" s="322"/>
      <c r="R616" s="322"/>
      <c r="S616" s="322"/>
      <c r="T616" s="322"/>
      <c r="U616" s="322"/>
      <c r="V616" s="322"/>
      <c r="W616" s="322"/>
      <c r="X616" s="322"/>
      <c r="Y616" s="322"/>
      <c r="Z616" s="322"/>
    </row>
    <row r="617" ht="15.0" customHeight="1">
      <c r="A617" s="85" t="s">
        <v>4364</v>
      </c>
      <c r="B617" s="85" t="s">
        <v>4365</v>
      </c>
      <c r="C617" s="85" t="s">
        <v>147</v>
      </c>
      <c r="D617" s="78" t="s">
        <v>7068</v>
      </c>
      <c r="E617" s="78" t="s">
        <v>7069</v>
      </c>
      <c r="F617" s="78" t="s">
        <v>7057</v>
      </c>
      <c r="G617" s="99">
        <v>1.0</v>
      </c>
      <c r="H617" s="185">
        <v>1.0</v>
      </c>
      <c r="I617" s="155">
        <v>2.0</v>
      </c>
      <c r="J617" s="155">
        <v>20.0</v>
      </c>
      <c r="K617" s="155">
        <v>20.0</v>
      </c>
      <c r="L617" s="155" t="s">
        <v>153</v>
      </c>
      <c r="M617" s="322"/>
      <c r="N617" s="322"/>
      <c r="O617" s="322"/>
      <c r="P617" s="322"/>
      <c r="Q617" s="322"/>
      <c r="R617" s="322"/>
      <c r="S617" s="322"/>
      <c r="T617" s="322"/>
      <c r="U617" s="322"/>
      <c r="V617" s="322"/>
      <c r="W617" s="322"/>
      <c r="X617" s="322"/>
      <c r="Y617" s="322"/>
      <c r="Z617" s="322"/>
    </row>
    <row r="618" ht="15.0" customHeight="1">
      <c r="A618" s="85" t="s">
        <v>4364</v>
      </c>
      <c r="B618" s="85" t="s">
        <v>4365</v>
      </c>
      <c r="C618" s="85" t="s">
        <v>147</v>
      </c>
      <c r="D618" s="78" t="s">
        <v>7070</v>
      </c>
      <c r="E618" s="78" t="s">
        <v>7071</v>
      </c>
      <c r="F618" s="78" t="s">
        <v>7072</v>
      </c>
      <c r="G618" s="99">
        <v>1.0</v>
      </c>
      <c r="H618" s="185">
        <v>1.0</v>
      </c>
      <c r="I618" s="155">
        <v>2.0</v>
      </c>
      <c r="J618" s="155">
        <v>20.0</v>
      </c>
      <c r="K618" s="155">
        <v>20.0</v>
      </c>
      <c r="L618" s="155" t="s">
        <v>153</v>
      </c>
      <c r="M618" s="322"/>
      <c r="N618" s="322"/>
      <c r="O618" s="322"/>
      <c r="P618" s="322"/>
      <c r="Q618" s="322"/>
      <c r="R618" s="322"/>
      <c r="S618" s="322"/>
      <c r="T618" s="322"/>
      <c r="U618" s="322"/>
      <c r="V618" s="322"/>
      <c r="W618" s="322"/>
      <c r="X618" s="322"/>
      <c r="Y618" s="322"/>
      <c r="Z618" s="322"/>
    </row>
    <row r="619" ht="15.0" customHeight="1">
      <c r="A619" s="85" t="s">
        <v>4364</v>
      </c>
      <c r="B619" s="85" t="s">
        <v>4365</v>
      </c>
      <c r="C619" s="85" t="s">
        <v>147</v>
      </c>
      <c r="D619" s="78" t="s">
        <v>7073</v>
      </c>
      <c r="E619" s="78" t="s">
        <v>7074</v>
      </c>
      <c r="F619" s="78" t="s">
        <v>7060</v>
      </c>
      <c r="G619" s="99">
        <v>1.0</v>
      </c>
      <c r="H619" s="185">
        <v>1.0</v>
      </c>
      <c r="I619" s="155">
        <v>2.0</v>
      </c>
      <c r="J619" s="155">
        <v>20.0</v>
      </c>
      <c r="K619" s="155">
        <v>20.0</v>
      </c>
      <c r="L619" s="155" t="s">
        <v>153</v>
      </c>
      <c r="M619" s="322"/>
      <c r="N619" s="322"/>
      <c r="O619" s="322"/>
      <c r="P619" s="322"/>
      <c r="Q619" s="322"/>
      <c r="R619" s="322"/>
      <c r="S619" s="322"/>
      <c r="T619" s="322"/>
      <c r="U619" s="322"/>
      <c r="V619" s="322"/>
      <c r="W619" s="322"/>
      <c r="X619" s="322"/>
      <c r="Y619" s="322"/>
      <c r="Z619" s="322"/>
    </row>
    <row r="620" ht="15.0" customHeight="1">
      <c r="A620" s="85" t="s">
        <v>4364</v>
      </c>
      <c r="B620" s="85" t="s">
        <v>4365</v>
      </c>
      <c r="C620" s="85" t="s">
        <v>147</v>
      </c>
      <c r="D620" s="78" t="s">
        <v>7075</v>
      </c>
      <c r="E620" s="78" t="s">
        <v>7076</v>
      </c>
      <c r="F620" s="78" t="s">
        <v>7077</v>
      </c>
      <c r="G620" s="99">
        <v>1.0</v>
      </c>
      <c r="H620" s="185">
        <v>1.0</v>
      </c>
      <c r="I620" s="155">
        <v>2.0</v>
      </c>
      <c r="J620" s="155">
        <v>20.0</v>
      </c>
      <c r="K620" s="155">
        <v>20.0</v>
      </c>
      <c r="L620" s="155" t="s">
        <v>153</v>
      </c>
      <c r="M620" s="322"/>
      <c r="N620" s="322"/>
      <c r="O620" s="322"/>
      <c r="P620" s="322"/>
      <c r="Q620" s="322"/>
      <c r="R620" s="322"/>
      <c r="S620" s="322"/>
      <c r="T620" s="322"/>
      <c r="U620" s="322"/>
      <c r="V620" s="322"/>
      <c r="W620" s="322"/>
      <c r="X620" s="322"/>
      <c r="Y620" s="322"/>
      <c r="Z620" s="322"/>
    </row>
    <row r="621" ht="15.0" customHeight="1">
      <c r="A621" s="85" t="s">
        <v>4364</v>
      </c>
      <c r="B621" s="85" t="s">
        <v>4365</v>
      </c>
      <c r="C621" s="85" t="s">
        <v>147</v>
      </c>
      <c r="D621" s="78" t="s">
        <v>7078</v>
      </c>
      <c r="E621" s="78" t="s">
        <v>7079</v>
      </c>
      <c r="F621" s="78" t="s">
        <v>7080</v>
      </c>
      <c r="G621" s="99">
        <v>1.0</v>
      </c>
      <c r="H621" s="185">
        <v>1.0</v>
      </c>
      <c r="I621" s="155">
        <v>2.0</v>
      </c>
      <c r="J621" s="155">
        <v>20.0</v>
      </c>
      <c r="K621" s="155">
        <v>20.0</v>
      </c>
      <c r="L621" s="155" t="s">
        <v>153</v>
      </c>
      <c r="M621" s="322"/>
      <c r="N621" s="322"/>
      <c r="O621" s="322"/>
      <c r="P621" s="322"/>
      <c r="Q621" s="322"/>
      <c r="R621" s="322"/>
      <c r="S621" s="322"/>
      <c r="T621" s="322"/>
      <c r="U621" s="322"/>
      <c r="V621" s="322"/>
      <c r="W621" s="322"/>
      <c r="X621" s="322"/>
      <c r="Y621" s="322"/>
      <c r="Z621" s="322"/>
    </row>
    <row r="622" ht="15.0" customHeight="1">
      <c r="A622" s="85" t="s">
        <v>4364</v>
      </c>
      <c r="B622" s="85" t="s">
        <v>4365</v>
      </c>
      <c r="C622" s="85" t="s">
        <v>147</v>
      </c>
      <c r="D622" s="78" t="s">
        <v>7081</v>
      </c>
      <c r="E622" s="78" t="s">
        <v>7082</v>
      </c>
      <c r="F622" s="78" t="s">
        <v>7083</v>
      </c>
      <c r="G622" s="99">
        <v>1.0</v>
      </c>
      <c r="H622" s="185">
        <v>1.0</v>
      </c>
      <c r="I622" s="155">
        <v>2.0</v>
      </c>
      <c r="J622" s="155">
        <v>10.0</v>
      </c>
      <c r="K622" s="155">
        <v>10.0</v>
      </c>
      <c r="L622" s="155" t="s">
        <v>153</v>
      </c>
      <c r="M622" s="322"/>
      <c r="N622" s="322"/>
      <c r="O622" s="322"/>
      <c r="P622" s="322"/>
      <c r="Q622" s="322"/>
      <c r="R622" s="322"/>
      <c r="S622" s="322"/>
      <c r="T622" s="322"/>
      <c r="U622" s="322"/>
      <c r="V622" s="322"/>
      <c r="W622" s="322"/>
      <c r="X622" s="322"/>
      <c r="Y622" s="322"/>
      <c r="Z622" s="322"/>
    </row>
    <row r="623" ht="15.0" customHeight="1">
      <c r="A623" s="85" t="s">
        <v>4364</v>
      </c>
      <c r="B623" s="85" t="s">
        <v>4365</v>
      </c>
      <c r="C623" s="85" t="s">
        <v>147</v>
      </c>
      <c r="D623" s="78" t="s">
        <v>7084</v>
      </c>
      <c r="E623" s="78" t="s">
        <v>7085</v>
      </c>
      <c r="F623" s="78" t="s">
        <v>7086</v>
      </c>
      <c r="G623" s="99">
        <v>1.0</v>
      </c>
      <c r="H623" s="185">
        <v>1.0</v>
      </c>
      <c r="I623" s="155">
        <v>2.0</v>
      </c>
      <c r="J623" s="155">
        <v>20.0</v>
      </c>
      <c r="K623" s="155">
        <v>20.0</v>
      </c>
      <c r="L623" s="155" t="s">
        <v>153</v>
      </c>
      <c r="M623" s="322"/>
      <c r="N623" s="322"/>
      <c r="O623" s="322"/>
      <c r="P623" s="322"/>
      <c r="Q623" s="322"/>
      <c r="R623" s="322"/>
      <c r="S623" s="322"/>
      <c r="T623" s="322"/>
      <c r="U623" s="322"/>
      <c r="V623" s="322"/>
      <c r="W623" s="322"/>
      <c r="X623" s="322"/>
      <c r="Y623" s="322"/>
      <c r="Z623" s="322"/>
    </row>
    <row r="624" ht="15.0" customHeight="1">
      <c r="A624" s="85" t="s">
        <v>4386</v>
      </c>
      <c r="B624" s="85" t="s">
        <v>4387</v>
      </c>
      <c r="C624" s="85" t="s">
        <v>147</v>
      </c>
      <c r="D624" s="78" t="s">
        <v>7087</v>
      </c>
      <c r="E624" s="78" t="s">
        <v>7088</v>
      </c>
      <c r="F624" s="78" t="s">
        <v>7083</v>
      </c>
      <c r="G624" s="99">
        <v>2.0</v>
      </c>
      <c r="H624" s="185">
        <v>2.0</v>
      </c>
      <c r="I624" s="155">
        <v>5.0</v>
      </c>
      <c r="J624" s="155">
        <v>20.0</v>
      </c>
      <c r="K624" s="155">
        <v>10.0</v>
      </c>
      <c r="L624" s="155" t="s">
        <v>153</v>
      </c>
      <c r="M624" s="322"/>
      <c r="N624" s="322"/>
      <c r="O624" s="322"/>
      <c r="P624" s="322"/>
      <c r="Q624" s="322"/>
      <c r="R624" s="322"/>
      <c r="S624" s="322"/>
      <c r="T624" s="322"/>
      <c r="U624" s="322"/>
      <c r="V624" s="322"/>
      <c r="W624" s="322"/>
      <c r="X624" s="322"/>
      <c r="Y624" s="322"/>
      <c r="Z624" s="322"/>
    </row>
    <row r="625" ht="15.0" customHeight="1">
      <c r="A625" s="85" t="s">
        <v>4386</v>
      </c>
      <c r="B625" s="85" t="s">
        <v>4387</v>
      </c>
      <c r="C625" s="85" t="s">
        <v>147</v>
      </c>
      <c r="D625" s="78" t="s">
        <v>7089</v>
      </c>
      <c r="E625" s="78" t="s">
        <v>7090</v>
      </c>
      <c r="F625" s="78" t="s">
        <v>7083</v>
      </c>
      <c r="G625" s="99">
        <v>2.0</v>
      </c>
      <c r="H625" s="185">
        <v>2.0</v>
      </c>
      <c r="I625" s="155">
        <v>5.0</v>
      </c>
      <c r="J625" s="155">
        <v>20.0</v>
      </c>
      <c r="K625" s="155">
        <v>10.0</v>
      </c>
      <c r="L625" s="155" t="s">
        <v>153</v>
      </c>
      <c r="M625" s="322"/>
      <c r="N625" s="322"/>
      <c r="O625" s="322"/>
      <c r="P625" s="322"/>
      <c r="Q625" s="322"/>
      <c r="R625" s="322"/>
      <c r="S625" s="322"/>
      <c r="T625" s="322"/>
      <c r="U625" s="322"/>
      <c r="V625" s="322"/>
      <c r="W625" s="322"/>
      <c r="X625" s="322"/>
      <c r="Y625" s="322"/>
      <c r="Z625" s="322"/>
    </row>
    <row r="626" ht="15.0" customHeight="1">
      <c r="A626" s="85" t="s">
        <v>4400</v>
      </c>
      <c r="B626" s="85" t="s">
        <v>4401</v>
      </c>
      <c r="C626" s="85" t="s">
        <v>147</v>
      </c>
      <c r="D626" s="78" t="s">
        <v>7091</v>
      </c>
      <c r="E626" s="78" t="s">
        <v>6308</v>
      </c>
      <c r="F626" s="78" t="s">
        <v>7083</v>
      </c>
      <c r="G626" s="99">
        <v>3.0</v>
      </c>
      <c r="H626" s="185">
        <v>3.0</v>
      </c>
      <c r="I626" s="155">
        <v>7.0</v>
      </c>
      <c r="J626" s="155">
        <v>20.0</v>
      </c>
      <c r="K626" s="155">
        <v>6.666666666666667</v>
      </c>
      <c r="L626" s="155" t="s">
        <v>153</v>
      </c>
      <c r="M626" s="322"/>
      <c r="N626" s="322"/>
      <c r="O626" s="322"/>
      <c r="P626" s="322"/>
      <c r="Q626" s="322"/>
      <c r="R626" s="322"/>
      <c r="S626" s="322"/>
      <c r="T626" s="322"/>
      <c r="U626" s="322"/>
      <c r="V626" s="322"/>
      <c r="W626" s="322"/>
      <c r="X626" s="322"/>
      <c r="Y626" s="322"/>
      <c r="Z626" s="322"/>
    </row>
    <row r="627" ht="15.0" customHeight="1">
      <c r="A627" s="85" t="s">
        <v>4400</v>
      </c>
      <c r="B627" s="85" t="s">
        <v>4401</v>
      </c>
      <c r="C627" s="85" t="s">
        <v>147</v>
      </c>
      <c r="D627" s="78" t="s">
        <v>7092</v>
      </c>
      <c r="E627" s="78" t="s">
        <v>7093</v>
      </c>
      <c r="F627" s="78" t="s">
        <v>7083</v>
      </c>
      <c r="G627" s="99">
        <v>3.0</v>
      </c>
      <c r="H627" s="185">
        <v>3.0</v>
      </c>
      <c r="I627" s="155">
        <v>7.0</v>
      </c>
      <c r="J627" s="155">
        <v>20.0</v>
      </c>
      <c r="K627" s="155">
        <v>6.666666666666667</v>
      </c>
      <c r="L627" s="155" t="s">
        <v>153</v>
      </c>
      <c r="M627" s="322"/>
      <c r="N627" s="322"/>
      <c r="O627" s="322"/>
      <c r="P627" s="322"/>
      <c r="Q627" s="322"/>
      <c r="R627" s="322"/>
      <c r="S627" s="322"/>
      <c r="T627" s="322"/>
      <c r="U627" s="322"/>
      <c r="V627" s="322"/>
      <c r="W627" s="322"/>
      <c r="X627" s="322"/>
      <c r="Y627" s="322"/>
      <c r="Z627" s="322"/>
    </row>
    <row r="628" ht="15.0" customHeight="1">
      <c r="A628" s="85" t="s">
        <v>4400</v>
      </c>
      <c r="B628" s="85" t="s">
        <v>4401</v>
      </c>
      <c r="C628" s="85" t="s">
        <v>147</v>
      </c>
      <c r="D628" s="78" t="s">
        <v>7094</v>
      </c>
      <c r="E628" s="78" t="s">
        <v>6312</v>
      </c>
      <c r="F628" s="78" t="s">
        <v>7095</v>
      </c>
      <c r="G628" s="99">
        <v>3.0</v>
      </c>
      <c r="H628" s="185">
        <v>3.0</v>
      </c>
      <c r="I628" s="155">
        <v>7.0</v>
      </c>
      <c r="J628" s="155">
        <v>20.0</v>
      </c>
      <c r="K628" s="155">
        <v>6.666666666666667</v>
      </c>
      <c r="L628" s="155" t="s">
        <v>153</v>
      </c>
      <c r="M628" s="322"/>
      <c r="N628" s="322"/>
      <c r="O628" s="322"/>
      <c r="P628" s="322"/>
      <c r="Q628" s="322"/>
      <c r="R628" s="322"/>
      <c r="S628" s="322"/>
      <c r="T628" s="322"/>
      <c r="U628" s="322"/>
      <c r="V628" s="322"/>
      <c r="W628" s="322"/>
      <c r="X628" s="322"/>
      <c r="Y628" s="322"/>
      <c r="Z628" s="322"/>
    </row>
    <row r="629" ht="15.0" customHeight="1">
      <c r="A629" s="85" t="s">
        <v>4400</v>
      </c>
      <c r="B629" s="85" t="s">
        <v>4401</v>
      </c>
      <c r="C629" s="85" t="s">
        <v>147</v>
      </c>
      <c r="D629" s="78" t="s">
        <v>7096</v>
      </c>
      <c r="E629" s="78" t="s">
        <v>6316</v>
      </c>
      <c r="F629" s="78" t="s">
        <v>7083</v>
      </c>
      <c r="G629" s="99">
        <v>3.0</v>
      </c>
      <c r="H629" s="185">
        <v>3.0</v>
      </c>
      <c r="I629" s="155">
        <v>7.0</v>
      </c>
      <c r="J629" s="155">
        <v>20.0</v>
      </c>
      <c r="K629" s="155">
        <v>6.666666666666667</v>
      </c>
      <c r="L629" s="155" t="s">
        <v>153</v>
      </c>
      <c r="M629" s="322"/>
      <c r="N629" s="322"/>
      <c r="O629" s="322"/>
      <c r="P629" s="322"/>
      <c r="Q629" s="322"/>
      <c r="R629" s="322"/>
      <c r="S629" s="322"/>
      <c r="T629" s="322"/>
      <c r="U629" s="322"/>
      <c r="V629" s="322"/>
      <c r="W629" s="322"/>
      <c r="X629" s="322"/>
      <c r="Y629" s="322"/>
      <c r="Z629" s="322"/>
    </row>
    <row r="630" ht="15.0" customHeight="1">
      <c r="A630" s="85" t="s">
        <v>4400</v>
      </c>
      <c r="B630" s="85" t="s">
        <v>4401</v>
      </c>
      <c r="C630" s="85" t="s">
        <v>147</v>
      </c>
      <c r="D630" s="78" t="s">
        <v>7097</v>
      </c>
      <c r="E630" s="78" t="s">
        <v>7098</v>
      </c>
      <c r="F630" s="78" t="s">
        <v>7083</v>
      </c>
      <c r="G630" s="99">
        <v>3.0</v>
      </c>
      <c r="H630" s="185">
        <v>3.0</v>
      </c>
      <c r="I630" s="155">
        <v>7.0</v>
      </c>
      <c r="J630" s="155">
        <v>20.0</v>
      </c>
      <c r="K630" s="155">
        <v>6.666666666666667</v>
      </c>
      <c r="L630" s="155" t="s">
        <v>153</v>
      </c>
      <c r="M630" s="322"/>
      <c r="N630" s="322"/>
      <c r="O630" s="322"/>
      <c r="P630" s="322"/>
      <c r="Q630" s="322"/>
      <c r="R630" s="322"/>
      <c r="S630" s="322"/>
      <c r="T630" s="322"/>
      <c r="U630" s="322"/>
      <c r="V630" s="322"/>
      <c r="W630" s="322"/>
      <c r="X630" s="322"/>
      <c r="Y630" s="322"/>
      <c r="Z630" s="322"/>
    </row>
    <row r="631" ht="15.0" customHeight="1">
      <c r="A631" s="85" t="s">
        <v>4400</v>
      </c>
      <c r="B631" s="85" t="s">
        <v>4401</v>
      </c>
      <c r="C631" s="85" t="s">
        <v>147</v>
      </c>
      <c r="D631" s="78" t="s">
        <v>7099</v>
      </c>
      <c r="E631" s="78" t="s">
        <v>6318</v>
      </c>
      <c r="F631" s="78" t="s">
        <v>7083</v>
      </c>
      <c r="G631" s="99">
        <v>3.0</v>
      </c>
      <c r="H631" s="185">
        <v>3.0</v>
      </c>
      <c r="I631" s="155">
        <v>7.0</v>
      </c>
      <c r="J631" s="155">
        <v>20.0</v>
      </c>
      <c r="K631" s="155">
        <v>6.666666666666667</v>
      </c>
      <c r="L631" s="155" t="s">
        <v>153</v>
      </c>
      <c r="M631" s="322"/>
      <c r="N631" s="322"/>
      <c r="O631" s="322"/>
      <c r="P631" s="322"/>
      <c r="Q631" s="322"/>
      <c r="R631" s="322"/>
      <c r="S631" s="322"/>
      <c r="T631" s="322"/>
      <c r="U631" s="322"/>
      <c r="V631" s="322"/>
      <c r="W631" s="322"/>
      <c r="X631" s="322"/>
      <c r="Y631" s="322"/>
      <c r="Z631" s="322"/>
    </row>
    <row r="632" ht="15.0" customHeight="1">
      <c r="A632" s="85" t="s">
        <v>4418</v>
      </c>
      <c r="B632" s="85" t="s">
        <v>4419</v>
      </c>
      <c r="C632" s="85" t="s">
        <v>147</v>
      </c>
      <c r="D632" s="78" t="s">
        <v>7100</v>
      </c>
      <c r="E632" s="78" t="s">
        <v>7101</v>
      </c>
      <c r="F632" s="78" t="s">
        <v>7102</v>
      </c>
      <c r="G632" s="99">
        <v>3.0</v>
      </c>
      <c r="H632" s="185">
        <v>3.0</v>
      </c>
      <c r="I632" s="155">
        <v>5.0</v>
      </c>
      <c r="J632" s="155">
        <v>20.0</v>
      </c>
      <c r="K632" s="155">
        <v>6.666666666666667</v>
      </c>
      <c r="L632" s="155" t="s">
        <v>153</v>
      </c>
      <c r="M632" s="322"/>
      <c r="N632" s="322"/>
      <c r="O632" s="322"/>
      <c r="P632" s="322"/>
      <c r="Q632" s="322"/>
      <c r="R632" s="322"/>
      <c r="S632" s="322"/>
      <c r="T632" s="322"/>
      <c r="U632" s="322"/>
      <c r="V632" s="322"/>
      <c r="W632" s="322"/>
      <c r="X632" s="322"/>
      <c r="Y632" s="322"/>
      <c r="Z632" s="322"/>
    </row>
    <row r="633" ht="15.0" customHeight="1">
      <c r="A633" s="85" t="s">
        <v>4418</v>
      </c>
      <c r="B633" s="85" t="s">
        <v>4419</v>
      </c>
      <c r="C633" s="85" t="s">
        <v>147</v>
      </c>
      <c r="D633" s="78" t="s">
        <v>7103</v>
      </c>
      <c r="E633" s="78" t="s">
        <v>4449</v>
      </c>
      <c r="F633" s="78" t="s">
        <v>7057</v>
      </c>
      <c r="G633" s="99">
        <v>3.0</v>
      </c>
      <c r="H633" s="185">
        <v>3.0</v>
      </c>
      <c r="I633" s="155">
        <v>5.0</v>
      </c>
      <c r="J633" s="155">
        <v>20.0</v>
      </c>
      <c r="K633" s="155">
        <v>6.666666666666667</v>
      </c>
      <c r="L633" s="155" t="s">
        <v>153</v>
      </c>
      <c r="M633" s="322"/>
      <c r="N633" s="322"/>
      <c r="O633" s="322"/>
      <c r="P633" s="322"/>
      <c r="Q633" s="322"/>
      <c r="R633" s="322"/>
      <c r="S633" s="322"/>
      <c r="T633" s="322"/>
      <c r="U633" s="322"/>
      <c r="V633" s="322"/>
      <c r="W633" s="322"/>
      <c r="X633" s="322"/>
      <c r="Y633" s="322"/>
      <c r="Z633" s="322"/>
    </row>
    <row r="634" ht="15.0" customHeight="1">
      <c r="A634" s="85" t="s">
        <v>4418</v>
      </c>
      <c r="B634" s="85" t="s">
        <v>4419</v>
      </c>
      <c r="C634" s="85" t="s">
        <v>147</v>
      </c>
      <c r="D634" s="78" t="s">
        <v>7104</v>
      </c>
      <c r="E634" s="78" t="s">
        <v>7105</v>
      </c>
      <c r="F634" s="78" t="s">
        <v>7057</v>
      </c>
      <c r="G634" s="99">
        <v>3.0</v>
      </c>
      <c r="H634" s="185">
        <v>3.0</v>
      </c>
      <c r="I634" s="155">
        <v>5.0</v>
      </c>
      <c r="J634" s="155">
        <v>20.0</v>
      </c>
      <c r="K634" s="155">
        <v>6.666666666666667</v>
      </c>
      <c r="L634" s="155" t="s">
        <v>153</v>
      </c>
      <c r="M634" s="322"/>
      <c r="N634" s="322"/>
      <c r="O634" s="322"/>
      <c r="P634" s="322"/>
      <c r="Q634" s="322"/>
      <c r="R634" s="322"/>
      <c r="S634" s="322"/>
      <c r="T634" s="322"/>
      <c r="U634" s="322"/>
      <c r="V634" s="322"/>
      <c r="W634" s="322"/>
      <c r="X634" s="322"/>
      <c r="Y634" s="322"/>
      <c r="Z634" s="322"/>
    </row>
    <row r="635" ht="15.0" customHeight="1">
      <c r="A635" s="85" t="s">
        <v>4418</v>
      </c>
      <c r="B635" s="85" t="s">
        <v>4419</v>
      </c>
      <c r="C635" s="85" t="s">
        <v>147</v>
      </c>
      <c r="D635" s="78" t="s">
        <v>7106</v>
      </c>
      <c r="E635" s="78" t="s">
        <v>7107</v>
      </c>
      <c r="F635" s="78" t="s">
        <v>7083</v>
      </c>
      <c r="G635" s="99">
        <v>3.0</v>
      </c>
      <c r="H635" s="185">
        <v>3.0</v>
      </c>
      <c r="I635" s="155">
        <v>5.0</v>
      </c>
      <c r="J635" s="155">
        <v>10.0</v>
      </c>
      <c r="K635" s="155">
        <v>3.3333333333333335</v>
      </c>
      <c r="L635" s="155" t="s">
        <v>153</v>
      </c>
      <c r="M635" s="322"/>
      <c r="N635" s="322"/>
      <c r="O635" s="322"/>
      <c r="P635" s="322"/>
      <c r="Q635" s="322"/>
      <c r="R635" s="322"/>
      <c r="S635" s="322"/>
      <c r="T635" s="322"/>
      <c r="U635" s="322"/>
      <c r="V635" s="322"/>
      <c r="W635" s="322"/>
      <c r="X635" s="322"/>
      <c r="Y635" s="322"/>
      <c r="Z635" s="322"/>
    </row>
    <row r="636" ht="15.0" customHeight="1">
      <c r="A636" s="85" t="s">
        <v>4454</v>
      </c>
      <c r="B636" s="85" t="s">
        <v>4455</v>
      </c>
      <c r="C636" s="85" t="s">
        <v>147</v>
      </c>
      <c r="D636" s="78" t="s">
        <v>7108</v>
      </c>
      <c r="E636" s="78" t="s">
        <v>7109</v>
      </c>
      <c r="F636" s="78" t="s">
        <v>7083</v>
      </c>
      <c r="G636" s="99">
        <v>2.0</v>
      </c>
      <c r="H636" s="185">
        <v>1.0</v>
      </c>
      <c r="I636" s="155">
        <v>7.0</v>
      </c>
      <c r="J636" s="155">
        <v>20.0</v>
      </c>
      <c r="K636" s="155">
        <v>10.0</v>
      </c>
      <c r="L636" s="155" t="s">
        <v>153</v>
      </c>
      <c r="M636" s="322"/>
      <c r="N636" s="322"/>
      <c r="O636" s="322"/>
      <c r="P636" s="322"/>
      <c r="Q636" s="322"/>
      <c r="R636" s="322"/>
      <c r="S636" s="322"/>
      <c r="T636" s="322"/>
      <c r="U636" s="322"/>
      <c r="V636" s="322"/>
      <c r="W636" s="322"/>
      <c r="X636" s="322"/>
      <c r="Y636" s="322"/>
      <c r="Z636" s="322"/>
    </row>
    <row r="637" ht="15.0" customHeight="1">
      <c r="A637" s="85" t="s">
        <v>4454</v>
      </c>
      <c r="B637" s="85" t="s">
        <v>4455</v>
      </c>
      <c r="C637" s="85" t="s">
        <v>147</v>
      </c>
      <c r="D637" s="78" t="s">
        <v>7110</v>
      </c>
      <c r="E637" s="78" t="s">
        <v>7111</v>
      </c>
      <c r="F637" s="78" t="s">
        <v>7083</v>
      </c>
      <c r="G637" s="99">
        <v>2.0</v>
      </c>
      <c r="H637" s="185">
        <v>1.0</v>
      </c>
      <c r="I637" s="155">
        <v>7.0</v>
      </c>
      <c r="J637" s="155">
        <v>10.0</v>
      </c>
      <c r="K637" s="155">
        <v>5.0</v>
      </c>
      <c r="L637" s="155" t="s">
        <v>153</v>
      </c>
      <c r="M637" s="322"/>
      <c r="N637" s="322"/>
      <c r="O637" s="322"/>
      <c r="P637" s="322"/>
      <c r="Q637" s="322"/>
      <c r="R637" s="322"/>
      <c r="S637" s="322"/>
      <c r="T637" s="322"/>
      <c r="U637" s="322"/>
      <c r="V637" s="322"/>
      <c r="W637" s="322"/>
      <c r="X637" s="322"/>
      <c r="Y637" s="322"/>
      <c r="Z637" s="322"/>
    </row>
    <row r="638" ht="15.0" customHeight="1">
      <c r="A638" s="85" t="s">
        <v>4464</v>
      </c>
      <c r="B638" s="85" t="s">
        <v>4465</v>
      </c>
      <c r="C638" s="85" t="s">
        <v>147</v>
      </c>
      <c r="D638" s="78" t="s">
        <v>7112</v>
      </c>
      <c r="E638" s="78" t="s">
        <v>7113</v>
      </c>
      <c r="F638" s="78" t="s">
        <v>7083</v>
      </c>
      <c r="G638" s="99">
        <v>1.0</v>
      </c>
      <c r="H638" s="185">
        <v>1.0</v>
      </c>
      <c r="I638" s="155">
        <v>3.0</v>
      </c>
      <c r="J638" s="155">
        <v>20.0</v>
      </c>
      <c r="K638" s="155">
        <v>20.0</v>
      </c>
      <c r="L638" s="155" t="s">
        <v>153</v>
      </c>
      <c r="M638" s="322"/>
      <c r="N638" s="322"/>
      <c r="O638" s="322"/>
      <c r="P638" s="322"/>
      <c r="Q638" s="322"/>
      <c r="R638" s="322"/>
      <c r="S638" s="322"/>
      <c r="T638" s="322"/>
      <c r="U638" s="322"/>
      <c r="V638" s="322"/>
      <c r="W638" s="322"/>
      <c r="X638" s="322"/>
      <c r="Y638" s="322"/>
      <c r="Z638" s="322"/>
    </row>
    <row r="639" ht="15.0" customHeight="1">
      <c r="A639" s="85" t="s">
        <v>4472</v>
      </c>
      <c r="B639" s="85" t="s">
        <v>4473</v>
      </c>
      <c r="C639" s="85" t="s">
        <v>147</v>
      </c>
      <c r="D639" s="78" t="s">
        <v>6774</v>
      </c>
      <c r="E639" s="78" t="s">
        <v>6775</v>
      </c>
      <c r="F639" s="78" t="s">
        <v>7083</v>
      </c>
      <c r="G639" s="99">
        <v>2.0</v>
      </c>
      <c r="H639" s="185">
        <v>2.0</v>
      </c>
      <c r="I639" s="155">
        <v>3.0</v>
      </c>
      <c r="J639" s="155">
        <v>20.0</v>
      </c>
      <c r="K639" s="155">
        <v>10.0</v>
      </c>
      <c r="L639" s="155" t="s">
        <v>153</v>
      </c>
      <c r="M639" s="322"/>
      <c r="N639" s="322"/>
      <c r="O639" s="322"/>
      <c r="P639" s="322"/>
      <c r="Q639" s="322"/>
      <c r="R639" s="322"/>
      <c r="S639" s="322"/>
      <c r="T639" s="322"/>
      <c r="U639" s="322"/>
      <c r="V639" s="322"/>
      <c r="W639" s="322"/>
      <c r="X639" s="322"/>
      <c r="Y639" s="322"/>
      <c r="Z639" s="322"/>
    </row>
    <row r="640" ht="15.0" customHeight="1">
      <c r="A640" s="85" t="s">
        <v>4472</v>
      </c>
      <c r="B640" s="85" t="s">
        <v>4473</v>
      </c>
      <c r="C640" s="85" t="s">
        <v>147</v>
      </c>
      <c r="D640" s="78" t="s">
        <v>6776</v>
      </c>
      <c r="E640" s="78" t="s">
        <v>7114</v>
      </c>
      <c r="F640" s="78" t="s">
        <v>7083</v>
      </c>
      <c r="G640" s="99">
        <v>2.0</v>
      </c>
      <c r="H640" s="185">
        <v>2.0</v>
      </c>
      <c r="I640" s="155">
        <v>3.0</v>
      </c>
      <c r="J640" s="155">
        <v>10.0</v>
      </c>
      <c r="K640" s="155">
        <v>5.0</v>
      </c>
      <c r="L640" s="155" t="s">
        <v>153</v>
      </c>
      <c r="M640" s="322"/>
      <c r="N640" s="322"/>
      <c r="O640" s="322"/>
      <c r="P640" s="322"/>
      <c r="Q640" s="322"/>
      <c r="R640" s="322"/>
      <c r="S640" s="322"/>
      <c r="T640" s="322"/>
      <c r="U640" s="322"/>
      <c r="V640" s="322"/>
      <c r="W640" s="322"/>
      <c r="X640" s="322"/>
      <c r="Y640" s="322"/>
      <c r="Z640" s="322"/>
    </row>
    <row r="641" ht="15.0" customHeight="1">
      <c r="A641" s="85" t="s">
        <v>4488</v>
      </c>
      <c r="B641" s="85" t="s">
        <v>4489</v>
      </c>
      <c r="C641" s="85" t="s">
        <v>147</v>
      </c>
      <c r="D641" s="78" t="s">
        <v>7115</v>
      </c>
      <c r="E641" s="78" t="s">
        <v>7116</v>
      </c>
      <c r="F641" s="78" t="s">
        <v>7083</v>
      </c>
      <c r="G641" s="99">
        <v>1.0</v>
      </c>
      <c r="H641" s="185">
        <v>1.0</v>
      </c>
      <c r="I641" s="155">
        <v>3.0</v>
      </c>
      <c r="J641" s="155">
        <v>10.0</v>
      </c>
      <c r="K641" s="155">
        <v>10.0</v>
      </c>
      <c r="L641" s="155" t="s">
        <v>153</v>
      </c>
      <c r="M641" s="322"/>
      <c r="N641" s="322"/>
      <c r="O641" s="322"/>
      <c r="P641" s="322"/>
      <c r="Q641" s="322"/>
      <c r="R641" s="322"/>
      <c r="S641" s="322"/>
      <c r="T641" s="322"/>
      <c r="U641" s="322"/>
      <c r="V641" s="322"/>
      <c r="W641" s="322"/>
      <c r="X641" s="322"/>
      <c r="Y641" s="322"/>
      <c r="Z641" s="322"/>
    </row>
    <row r="642" ht="15.0" customHeight="1">
      <c r="A642" s="85" t="s">
        <v>4488</v>
      </c>
      <c r="B642" s="85" t="s">
        <v>4489</v>
      </c>
      <c r="C642" s="85" t="s">
        <v>147</v>
      </c>
      <c r="D642" s="78" t="s">
        <v>7117</v>
      </c>
      <c r="E642" s="78" t="s">
        <v>7118</v>
      </c>
      <c r="F642" s="78" t="s">
        <v>7083</v>
      </c>
      <c r="G642" s="99">
        <v>1.0</v>
      </c>
      <c r="H642" s="185">
        <v>1.0</v>
      </c>
      <c r="I642" s="155">
        <v>3.0</v>
      </c>
      <c r="J642" s="155">
        <v>10.0</v>
      </c>
      <c r="K642" s="155">
        <v>10.0</v>
      </c>
      <c r="L642" s="155" t="s">
        <v>153</v>
      </c>
      <c r="M642" s="322"/>
      <c r="N642" s="322"/>
      <c r="O642" s="322"/>
      <c r="P642" s="322"/>
      <c r="Q642" s="322"/>
      <c r="R642" s="322"/>
      <c r="S642" s="322"/>
      <c r="T642" s="322"/>
      <c r="U642" s="322"/>
      <c r="V642" s="322"/>
      <c r="W642" s="322"/>
      <c r="X642" s="322"/>
      <c r="Y642" s="322"/>
      <c r="Z642" s="322"/>
    </row>
    <row r="643" ht="15.0" customHeight="1">
      <c r="A643" s="85" t="s">
        <v>4532</v>
      </c>
      <c r="B643" s="85" t="s">
        <v>4533</v>
      </c>
      <c r="C643" s="85" t="s">
        <v>147</v>
      </c>
      <c r="D643" s="78" t="s">
        <v>7119</v>
      </c>
      <c r="E643" s="78" t="s">
        <v>7120</v>
      </c>
      <c r="F643" s="78" t="s">
        <v>7083</v>
      </c>
      <c r="G643" s="99">
        <v>6.0</v>
      </c>
      <c r="H643" s="185">
        <v>6.0</v>
      </c>
      <c r="I643" s="155">
        <v>7.0</v>
      </c>
      <c r="J643" s="155">
        <v>20.0</v>
      </c>
      <c r="K643" s="155">
        <v>3.3333333333333335</v>
      </c>
      <c r="L643" s="155" t="s">
        <v>153</v>
      </c>
      <c r="M643" s="322"/>
      <c r="N643" s="322"/>
      <c r="O643" s="322"/>
      <c r="P643" s="322"/>
      <c r="Q643" s="322"/>
      <c r="R643" s="322"/>
      <c r="S643" s="322"/>
      <c r="T643" s="322"/>
      <c r="U643" s="322"/>
      <c r="V643" s="322"/>
      <c r="W643" s="322"/>
      <c r="X643" s="322"/>
      <c r="Y643" s="322"/>
      <c r="Z643" s="322"/>
    </row>
    <row r="644" ht="15.0" customHeight="1">
      <c r="A644" s="85" t="s">
        <v>4532</v>
      </c>
      <c r="B644" s="85" t="s">
        <v>4533</v>
      </c>
      <c r="C644" s="85" t="s">
        <v>147</v>
      </c>
      <c r="D644" s="78" t="s">
        <v>7121</v>
      </c>
      <c r="E644" s="78" t="s">
        <v>6454</v>
      </c>
      <c r="F644" s="78" t="s">
        <v>7083</v>
      </c>
      <c r="G644" s="99">
        <v>6.0</v>
      </c>
      <c r="H644" s="185">
        <v>6.0</v>
      </c>
      <c r="I644" s="155">
        <v>7.0</v>
      </c>
      <c r="J644" s="155">
        <v>20.0</v>
      </c>
      <c r="K644" s="155">
        <v>3.3333333333333335</v>
      </c>
      <c r="L644" s="155" t="s">
        <v>153</v>
      </c>
      <c r="M644" s="322"/>
      <c r="N644" s="322"/>
      <c r="O644" s="322"/>
      <c r="P644" s="322"/>
      <c r="Q644" s="322"/>
      <c r="R644" s="322"/>
      <c r="S644" s="322"/>
      <c r="T644" s="322"/>
      <c r="U644" s="322"/>
      <c r="V644" s="322"/>
      <c r="W644" s="322"/>
      <c r="X644" s="322"/>
      <c r="Y644" s="322"/>
      <c r="Z644" s="322"/>
    </row>
    <row r="645" ht="15.0" customHeight="1">
      <c r="A645" s="85" t="s">
        <v>4539</v>
      </c>
      <c r="B645" s="85" t="s">
        <v>4540</v>
      </c>
      <c r="C645" s="85" t="s">
        <v>147</v>
      </c>
      <c r="D645" s="78" t="s">
        <v>7122</v>
      </c>
      <c r="E645" s="78" t="s">
        <v>7123</v>
      </c>
      <c r="F645" s="78" t="s">
        <v>7083</v>
      </c>
      <c r="G645" s="99">
        <v>4.0</v>
      </c>
      <c r="H645" s="185">
        <v>4.0</v>
      </c>
      <c r="I645" s="155">
        <v>4.0</v>
      </c>
      <c r="J645" s="155">
        <v>20.0</v>
      </c>
      <c r="K645" s="155">
        <v>5.0</v>
      </c>
      <c r="L645" s="155" t="s">
        <v>153</v>
      </c>
      <c r="M645" s="322"/>
      <c r="N645" s="322"/>
      <c r="O645" s="322"/>
      <c r="P645" s="322"/>
      <c r="Q645" s="322"/>
      <c r="R645" s="322"/>
      <c r="S645" s="322"/>
      <c r="T645" s="322"/>
      <c r="U645" s="322"/>
      <c r="V645" s="322"/>
      <c r="W645" s="322"/>
      <c r="X645" s="322"/>
      <c r="Y645" s="322"/>
      <c r="Z645" s="322"/>
    </row>
    <row r="646" ht="15.0" customHeight="1">
      <c r="A646" s="85" t="s">
        <v>7124</v>
      </c>
      <c r="B646" s="85" t="s">
        <v>4548</v>
      </c>
      <c r="C646" s="85" t="s">
        <v>147</v>
      </c>
      <c r="D646" s="78" t="s">
        <v>7125</v>
      </c>
      <c r="E646" s="78" t="s">
        <v>7126</v>
      </c>
      <c r="F646" s="78" t="s">
        <v>7127</v>
      </c>
      <c r="G646" s="99">
        <v>1.0</v>
      </c>
      <c r="H646" s="185">
        <v>1.0</v>
      </c>
      <c r="I646" s="155">
        <v>1.0</v>
      </c>
      <c r="J646" s="155">
        <v>20.0</v>
      </c>
      <c r="K646" s="155">
        <v>20.0</v>
      </c>
      <c r="L646" s="155" t="s">
        <v>153</v>
      </c>
      <c r="M646" s="322"/>
      <c r="N646" s="322"/>
      <c r="O646" s="322"/>
      <c r="P646" s="322"/>
      <c r="Q646" s="322"/>
      <c r="R646" s="322"/>
      <c r="S646" s="322"/>
      <c r="T646" s="322"/>
      <c r="U646" s="322"/>
      <c r="V646" s="322"/>
      <c r="W646" s="322"/>
      <c r="X646" s="322"/>
      <c r="Y646" s="322"/>
      <c r="Z646" s="322"/>
    </row>
    <row r="647" ht="15.0" customHeight="1">
      <c r="A647" s="85" t="s">
        <v>7128</v>
      </c>
      <c r="B647" s="85" t="s">
        <v>7129</v>
      </c>
      <c r="C647" s="85" t="s">
        <v>147</v>
      </c>
      <c r="D647" s="78" t="s">
        <v>7130</v>
      </c>
      <c r="E647" s="78" t="s">
        <v>7131</v>
      </c>
      <c r="F647" s="78" t="s">
        <v>7132</v>
      </c>
      <c r="G647" s="99">
        <v>1.0</v>
      </c>
      <c r="H647" s="185">
        <v>1.0</v>
      </c>
      <c r="I647" s="155">
        <v>3.0</v>
      </c>
      <c r="J647" s="155">
        <v>20.0</v>
      </c>
      <c r="K647" s="155">
        <v>20.0</v>
      </c>
      <c r="L647" s="155" t="s">
        <v>153</v>
      </c>
      <c r="M647" s="322"/>
      <c r="N647" s="322"/>
      <c r="O647" s="322"/>
      <c r="P647" s="322"/>
      <c r="Q647" s="322"/>
      <c r="R647" s="322"/>
      <c r="S647" s="322"/>
      <c r="T647" s="322"/>
      <c r="U647" s="322"/>
      <c r="V647" s="322"/>
      <c r="W647" s="322"/>
      <c r="X647" s="322"/>
      <c r="Y647" s="322"/>
      <c r="Z647" s="322"/>
    </row>
    <row r="648" ht="15.0" customHeight="1">
      <c r="A648" s="85" t="s">
        <v>7133</v>
      </c>
      <c r="B648" s="85" t="s">
        <v>7134</v>
      </c>
      <c r="C648" s="85" t="s">
        <v>147</v>
      </c>
      <c r="D648" s="78" t="s">
        <v>7135</v>
      </c>
      <c r="E648" s="78" t="s">
        <v>7136</v>
      </c>
      <c r="F648" s="78" t="s">
        <v>7083</v>
      </c>
      <c r="G648" s="99">
        <v>4.0</v>
      </c>
      <c r="H648" s="185">
        <v>4.0</v>
      </c>
      <c r="I648" s="155">
        <v>4.0</v>
      </c>
      <c r="J648" s="155">
        <v>20.0</v>
      </c>
      <c r="K648" s="155">
        <v>5.0</v>
      </c>
      <c r="L648" s="155" t="s">
        <v>153</v>
      </c>
      <c r="M648" s="322"/>
      <c r="N648" s="322"/>
      <c r="O648" s="322"/>
      <c r="P648" s="322"/>
      <c r="Q648" s="322"/>
      <c r="R648" s="322"/>
      <c r="S648" s="322"/>
      <c r="T648" s="322"/>
      <c r="U648" s="322"/>
      <c r="V648" s="322"/>
      <c r="W648" s="322"/>
      <c r="X648" s="322"/>
      <c r="Y648" s="322"/>
      <c r="Z648" s="322"/>
    </row>
    <row r="649" ht="15.0" customHeight="1">
      <c r="A649" s="85" t="s">
        <v>7133</v>
      </c>
      <c r="B649" s="85" t="s">
        <v>7134</v>
      </c>
      <c r="C649" s="85" t="s">
        <v>147</v>
      </c>
      <c r="D649" s="78" t="s">
        <v>7137</v>
      </c>
      <c r="E649" s="78" t="s">
        <v>7138</v>
      </c>
      <c r="F649" s="78" t="s">
        <v>7083</v>
      </c>
      <c r="G649" s="99">
        <v>4.0</v>
      </c>
      <c r="H649" s="185">
        <v>4.0</v>
      </c>
      <c r="I649" s="155">
        <v>4.0</v>
      </c>
      <c r="J649" s="155">
        <v>10.0</v>
      </c>
      <c r="K649" s="155">
        <v>2.5</v>
      </c>
      <c r="L649" s="155" t="s">
        <v>153</v>
      </c>
      <c r="M649" s="322"/>
      <c r="N649" s="322"/>
      <c r="O649" s="322"/>
      <c r="P649" s="322"/>
      <c r="Q649" s="322"/>
      <c r="R649" s="322"/>
      <c r="S649" s="322"/>
      <c r="T649" s="322"/>
      <c r="U649" s="322"/>
      <c r="V649" s="322"/>
      <c r="W649" s="322"/>
      <c r="X649" s="322"/>
      <c r="Y649" s="322"/>
      <c r="Z649" s="322"/>
    </row>
    <row r="650" ht="15.0" customHeight="1">
      <c r="A650" s="85" t="s">
        <v>7139</v>
      </c>
      <c r="B650" s="85" t="s">
        <v>7140</v>
      </c>
      <c r="C650" s="85" t="s">
        <v>147</v>
      </c>
      <c r="D650" s="78" t="s">
        <v>7141</v>
      </c>
      <c r="E650" s="78" t="s">
        <v>7142</v>
      </c>
      <c r="F650" s="78" t="s">
        <v>7143</v>
      </c>
      <c r="G650" s="99">
        <v>3.0</v>
      </c>
      <c r="H650" s="185">
        <v>3.0</v>
      </c>
      <c r="I650" s="155">
        <v>5.0</v>
      </c>
      <c r="J650" s="155">
        <v>10.0</v>
      </c>
      <c r="K650" s="155">
        <v>3.3333333333333335</v>
      </c>
      <c r="L650" s="155" t="s">
        <v>153</v>
      </c>
      <c r="M650" s="322"/>
      <c r="N650" s="322"/>
      <c r="O650" s="322"/>
      <c r="P650" s="322"/>
      <c r="Q650" s="322"/>
      <c r="R650" s="322"/>
      <c r="S650" s="322"/>
      <c r="T650" s="322"/>
      <c r="U650" s="322"/>
      <c r="V650" s="322"/>
      <c r="W650" s="322"/>
      <c r="X650" s="322"/>
      <c r="Y650" s="322"/>
      <c r="Z650" s="322"/>
    </row>
    <row r="651" ht="15.0" customHeight="1">
      <c r="A651" s="85" t="s">
        <v>4552</v>
      </c>
      <c r="B651" s="85" t="s">
        <v>4553</v>
      </c>
      <c r="C651" s="85" t="s">
        <v>147</v>
      </c>
      <c r="D651" s="78" t="s">
        <v>7144</v>
      </c>
      <c r="E651" s="78" t="s">
        <v>7145</v>
      </c>
      <c r="F651" s="78" t="s">
        <v>7146</v>
      </c>
      <c r="G651" s="99">
        <v>2.0</v>
      </c>
      <c r="H651" s="185">
        <v>2.0</v>
      </c>
      <c r="I651" s="155">
        <v>9.0</v>
      </c>
      <c r="J651" s="155">
        <v>20.0</v>
      </c>
      <c r="K651" s="155">
        <v>10.0</v>
      </c>
      <c r="L651" s="155" t="s">
        <v>153</v>
      </c>
      <c r="M651" s="322"/>
      <c r="N651" s="322"/>
      <c r="O651" s="322"/>
      <c r="P651" s="322"/>
      <c r="Q651" s="322"/>
      <c r="R651" s="322"/>
      <c r="S651" s="322"/>
      <c r="T651" s="322"/>
      <c r="U651" s="322"/>
      <c r="V651" s="322"/>
      <c r="W651" s="322"/>
      <c r="X651" s="322"/>
      <c r="Y651" s="322"/>
      <c r="Z651" s="322"/>
    </row>
    <row r="652" ht="15.0" customHeight="1">
      <c r="A652" s="85" t="s">
        <v>4562</v>
      </c>
      <c r="B652" s="85" t="s">
        <v>4563</v>
      </c>
      <c r="C652" s="85" t="s">
        <v>147</v>
      </c>
      <c r="D652" s="78" t="s">
        <v>7147</v>
      </c>
      <c r="E652" s="78" t="s">
        <v>7148</v>
      </c>
      <c r="F652" s="78" t="s">
        <v>7143</v>
      </c>
      <c r="G652" s="99">
        <v>3.0</v>
      </c>
      <c r="H652" s="185">
        <v>3.0</v>
      </c>
      <c r="I652" s="155">
        <v>3.0</v>
      </c>
      <c r="J652" s="155">
        <v>20.0</v>
      </c>
      <c r="K652" s="155">
        <v>6.666666666666667</v>
      </c>
      <c r="L652" s="155" t="s">
        <v>153</v>
      </c>
      <c r="M652" s="322"/>
      <c r="N652" s="322"/>
      <c r="O652" s="322"/>
      <c r="P652" s="322"/>
      <c r="Q652" s="322"/>
      <c r="R652" s="322"/>
      <c r="S652" s="322"/>
      <c r="T652" s="322"/>
      <c r="U652" s="322"/>
      <c r="V652" s="322"/>
      <c r="W652" s="322"/>
      <c r="X652" s="322"/>
      <c r="Y652" s="322"/>
      <c r="Z652" s="322"/>
    </row>
    <row r="653" ht="15.0" customHeight="1">
      <c r="A653" s="85" t="s">
        <v>4567</v>
      </c>
      <c r="B653" s="85" t="s">
        <v>4568</v>
      </c>
      <c r="C653" s="85" t="s">
        <v>147</v>
      </c>
      <c r="D653" s="78" t="s">
        <v>7149</v>
      </c>
      <c r="E653" s="78" t="s">
        <v>7150</v>
      </c>
      <c r="F653" s="78" t="s">
        <v>7151</v>
      </c>
      <c r="G653" s="99">
        <v>2.0</v>
      </c>
      <c r="H653" s="185">
        <v>2.0</v>
      </c>
      <c r="I653" s="155">
        <v>4.0</v>
      </c>
      <c r="J653" s="155">
        <v>20.0</v>
      </c>
      <c r="K653" s="155">
        <v>10.0</v>
      </c>
      <c r="L653" s="155" t="s">
        <v>153</v>
      </c>
      <c r="M653" s="322"/>
      <c r="N653" s="322"/>
      <c r="O653" s="322"/>
      <c r="P653" s="322"/>
      <c r="Q653" s="322"/>
      <c r="R653" s="322"/>
      <c r="S653" s="322"/>
      <c r="T653" s="322"/>
      <c r="U653" s="322"/>
      <c r="V653" s="322"/>
      <c r="W653" s="322"/>
      <c r="X653" s="322"/>
      <c r="Y653" s="322"/>
      <c r="Z653" s="322"/>
    </row>
    <row r="654" ht="15.0" customHeight="1">
      <c r="A654" s="85" t="s">
        <v>7152</v>
      </c>
      <c r="B654" s="85" t="s">
        <v>7153</v>
      </c>
      <c r="C654" s="85" t="s">
        <v>147</v>
      </c>
      <c r="D654" s="78" t="s">
        <v>7154</v>
      </c>
      <c r="E654" s="78" t="s">
        <v>7155</v>
      </c>
      <c r="F654" s="78" t="s">
        <v>7083</v>
      </c>
      <c r="G654" s="99">
        <v>3.0</v>
      </c>
      <c r="H654" s="185">
        <v>3.0</v>
      </c>
      <c r="I654" s="155">
        <v>4.0</v>
      </c>
      <c r="J654" s="155">
        <v>10.0</v>
      </c>
      <c r="K654" s="155">
        <v>3.3333333333333335</v>
      </c>
      <c r="L654" s="155" t="s">
        <v>153</v>
      </c>
      <c r="M654" s="322"/>
      <c r="N654" s="322"/>
      <c r="O654" s="322"/>
      <c r="P654" s="322"/>
      <c r="Q654" s="322"/>
      <c r="R654" s="322"/>
      <c r="S654" s="322"/>
      <c r="T654" s="322"/>
      <c r="U654" s="322"/>
      <c r="V654" s="322"/>
      <c r="W654" s="322"/>
      <c r="X654" s="322"/>
      <c r="Y654" s="322"/>
      <c r="Z654" s="322"/>
    </row>
    <row r="655" ht="15.0" customHeight="1">
      <c r="A655" s="85" t="s">
        <v>7156</v>
      </c>
      <c r="B655" s="85" t="s">
        <v>7157</v>
      </c>
      <c r="C655" s="85" t="s">
        <v>147</v>
      </c>
      <c r="D655" s="78" t="s">
        <v>7158</v>
      </c>
      <c r="E655" s="78" t="s">
        <v>7159</v>
      </c>
      <c r="F655" s="78" t="s">
        <v>7083</v>
      </c>
      <c r="G655" s="99">
        <v>3.0</v>
      </c>
      <c r="H655" s="185">
        <v>3.0</v>
      </c>
      <c r="I655" s="155">
        <v>3.0</v>
      </c>
      <c r="J655" s="155">
        <v>20.0</v>
      </c>
      <c r="K655" s="155">
        <v>6.666666666666667</v>
      </c>
      <c r="L655" s="155" t="s">
        <v>153</v>
      </c>
      <c r="M655" s="322"/>
      <c r="N655" s="322"/>
      <c r="O655" s="322"/>
      <c r="P655" s="322"/>
      <c r="Q655" s="322"/>
      <c r="R655" s="322"/>
      <c r="S655" s="322"/>
      <c r="T655" s="322"/>
      <c r="U655" s="322"/>
      <c r="V655" s="322"/>
      <c r="W655" s="322"/>
      <c r="X655" s="322"/>
      <c r="Y655" s="322"/>
      <c r="Z655" s="322"/>
    </row>
    <row r="656" ht="15.0" customHeight="1">
      <c r="A656" s="85" t="s">
        <v>4552</v>
      </c>
      <c r="B656" s="85" t="s">
        <v>7160</v>
      </c>
      <c r="C656" s="85" t="s">
        <v>147</v>
      </c>
      <c r="D656" s="78" t="s">
        <v>7161</v>
      </c>
      <c r="E656" s="78" t="s">
        <v>7162</v>
      </c>
      <c r="F656" s="78" t="s">
        <v>7132</v>
      </c>
      <c r="G656" s="99">
        <v>2.0</v>
      </c>
      <c r="H656" s="185">
        <v>2.0</v>
      </c>
      <c r="I656" s="155">
        <v>9.0</v>
      </c>
      <c r="J656" s="155">
        <v>20.0</v>
      </c>
      <c r="K656" s="155">
        <v>10.0</v>
      </c>
      <c r="L656" s="155" t="s">
        <v>153</v>
      </c>
      <c r="M656" s="322"/>
      <c r="N656" s="322"/>
      <c r="O656" s="322"/>
      <c r="P656" s="322"/>
      <c r="Q656" s="322"/>
      <c r="R656" s="322"/>
      <c r="S656" s="322"/>
      <c r="T656" s="322"/>
      <c r="U656" s="322"/>
      <c r="V656" s="322"/>
      <c r="W656" s="322"/>
      <c r="X656" s="322"/>
      <c r="Y656" s="322"/>
      <c r="Z656" s="322"/>
    </row>
    <row r="657" ht="15.0" customHeight="1">
      <c r="A657" s="85" t="s">
        <v>4573</v>
      </c>
      <c r="B657" s="85" t="s">
        <v>7163</v>
      </c>
      <c r="C657" s="85" t="s">
        <v>147</v>
      </c>
      <c r="D657" s="78" t="s">
        <v>7164</v>
      </c>
      <c r="E657" s="78" t="s">
        <v>7165</v>
      </c>
      <c r="F657" s="78" t="s">
        <v>7166</v>
      </c>
      <c r="G657" s="99">
        <v>1.0</v>
      </c>
      <c r="H657" s="185">
        <v>1.0</v>
      </c>
      <c r="I657" s="155">
        <v>1.0</v>
      </c>
      <c r="J657" s="155">
        <v>20.0</v>
      </c>
      <c r="K657" s="155">
        <v>20.0</v>
      </c>
      <c r="L657" s="155" t="s">
        <v>7167</v>
      </c>
      <c r="M657" s="322"/>
      <c r="N657" s="322"/>
      <c r="O657" s="322"/>
      <c r="P657" s="322"/>
      <c r="Q657" s="322"/>
      <c r="R657" s="322"/>
      <c r="S657" s="322"/>
      <c r="T657" s="322"/>
      <c r="U657" s="322"/>
      <c r="V657" s="322"/>
      <c r="W657" s="322"/>
      <c r="X657" s="322"/>
      <c r="Y657" s="322"/>
      <c r="Z657" s="322"/>
    </row>
    <row r="658" ht="15.0" customHeight="1">
      <c r="A658" s="85" t="s">
        <v>4573</v>
      </c>
      <c r="B658" s="85" t="s">
        <v>4587</v>
      </c>
      <c r="C658" s="85" t="s">
        <v>147</v>
      </c>
      <c r="D658" s="78" t="s">
        <v>7168</v>
      </c>
      <c r="E658" s="78" t="s">
        <v>7169</v>
      </c>
      <c r="F658" s="78" t="s">
        <v>7166</v>
      </c>
      <c r="G658" s="99">
        <v>1.0</v>
      </c>
      <c r="H658" s="185">
        <v>1.0</v>
      </c>
      <c r="I658" s="155">
        <v>1.0</v>
      </c>
      <c r="J658" s="155">
        <v>20.0</v>
      </c>
      <c r="K658" s="155">
        <v>20.0</v>
      </c>
      <c r="L658" s="155" t="s">
        <v>7167</v>
      </c>
      <c r="M658" s="322"/>
      <c r="N658" s="322"/>
      <c r="O658" s="322"/>
      <c r="P658" s="322"/>
      <c r="Q658" s="322"/>
      <c r="R658" s="322"/>
      <c r="S658" s="322"/>
      <c r="T658" s="322"/>
      <c r="U658" s="322"/>
      <c r="V658" s="322"/>
      <c r="W658" s="322"/>
      <c r="X658" s="322"/>
      <c r="Y658" s="322"/>
      <c r="Z658" s="322"/>
    </row>
    <row r="659" ht="15.0" customHeight="1">
      <c r="A659" s="85" t="s">
        <v>4573</v>
      </c>
      <c r="B659" s="85" t="s">
        <v>4587</v>
      </c>
      <c r="C659" s="85" t="s">
        <v>147</v>
      </c>
      <c r="D659" s="78" t="s">
        <v>7170</v>
      </c>
      <c r="E659" s="78" t="s">
        <v>7171</v>
      </c>
      <c r="F659" s="78" t="s">
        <v>7166</v>
      </c>
      <c r="G659" s="99">
        <v>1.0</v>
      </c>
      <c r="H659" s="185">
        <v>1.0</v>
      </c>
      <c r="I659" s="155">
        <v>1.0</v>
      </c>
      <c r="J659" s="155">
        <v>20.0</v>
      </c>
      <c r="K659" s="155">
        <v>20.0</v>
      </c>
      <c r="L659" s="155" t="s">
        <v>7167</v>
      </c>
      <c r="M659" s="322"/>
      <c r="N659" s="322"/>
      <c r="O659" s="322"/>
      <c r="P659" s="322"/>
      <c r="Q659" s="322"/>
      <c r="R659" s="322"/>
      <c r="S659" s="322"/>
      <c r="T659" s="322"/>
      <c r="U659" s="322"/>
      <c r="V659" s="322"/>
      <c r="W659" s="322"/>
      <c r="X659" s="322"/>
      <c r="Y659" s="322"/>
      <c r="Z659" s="322"/>
    </row>
    <row r="660" ht="15.0" customHeight="1">
      <c r="A660" s="85" t="s">
        <v>4573</v>
      </c>
      <c r="B660" s="85" t="s">
        <v>4587</v>
      </c>
      <c r="C660" s="85" t="s">
        <v>147</v>
      </c>
      <c r="D660" s="78" t="s">
        <v>7172</v>
      </c>
      <c r="E660" s="78" t="s">
        <v>7173</v>
      </c>
      <c r="F660" s="78" t="s">
        <v>5257</v>
      </c>
      <c r="G660" s="99">
        <v>1.0</v>
      </c>
      <c r="H660" s="185">
        <v>1.0</v>
      </c>
      <c r="I660" s="155">
        <v>1.0</v>
      </c>
      <c r="J660" s="155">
        <v>20.0</v>
      </c>
      <c r="K660" s="155">
        <v>20.0</v>
      </c>
      <c r="L660" s="155" t="s">
        <v>7167</v>
      </c>
      <c r="M660" s="322"/>
      <c r="N660" s="322"/>
      <c r="O660" s="322"/>
      <c r="P660" s="322"/>
      <c r="Q660" s="322"/>
      <c r="R660" s="322"/>
      <c r="S660" s="322"/>
      <c r="T660" s="322"/>
      <c r="U660" s="322"/>
      <c r="V660" s="322"/>
      <c r="W660" s="322"/>
      <c r="X660" s="322"/>
      <c r="Y660" s="322"/>
      <c r="Z660" s="322"/>
    </row>
    <row r="661" ht="15.0" customHeight="1">
      <c r="A661" s="85" t="s">
        <v>4573</v>
      </c>
      <c r="B661" s="85" t="s">
        <v>4587</v>
      </c>
      <c r="C661" s="85" t="s">
        <v>147</v>
      </c>
      <c r="D661" s="78" t="s">
        <v>7174</v>
      </c>
      <c r="E661" s="78" t="s">
        <v>7175</v>
      </c>
      <c r="F661" s="78" t="s">
        <v>7176</v>
      </c>
      <c r="G661" s="99">
        <v>1.0</v>
      </c>
      <c r="H661" s="185">
        <v>1.0</v>
      </c>
      <c r="I661" s="155">
        <v>1.0</v>
      </c>
      <c r="J661" s="155">
        <v>20.0</v>
      </c>
      <c r="K661" s="155">
        <v>20.0</v>
      </c>
      <c r="L661" s="155" t="s">
        <v>7167</v>
      </c>
      <c r="M661" s="322"/>
      <c r="N661" s="322"/>
      <c r="O661" s="322"/>
      <c r="P661" s="322"/>
      <c r="Q661" s="322"/>
      <c r="R661" s="322"/>
      <c r="S661" s="322"/>
      <c r="T661" s="322"/>
      <c r="U661" s="322"/>
      <c r="V661" s="322"/>
      <c r="W661" s="322"/>
      <c r="X661" s="322"/>
      <c r="Y661" s="322"/>
      <c r="Z661" s="322"/>
    </row>
    <row r="662" ht="15.0" customHeight="1">
      <c r="A662" s="85" t="s">
        <v>4573</v>
      </c>
      <c r="B662" s="85" t="s">
        <v>4587</v>
      </c>
      <c r="C662" s="85" t="s">
        <v>147</v>
      </c>
      <c r="D662" s="78" t="s">
        <v>7177</v>
      </c>
      <c r="E662" s="78" t="s">
        <v>7178</v>
      </c>
      <c r="F662" s="78" t="s">
        <v>7179</v>
      </c>
      <c r="G662" s="99">
        <v>1.0</v>
      </c>
      <c r="H662" s="185">
        <v>1.0</v>
      </c>
      <c r="I662" s="155">
        <v>1.0</v>
      </c>
      <c r="J662" s="155">
        <v>20.0</v>
      </c>
      <c r="K662" s="155">
        <v>20.0</v>
      </c>
      <c r="L662" s="155" t="s">
        <v>7167</v>
      </c>
      <c r="M662" s="322"/>
      <c r="N662" s="322"/>
      <c r="O662" s="322"/>
      <c r="P662" s="322"/>
      <c r="Q662" s="322"/>
      <c r="R662" s="322"/>
      <c r="S662" s="322"/>
      <c r="T662" s="322"/>
      <c r="U662" s="322"/>
      <c r="V662" s="322"/>
      <c r="W662" s="322"/>
      <c r="X662" s="322"/>
      <c r="Y662" s="322"/>
      <c r="Z662" s="322"/>
    </row>
    <row r="663" ht="15.0" customHeight="1">
      <c r="A663" s="85" t="s">
        <v>4573</v>
      </c>
      <c r="B663" s="85" t="s">
        <v>4587</v>
      </c>
      <c r="C663" s="85" t="s">
        <v>147</v>
      </c>
      <c r="D663" s="78" t="s">
        <v>7180</v>
      </c>
      <c r="E663" s="78" t="s">
        <v>7181</v>
      </c>
      <c r="F663" s="78" t="s">
        <v>5372</v>
      </c>
      <c r="G663" s="99">
        <v>1.0</v>
      </c>
      <c r="H663" s="185">
        <v>1.0</v>
      </c>
      <c r="I663" s="155">
        <v>1.0</v>
      </c>
      <c r="J663" s="155">
        <v>20.0</v>
      </c>
      <c r="K663" s="155">
        <v>20.0</v>
      </c>
      <c r="L663" s="155" t="s">
        <v>7167</v>
      </c>
      <c r="M663" s="322"/>
      <c r="N663" s="322"/>
      <c r="O663" s="322"/>
      <c r="P663" s="322"/>
      <c r="Q663" s="322"/>
      <c r="R663" s="322"/>
      <c r="S663" s="322"/>
      <c r="T663" s="322"/>
      <c r="U663" s="322"/>
      <c r="V663" s="322"/>
      <c r="W663" s="322"/>
      <c r="X663" s="322"/>
      <c r="Y663" s="322"/>
      <c r="Z663" s="322"/>
    </row>
    <row r="664" ht="15.0" customHeight="1">
      <c r="A664" s="85" t="s">
        <v>4573</v>
      </c>
      <c r="B664" s="85" t="s">
        <v>4587</v>
      </c>
      <c r="C664" s="85" t="s">
        <v>147</v>
      </c>
      <c r="D664" s="78" t="s">
        <v>7182</v>
      </c>
      <c r="E664" s="78" t="s">
        <v>7183</v>
      </c>
      <c r="F664" s="78" t="s">
        <v>7184</v>
      </c>
      <c r="G664" s="99">
        <v>1.0</v>
      </c>
      <c r="H664" s="185">
        <v>1.0</v>
      </c>
      <c r="I664" s="155">
        <v>1.0</v>
      </c>
      <c r="J664" s="155">
        <v>20.0</v>
      </c>
      <c r="K664" s="155">
        <v>20.0</v>
      </c>
      <c r="L664" s="155" t="s">
        <v>7167</v>
      </c>
      <c r="M664" s="322"/>
      <c r="N664" s="322"/>
      <c r="O664" s="322"/>
      <c r="P664" s="322"/>
      <c r="Q664" s="322"/>
      <c r="R664" s="322"/>
      <c r="S664" s="322"/>
      <c r="T664" s="322"/>
      <c r="U664" s="322"/>
      <c r="V664" s="322"/>
      <c r="W664" s="322"/>
      <c r="X664" s="322"/>
      <c r="Y664" s="322"/>
      <c r="Z664" s="322"/>
    </row>
    <row r="665" ht="15.0" customHeight="1">
      <c r="A665" s="85" t="s">
        <v>4573</v>
      </c>
      <c r="B665" s="85" t="s">
        <v>4587</v>
      </c>
      <c r="C665" s="85" t="s">
        <v>147</v>
      </c>
      <c r="D665" s="78" t="s">
        <v>7185</v>
      </c>
      <c r="E665" s="78" t="s">
        <v>7186</v>
      </c>
      <c r="F665" s="78" t="s">
        <v>7184</v>
      </c>
      <c r="G665" s="99">
        <v>1.0</v>
      </c>
      <c r="H665" s="185">
        <v>1.0</v>
      </c>
      <c r="I665" s="155">
        <v>1.0</v>
      </c>
      <c r="J665" s="155">
        <v>20.0</v>
      </c>
      <c r="K665" s="155">
        <v>20.0</v>
      </c>
      <c r="L665" s="155" t="s">
        <v>7167</v>
      </c>
      <c r="M665" s="322"/>
      <c r="N665" s="322"/>
      <c r="O665" s="322"/>
      <c r="P665" s="322"/>
      <c r="Q665" s="322"/>
      <c r="R665" s="322"/>
      <c r="S665" s="322"/>
      <c r="T665" s="322"/>
      <c r="U665" s="322"/>
      <c r="V665" s="322"/>
      <c r="W665" s="322"/>
      <c r="X665" s="322"/>
      <c r="Y665" s="322"/>
      <c r="Z665" s="322"/>
    </row>
    <row r="666" ht="15.0" customHeight="1">
      <c r="A666" s="85" t="s">
        <v>4573</v>
      </c>
      <c r="B666" s="85" t="s">
        <v>4587</v>
      </c>
      <c r="C666" s="85" t="s">
        <v>147</v>
      </c>
      <c r="D666" s="78" t="s">
        <v>7187</v>
      </c>
      <c r="E666" s="78" t="s">
        <v>7188</v>
      </c>
      <c r="F666" s="78" t="s">
        <v>7184</v>
      </c>
      <c r="G666" s="99">
        <v>1.0</v>
      </c>
      <c r="H666" s="185">
        <v>1.0</v>
      </c>
      <c r="I666" s="155">
        <v>1.0</v>
      </c>
      <c r="J666" s="155">
        <v>20.0</v>
      </c>
      <c r="K666" s="155">
        <v>20.0</v>
      </c>
      <c r="L666" s="155" t="s">
        <v>7167</v>
      </c>
      <c r="M666" s="322"/>
      <c r="N666" s="322"/>
      <c r="O666" s="322"/>
      <c r="P666" s="322"/>
      <c r="Q666" s="322"/>
      <c r="R666" s="322"/>
      <c r="S666" s="322"/>
      <c r="T666" s="322"/>
      <c r="U666" s="322"/>
      <c r="V666" s="322"/>
      <c r="W666" s="322"/>
      <c r="X666" s="322"/>
      <c r="Y666" s="322"/>
      <c r="Z666" s="322"/>
    </row>
    <row r="667" ht="15.0" customHeight="1">
      <c r="A667" s="85" t="s">
        <v>4573</v>
      </c>
      <c r="B667" s="85" t="s">
        <v>4587</v>
      </c>
      <c r="C667" s="85" t="s">
        <v>147</v>
      </c>
      <c r="D667" s="78" t="s">
        <v>7189</v>
      </c>
      <c r="E667" s="78" t="s">
        <v>7190</v>
      </c>
      <c r="F667" s="78" t="s">
        <v>7184</v>
      </c>
      <c r="G667" s="99">
        <v>1.0</v>
      </c>
      <c r="H667" s="185">
        <v>1.0</v>
      </c>
      <c r="I667" s="155">
        <v>1.0</v>
      </c>
      <c r="J667" s="155">
        <v>20.0</v>
      </c>
      <c r="K667" s="155">
        <v>20.0</v>
      </c>
      <c r="L667" s="155" t="s">
        <v>7167</v>
      </c>
      <c r="M667" s="322"/>
      <c r="N667" s="322"/>
      <c r="O667" s="322"/>
      <c r="P667" s="322"/>
      <c r="Q667" s="322"/>
      <c r="R667" s="322"/>
      <c r="S667" s="322"/>
      <c r="T667" s="322"/>
      <c r="U667" s="322"/>
      <c r="V667" s="322"/>
      <c r="W667" s="322"/>
      <c r="X667" s="322"/>
      <c r="Y667" s="322"/>
      <c r="Z667" s="322"/>
    </row>
    <row r="668" ht="15.0" customHeight="1">
      <c r="A668" s="85" t="s">
        <v>4573</v>
      </c>
      <c r="B668" s="85" t="s">
        <v>4587</v>
      </c>
      <c r="C668" s="85" t="s">
        <v>147</v>
      </c>
      <c r="D668" s="78" t="s">
        <v>7191</v>
      </c>
      <c r="E668" s="78" t="s">
        <v>7192</v>
      </c>
      <c r="F668" s="78" t="s">
        <v>7184</v>
      </c>
      <c r="G668" s="99">
        <v>1.0</v>
      </c>
      <c r="H668" s="185">
        <v>1.0</v>
      </c>
      <c r="I668" s="155">
        <v>1.0</v>
      </c>
      <c r="J668" s="155">
        <v>20.0</v>
      </c>
      <c r="K668" s="155">
        <v>20.0</v>
      </c>
      <c r="L668" s="155" t="s">
        <v>7167</v>
      </c>
      <c r="M668" s="322"/>
      <c r="N668" s="322"/>
      <c r="O668" s="322"/>
      <c r="P668" s="322"/>
      <c r="Q668" s="322"/>
      <c r="R668" s="322"/>
      <c r="S668" s="322"/>
      <c r="T668" s="322"/>
      <c r="U668" s="322"/>
      <c r="V668" s="322"/>
      <c r="W668" s="322"/>
      <c r="X668" s="322"/>
      <c r="Y668" s="322"/>
      <c r="Z668" s="322"/>
    </row>
    <row r="669" ht="15.0" customHeight="1">
      <c r="A669" s="85" t="s">
        <v>4573</v>
      </c>
      <c r="B669" s="85" t="s">
        <v>4587</v>
      </c>
      <c r="C669" s="85" t="s">
        <v>147</v>
      </c>
      <c r="D669" s="78" t="s">
        <v>7193</v>
      </c>
      <c r="E669" s="78" t="s">
        <v>7194</v>
      </c>
      <c r="F669" s="78" t="s">
        <v>7184</v>
      </c>
      <c r="G669" s="99">
        <v>1.0</v>
      </c>
      <c r="H669" s="185">
        <v>1.0</v>
      </c>
      <c r="I669" s="155">
        <v>1.0</v>
      </c>
      <c r="J669" s="155">
        <v>20.0</v>
      </c>
      <c r="K669" s="155">
        <v>20.0</v>
      </c>
      <c r="L669" s="155" t="s">
        <v>7167</v>
      </c>
      <c r="M669" s="322"/>
      <c r="N669" s="322"/>
      <c r="O669" s="322"/>
      <c r="P669" s="322"/>
      <c r="Q669" s="322"/>
      <c r="R669" s="322"/>
      <c r="S669" s="322"/>
      <c r="T669" s="322"/>
      <c r="U669" s="322"/>
      <c r="V669" s="322"/>
      <c r="W669" s="322"/>
      <c r="X669" s="322"/>
      <c r="Y669" s="322"/>
      <c r="Z669" s="322"/>
    </row>
    <row r="670" ht="15.0" customHeight="1">
      <c r="A670" s="85" t="s">
        <v>4573</v>
      </c>
      <c r="B670" s="85" t="s">
        <v>4587</v>
      </c>
      <c r="C670" s="85" t="s">
        <v>147</v>
      </c>
      <c r="D670" s="78" t="s">
        <v>7195</v>
      </c>
      <c r="E670" s="78" t="s">
        <v>7196</v>
      </c>
      <c r="F670" s="78" t="s">
        <v>7184</v>
      </c>
      <c r="G670" s="99">
        <v>1.0</v>
      </c>
      <c r="H670" s="185">
        <v>1.0</v>
      </c>
      <c r="I670" s="155">
        <v>1.0</v>
      </c>
      <c r="J670" s="155">
        <v>20.0</v>
      </c>
      <c r="K670" s="155">
        <v>20.0</v>
      </c>
      <c r="L670" s="155" t="s">
        <v>7167</v>
      </c>
      <c r="M670" s="322"/>
      <c r="N670" s="322"/>
      <c r="O670" s="322"/>
      <c r="P670" s="322"/>
      <c r="Q670" s="322"/>
      <c r="R670" s="322"/>
      <c r="S670" s="322"/>
      <c r="T670" s="322"/>
      <c r="U670" s="322"/>
      <c r="V670" s="322"/>
      <c r="W670" s="322"/>
      <c r="X670" s="322"/>
      <c r="Y670" s="322"/>
      <c r="Z670" s="322"/>
    </row>
    <row r="671" ht="15.0" customHeight="1">
      <c r="A671" s="85" t="s">
        <v>4573</v>
      </c>
      <c r="B671" s="85" t="s">
        <v>4587</v>
      </c>
      <c r="C671" s="85" t="s">
        <v>147</v>
      </c>
      <c r="D671" s="78" t="s">
        <v>7197</v>
      </c>
      <c r="E671" s="78" t="s">
        <v>7198</v>
      </c>
      <c r="F671" s="78" t="s">
        <v>7184</v>
      </c>
      <c r="G671" s="99">
        <v>1.0</v>
      </c>
      <c r="H671" s="185">
        <v>1.0</v>
      </c>
      <c r="I671" s="155">
        <v>1.0</v>
      </c>
      <c r="J671" s="155">
        <v>20.0</v>
      </c>
      <c r="K671" s="155">
        <v>20.0</v>
      </c>
      <c r="L671" s="155" t="s">
        <v>7167</v>
      </c>
      <c r="M671" s="322"/>
      <c r="N671" s="322"/>
      <c r="O671" s="322"/>
      <c r="P671" s="322"/>
      <c r="Q671" s="322"/>
      <c r="R671" s="322"/>
      <c r="S671" s="322"/>
      <c r="T671" s="322"/>
      <c r="U671" s="322"/>
      <c r="V671" s="322"/>
      <c r="W671" s="322"/>
      <c r="X671" s="322"/>
      <c r="Y671" s="322"/>
      <c r="Z671" s="322"/>
    </row>
    <row r="672" ht="15.0" customHeight="1">
      <c r="A672" s="85" t="s">
        <v>4595</v>
      </c>
      <c r="B672" s="85" t="s">
        <v>7199</v>
      </c>
      <c r="C672" s="85" t="s">
        <v>147</v>
      </c>
      <c r="D672" s="78" t="s">
        <v>7200</v>
      </c>
      <c r="E672" s="78" t="s">
        <v>7201</v>
      </c>
      <c r="F672" s="78" t="s">
        <v>7184</v>
      </c>
      <c r="G672" s="99">
        <v>1.0</v>
      </c>
      <c r="H672" s="185">
        <v>1.0</v>
      </c>
      <c r="I672" s="155">
        <v>1.0</v>
      </c>
      <c r="J672" s="155">
        <v>20.0</v>
      </c>
      <c r="K672" s="155">
        <v>10.0</v>
      </c>
      <c r="L672" s="155" t="s">
        <v>7167</v>
      </c>
      <c r="M672" s="322"/>
      <c r="N672" s="322"/>
      <c r="O672" s="322"/>
      <c r="P672" s="322"/>
      <c r="Q672" s="322"/>
      <c r="R672" s="322"/>
      <c r="S672" s="322"/>
      <c r="T672" s="322"/>
      <c r="U672" s="322"/>
      <c r="V672" s="322"/>
      <c r="W672" s="322"/>
      <c r="X672" s="322"/>
      <c r="Y672" s="322"/>
      <c r="Z672" s="322"/>
    </row>
    <row r="673" ht="15.0" customHeight="1">
      <c r="A673" s="85" t="s">
        <v>4609</v>
      </c>
      <c r="B673" s="85" t="s">
        <v>4610</v>
      </c>
      <c r="C673" s="85" t="s">
        <v>147</v>
      </c>
      <c r="D673" s="78" t="s">
        <v>7202</v>
      </c>
      <c r="E673" s="78" t="s">
        <v>7203</v>
      </c>
      <c r="F673" s="78" t="s">
        <v>7204</v>
      </c>
      <c r="G673" s="99">
        <v>3.0</v>
      </c>
      <c r="H673" s="185">
        <v>3.0</v>
      </c>
      <c r="I673" s="155">
        <v>3.0</v>
      </c>
      <c r="J673" s="155">
        <v>20.0</v>
      </c>
      <c r="K673" s="155">
        <v>6.66666666666667</v>
      </c>
      <c r="L673" s="155" t="s">
        <v>149</v>
      </c>
      <c r="M673" s="322"/>
      <c r="N673" s="322"/>
      <c r="O673" s="322"/>
      <c r="P673" s="322"/>
      <c r="Q673" s="322"/>
      <c r="R673" s="322"/>
      <c r="S673" s="322"/>
      <c r="T673" s="322"/>
      <c r="U673" s="322"/>
      <c r="V673" s="322"/>
      <c r="W673" s="322"/>
      <c r="X673" s="322"/>
      <c r="Y673" s="322"/>
      <c r="Z673" s="322"/>
    </row>
    <row r="674" ht="15.0" customHeight="1">
      <c r="A674" s="85" t="s">
        <v>4609</v>
      </c>
      <c r="B674" s="85" t="s">
        <v>4610</v>
      </c>
      <c r="C674" s="85" t="s">
        <v>147</v>
      </c>
      <c r="D674" s="78" t="s">
        <v>7205</v>
      </c>
      <c r="E674" s="78" t="s">
        <v>7206</v>
      </c>
      <c r="F674" s="78" t="s">
        <v>7207</v>
      </c>
      <c r="G674" s="99">
        <v>3.0</v>
      </c>
      <c r="H674" s="185">
        <v>3.0</v>
      </c>
      <c r="I674" s="155">
        <v>3.0</v>
      </c>
      <c r="J674" s="155">
        <v>20.0</v>
      </c>
      <c r="K674" s="155">
        <v>6.66666666666667</v>
      </c>
      <c r="L674" s="155" t="s">
        <v>149</v>
      </c>
      <c r="M674" s="322"/>
      <c r="N674" s="322"/>
      <c r="O674" s="322"/>
      <c r="P674" s="322"/>
      <c r="Q674" s="322"/>
      <c r="R674" s="322"/>
      <c r="S674" s="322"/>
      <c r="T674" s="322"/>
      <c r="U674" s="322"/>
      <c r="V674" s="322"/>
      <c r="W674" s="322"/>
      <c r="X674" s="322"/>
      <c r="Y674" s="322"/>
      <c r="Z674" s="322"/>
    </row>
    <row r="675" ht="15.0" customHeight="1">
      <c r="A675" s="85" t="s">
        <v>4623</v>
      </c>
      <c r="B675" s="85" t="s">
        <v>4624</v>
      </c>
      <c r="C675" s="85" t="s">
        <v>147</v>
      </c>
      <c r="D675" s="78" t="s">
        <v>7208</v>
      </c>
      <c r="E675" s="78" t="s">
        <v>7209</v>
      </c>
      <c r="F675" s="78" t="s">
        <v>7210</v>
      </c>
      <c r="G675" s="99">
        <v>2.0</v>
      </c>
      <c r="H675" s="185">
        <v>2.0</v>
      </c>
      <c r="I675" s="155">
        <v>2.0</v>
      </c>
      <c r="J675" s="155">
        <v>10.0</v>
      </c>
      <c r="K675" s="155">
        <v>5.0</v>
      </c>
      <c r="L675" s="155" t="s">
        <v>149</v>
      </c>
      <c r="M675" s="322"/>
      <c r="N675" s="322"/>
      <c r="O675" s="322"/>
      <c r="P675" s="322"/>
      <c r="Q675" s="322"/>
      <c r="R675" s="322"/>
      <c r="S675" s="322"/>
      <c r="T675" s="322"/>
      <c r="U675" s="322"/>
      <c r="V675" s="322"/>
      <c r="W675" s="322"/>
      <c r="X675" s="322"/>
      <c r="Y675" s="322"/>
      <c r="Z675" s="322"/>
    </row>
    <row r="676" ht="15.0" customHeight="1">
      <c r="A676" s="85" t="s">
        <v>4623</v>
      </c>
      <c r="B676" s="85" t="s">
        <v>4624</v>
      </c>
      <c r="C676" s="85" t="s">
        <v>147</v>
      </c>
      <c r="D676" s="78" t="s">
        <v>7211</v>
      </c>
      <c r="E676" s="78" t="s">
        <v>7212</v>
      </c>
      <c r="F676" s="78" t="s">
        <v>7213</v>
      </c>
      <c r="G676" s="99">
        <v>2.0</v>
      </c>
      <c r="H676" s="185">
        <v>2.0</v>
      </c>
      <c r="I676" s="155">
        <v>2.0</v>
      </c>
      <c r="J676" s="155">
        <v>20.0</v>
      </c>
      <c r="K676" s="155">
        <v>10.0</v>
      </c>
      <c r="L676" s="155" t="s">
        <v>149</v>
      </c>
      <c r="M676" s="322"/>
      <c r="N676" s="322"/>
      <c r="O676" s="322"/>
      <c r="P676" s="322"/>
      <c r="Q676" s="322"/>
      <c r="R676" s="322"/>
      <c r="S676" s="322"/>
      <c r="T676" s="322"/>
      <c r="U676" s="322"/>
      <c r="V676" s="322"/>
      <c r="W676" s="322"/>
      <c r="X676" s="322"/>
      <c r="Y676" s="322"/>
      <c r="Z676" s="322"/>
    </row>
    <row r="677" ht="15.0" customHeight="1">
      <c r="A677" s="85" t="s">
        <v>4623</v>
      </c>
      <c r="B677" s="85" t="s">
        <v>4624</v>
      </c>
      <c r="C677" s="85" t="s">
        <v>147</v>
      </c>
      <c r="D677" s="78" t="s">
        <v>7214</v>
      </c>
      <c r="E677" s="78" t="s">
        <v>7215</v>
      </c>
      <c r="F677" s="78" t="s">
        <v>7216</v>
      </c>
      <c r="G677" s="99">
        <v>2.0</v>
      </c>
      <c r="H677" s="185">
        <v>2.0</v>
      </c>
      <c r="I677" s="155">
        <v>2.0</v>
      </c>
      <c r="J677" s="155">
        <v>10.0</v>
      </c>
      <c r="K677" s="155">
        <v>5.0</v>
      </c>
      <c r="L677" s="155" t="s">
        <v>149</v>
      </c>
      <c r="M677" s="322"/>
      <c r="N677" s="322"/>
      <c r="O677" s="322"/>
      <c r="P677" s="322"/>
      <c r="Q677" s="322"/>
      <c r="R677" s="322"/>
      <c r="S677" s="322"/>
      <c r="T677" s="322"/>
      <c r="U677" s="322"/>
      <c r="V677" s="322"/>
      <c r="W677" s="322"/>
      <c r="X677" s="322"/>
      <c r="Y677" s="322"/>
      <c r="Z677" s="322"/>
    </row>
    <row r="678" ht="15.0" customHeight="1">
      <c r="A678" s="85" t="s">
        <v>4623</v>
      </c>
      <c r="B678" s="85" t="s">
        <v>4624</v>
      </c>
      <c r="C678" s="85" t="s">
        <v>147</v>
      </c>
      <c r="D678" s="78" t="s">
        <v>7217</v>
      </c>
      <c r="E678" s="78" t="s">
        <v>7218</v>
      </c>
      <c r="F678" s="78" t="s">
        <v>7219</v>
      </c>
      <c r="G678" s="99">
        <v>2.0</v>
      </c>
      <c r="H678" s="185">
        <v>2.0</v>
      </c>
      <c r="I678" s="155">
        <v>2.0</v>
      </c>
      <c r="J678" s="155">
        <v>10.0</v>
      </c>
      <c r="K678" s="155">
        <v>5.0</v>
      </c>
      <c r="L678" s="155" t="s">
        <v>149</v>
      </c>
      <c r="M678" s="322"/>
      <c r="N678" s="322"/>
      <c r="O678" s="322"/>
      <c r="P678" s="322"/>
      <c r="Q678" s="322"/>
      <c r="R678" s="322"/>
      <c r="S678" s="322"/>
      <c r="T678" s="322"/>
      <c r="U678" s="322"/>
      <c r="V678" s="322"/>
      <c r="W678" s="322"/>
      <c r="X678" s="322"/>
      <c r="Y678" s="322"/>
      <c r="Z678" s="322"/>
    </row>
    <row r="679" ht="15.0" customHeight="1">
      <c r="A679" s="85" t="s">
        <v>4623</v>
      </c>
      <c r="B679" s="85" t="s">
        <v>4624</v>
      </c>
      <c r="C679" s="85" t="s">
        <v>147</v>
      </c>
      <c r="D679" s="78" t="s">
        <v>7220</v>
      </c>
      <c r="E679" s="78" t="s">
        <v>7221</v>
      </c>
      <c r="F679" s="78" t="s">
        <v>5967</v>
      </c>
      <c r="G679" s="99">
        <v>2.0</v>
      </c>
      <c r="H679" s="185">
        <v>2.0</v>
      </c>
      <c r="I679" s="155">
        <v>2.0</v>
      </c>
      <c r="J679" s="155">
        <v>10.0</v>
      </c>
      <c r="K679" s="155">
        <v>5.0</v>
      </c>
      <c r="L679" s="155" t="s">
        <v>149</v>
      </c>
      <c r="M679" s="322"/>
      <c r="N679" s="322"/>
      <c r="O679" s="322"/>
      <c r="P679" s="322"/>
      <c r="Q679" s="322"/>
      <c r="R679" s="322"/>
      <c r="S679" s="322"/>
      <c r="T679" s="322"/>
      <c r="U679" s="322"/>
      <c r="V679" s="322"/>
      <c r="W679" s="322"/>
      <c r="X679" s="322"/>
      <c r="Y679" s="322"/>
      <c r="Z679" s="322"/>
    </row>
    <row r="680" ht="15.0" customHeight="1">
      <c r="A680" s="85" t="s">
        <v>4623</v>
      </c>
      <c r="B680" s="85" t="s">
        <v>4624</v>
      </c>
      <c r="C680" s="85" t="s">
        <v>147</v>
      </c>
      <c r="D680" s="78" t="s">
        <v>7222</v>
      </c>
      <c r="E680" s="78" t="s">
        <v>7223</v>
      </c>
      <c r="F680" s="78" t="s">
        <v>7224</v>
      </c>
      <c r="G680" s="99">
        <v>2.0</v>
      </c>
      <c r="H680" s="185">
        <v>2.0</v>
      </c>
      <c r="I680" s="155">
        <v>2.0</v>
      </c>
      <c r="J680" s="155">
        <v>10.0</v>
      </c>
      <c r="K680" s="155">
        <v>5.0</v>
      </c>
      <c r="L680" s="155" t="s">
        <v>149</v>
      </c>
      <c r="M680" s="322"/>
      <c r="N680" s="322"/>
      <c r="O680" s="322"/>
      <c r="P680" s="322"/>
      <c r="Q680" s="322"/>
      <c r="R680" s="322"/>
      <c r="S680" s="322"/>
      <c r="T680" s="322"/>
      <c r="U680" s="322"/>
      <c r="V680" s="322"/>
      <c r="W680" s="322"/>
      <c r="X680" s="322"/>
      <c r="Y680" s="322"/>
      <c r="Z680" s="322"/>
    </row>
    <row r="681" ht="15.0" customHeight="1">
      <c r="A681" s="85" t="s">
        <v>4623</v>
      </c>
      <c r="B681" s="85" t="s">
        <v>4624</v>
      </c>
      <c r="C681" s="85" t="s">
        <v>147</v>
      </c>
      <c r="D681" s="78" t="s">
        <v>7225</v>
      </c>
      <c r="E681" s="78" t="s">
        <v>7226</v>
      </c>
      <c r="F681" s="78" t="s">
        <v>5967</v>
      </c>
      <c r="G681" s="99">
        <v>2.0</v>
      </c>
      <c r="H681" s="185">
        <v>2.0</v>
      </c>
      <c r="I681" s="155">
        <v>2.0</v>
      </c>
      <c r="J681" s="155">
        <v>10.0</v>
      </c>
      <c r="K681" s="155">
        <v>5.0</v>
      </c>
      <c r="L681" s="155" t="s">
        <v>149</v>
      </c>
      <c r="M681" s="322"/>
      <c r="N681" s="322"/>
      <c r="O681" s="322"/>
      <c r="P681" s="322"/>
      <c r="Q681" s="322"/>
      <c r="R681" s="322"/>
      <c r="S681" s="322"/>
      <c r="T681" s="322"/>
      <c r="U681" s="322"/>
      <c r="V681" s="322"/>
      <c r="W681" s="322"/>
      <c r="X681" s="322"/>
      <c r="Y681" s="322"/>
      <c r="Z681" s="322"/>
    </row>
    <row r="682" ht="15.0" customHeight="1">
      <c r="A682" s="85" t="s">
        <v>4647</v>
      </c>
      <c r="B682" s="85" t="s">
        <v>4648</v>
      </c>
      <c r="C682" s="85" t="s">
        <v>147</v>
      </c>
      <c r="D682" s="78" t="s">
        <v>7227</v>
      </c>
      <c r="E682" s="78" t="s">
        <v>7228</v>
      </c>
      <c r="F682" s="78" t="s">
        <v>5967</v>
      </c>
      <c r="G682" s="99">
        <v>1.0</v>
      </c>
      <c r="H682" s="185">
        <v>1.0</v>
      </c>
      <c r="I682" s="155">
        <v>5.0</v>
      </c>
      <c r="J682" s="155">
        <v>10.0</v>
      </c>
      <c r="K682" s="155">
        <v>10.0</v>
      </c>
      <c r="L682" s="155" t="s">
        <v>149</v>
      </c>
      <c r="M682" s="322"/>
      <c r="N682" s="322"/>
      <c r="O682" s="322"/>
      <c r="P682" s="322"/>
      <c r="Q682" s="322"/>
      <c r="R682" s="322"/>
      <c r="S682" s="322"/>
      <c r="T682" s="322"/>
      <c r="U682" s="322"/>
      <c r="V682" s="322"/>
      <c r="W682" s="322"/>
      <c r="X682" s="322"/>
      <c r="Y682" s="322"/>
      <c r="Z682" s="322"/>
    </row>
    <row r="683" ht="15.0" customHeight="1">
      <c r="A683" s="85" t="s">
        <v>4647</v>
      </c>
      <c r="B683" s="85" t="s">
        <v>4648</v>
      </c>
      <c r="C683" s="85" t="s">
        <v>147</v>
      </c>
      <c r="D683" s="78" t="s">
        <v>7229</v>
      </c>
      <c r="E683" s="78" t="s">
        <v>7230</v>
      </c>
      <c r="F683" s="78" t="s">
        <v>1184</v>
      </c>
      <c r="G683" s="99">
        <v>1.0</v>
      </c>
      <c r="H683" s="185">
        <v>1.0</v>
      </c>
      <c r="I683" s="155">
        <v>5.0</v>
      </c>
      <c r="J683" s="155">
        <v>20.0</v>
      </c>
      <c r="K683" s="155">
        <v>20.0</v>
      </c>
      <c r="L683" s="155" t="s">
        <v>149</v>
      </c>
      <c r="M683" s="322"/>
      <c r="N683" s="322"/>
      <c r="O683" s="322"/>
      <c r="P683" s="322"/>
      <c r="Q683" s="322"/>
      <c r="R683" s="322"/>
      <c r="S683" s="322"/>
      <c r="T683" s="322"/>
      <c r="U683" s="322"/>
      <c r="V683" s="322"/>
      <c r="W683" s="322"/>
      <c r="X683" s="322"/>
      <c r="Y683" s="322"/>
      <c r="Z683" s="322"/>
    </row>
    <row r="684" ht="15.0" customHeight="1">
      <c r="A684" s="85" t="s">
        <v>4647</v>
      </c>
      <c r="B684" s="85" t="s">
        <v>4648</v>
      </c>
      <c r="C684" s="85" t="s">
        <v>147</v>
      </c>
      <c r="D684" s="78" t="s">
        <v>7231</v>
      </c>
      <c r="E684" s="78" t="s">
        <v>7232</v>
      </c>
      <c r="F684" s="78" t="s">
        <v>7213</v>
      </c>
      <c r="G684" s="99">
        <v>1.0</v>
      </c>
      <c r="H684" s="185">
        <v>1.0</v>
      </c>
      <c r="I684" s="155">
        <v>5.0</v>
      </c>
      <c r="J684" s="155">
        <v>20.0</v>
      </c>
      <c r="K684" s="155">
        <v>20.0</v>
      </c>
      <c r="L684" s="155" t="s">
        <v>149</v>
      </c>
      <c r="M684" s="322"/>
      <c r="N684" s="322"/>
      <c r="O684" s="322"/>
      <c r="P684" s="322"/>
      <c r="Q684" s="322"/>
      <c r="R684" s="322"/>
      <c r="S684" s="322"/>
      <c r="T684" s="322"/>
      <c r="U684" s="322"/>
      <c r="V684" s="322"/>
      <c r="W684" s="322"/>
      <c r="X684" s="322"/>
      <c r="Y684" s="322"/>
      <c r="Z684" s="322"/>
    </row>
    <row r="685" ht="15.0" customHeight="1">
      <c r="A685" s="85" t="s">
        <v>4647</v>
      </c>
      <c r="B685" s="85" t="s">
        <v>4648</v>
      </c>
      <c r="C685" s="85" t="s">
        <v>147</v>
      </c>
      <c r="D685" s="78" t="s">
        <v>7233</v>
      </c>
      <c r="E685" s="78" t="s">
        <v>7234</v>
      </c>
      <c r="F685" s="78" t="s">
        <v>7235</v>
      </c>
      <c r="G685" s="99">
        <v>1.0</v>
      </c>
      <c r="H685" s="185">
        <v>1.0</v>
      </c>
      <c r="I685" s="155">
        <v>5.0</v>
      </c>
      <c r="J685" s="155">
        <v>10.0</v>
      </c>
      <c r="K685" s="155">
        <v>10.0</v>
      </c>
      <c r="L685" s="155" t="s">
        <v>149</v>
      </c>
      <c r="M685" s="322"/>
      <c r="N685" s="322"/>
      <c r="O685" s="322"/>
      <c r="P685" s="322"/>
      <c r="Q685" s="322"/>
      <c r="R685" s="322"/>
      <c r="S685" s="322"/>
      <c r="T685" s="322"/>
      <c r="U685" s="322"/>
      <c r="V685" s="322"/>
      <c r="W685" s="322"/>
      <c r="X685" s="322"/>
      <c r="Y685" s="322"/>
      <c r="Z685" s="322"/>
    </row>
    <row r="686" ht="15.0" customHeight="1">
      <c r="A686" s="85" t="s">
        <v>4647</v>
      </c>
      <c r="B686" s="85" t="s">
        <v>4648</v>
      </c>
      <c r="C686" s="85" t="s">
        <v>147</v>
      </c>
      <c r="D686" s="78" t="s">
        <v>7236</v>
      </c>
      <c r="E686" s="78" t="s">
        <v>7237</v>
      </c>
      <c r="F686" s="78" t="s">
        <v>7238</v>
      </c>
      <c r="G686" s="99">
        <v>1.0</v>
      </c>
      <c r="H686" s="185">
        <v>1.0</v>
      </c>
      <c r="I686" s="155">
        <v>5.0</v>
      </c>
      <c r="J686" s="155">
        <v>10.0</v>
      </c>
      <c r="K686" s="155">
        <v>10.0</v>
      </c>
      <c r="L686" s="155" t="s">
        <v>149</v>
      </c>
      <c r="M686" s="322"/>
      <c r="N686" s="322"/>
      <c r="O686" s="322"/>
      <c r="P686" s="322"/>
      <c r="Q686" s="322"/>
      <c r="R686" s="322"/>
      <c r="S686" s="322"/>
      <c r="T686" s="322"/>
      <c r="U686" s="322"/>
      <c r="V686" s="322"/>
      <c r="W686" s="322"/>
      <c r="X686" s="322"/>
      <c r="Y686" s="322"/>
      <c r="Z686" s="322"/>
    </row>
    <row r="687" ht="15.0" customHeight="1">
      <c r="A687" s="85" t="s">
        <v>4647</v>
      </c>
      <c r="B687" s="85" t="s">
        <v>4648</v>
      </c>
      <c r="C687" s="85" t="s">
        <v>147</v>
      </c>
      <c r="D687" s="78" t="s">
        <v>7239</v>
      </c>
      <c r="E687" s="78" t="s">
        <v>7240</v>
      </c>
      <c r="F687" s="78" t="s">
        <v>7241</v>
      </c>
      <c r="G687" s="99">
        <v>1.0</v>
      </c>
      <c r="H687" s="185">
        <v>1.0</v>
      </c>
      <c r="I687" s="155">
        <v>5.0</v>
      </c>
      <c r="J687" s="155">
        <v>20.0</v>
      </c>
      <c r="K687" s="155">
        <v>20.0</v>
      </c>
      <c r="L687" s="155" t="s">
        <v>149</v>
      </c>
      <c r="M687" s="322"/>
      <c r="N687" s="322"/>
      <c r="O687" s="322"/>
      <c r="P687" s="322"/>
      <c r="Q687" s="322"/>
      <c r="R687" s="322"/>
      <c r="S687" s="322"/>
      <c r="T687" s="322"/>
      <c r="U687" s="322"/>
      <c r="V687" s="322"/>
      <c r="W687" s="322"/>
      <c r="X687" s="322"/>
      <c r="Y687" s="322"/>
      <c r="Z687" s="322"/>
    </row>
    <row r="688" ht="15.0" customHeight="1">
      <c r="A688" s="85" t="s">
        <v>4647</v>
      </c>
      <c r="B688" s="85" t="s">
        <v>4648</v>
      </c>
      <c r="C688" s="85" t="s">
        <v>147</v>
      </c>
      <c r="D688" s="78" t="s">
        <v>7242</v>
      </c>
      <c r="E688" s="78" t="s">
        <v>7243</v>
      </c>
      <c r="F688" s="78" t="s">
        <v>5967</v>
      </c>
      <c r="G688" s="99">
        <v>1.0</v>
      </c>
      <c r="H688" s="185">
        <v>1.0</v>
      </c>
      <c r="I688" s="155">
        <v>5.0</v>
      </c>
      <c r="J688" s="155">
        <v>10.0</v>
      </c>
      <c r="K688" s="155">
        <v>10.0</v>
      </c>
      <c r="L688" s="155" t="s">
        <v>149</v>
      </c>
      <c r="M688" s="322"/>
      <c r="N688" s="322"/>
      <c r="O688" s="322"/>
      <c r="P688" s="322"/>
      <c r="Q688" s="322"/>
      <c r="R688" s="322"/>
      <c r="S688" s="322"/>
      <c r="T688" s="322"/>
      <c r="U688" s="322"/>
      <c r="V688" s="322"/>
      <c r="W688" s="322"/>
      <c r="X688" s="322"/>
      <c r="Y688" s="322"/>
      <c r="Z688" s="322"/>
    </row>
    <row r="689" ht="15.0" customHeight="1">
      <c r="A689" s="85" t="s">
        <v>1760</v>
      </c>
      <c r="B689" s="85" t="s">
        <v>1761</v>
      </c>
      <c r="C689" s="85" t="s">
        <v>147</v>
      </c>
      <c r="D689" s="78" t="s">
        <v>5965</v>
      </c>
      <c r="E689" s="78" t="s">
        <v>5966</v>
      </c>
      <c r="F689" s="78" t="s">
        <v>5967</v>
      </c>
      <c r="G689" s="99">
        <v>2.0</v>
      </c>
      <c r="H689" s="185">
        <v>2.0</v>
      </c>
      <c r="I689" s="155">
        <v>3.0</v>
      </c>
      <c r="J689" s="155">
        <v>10.0</v>
      </c>
      <c r="K689" s="155">
        <v>5.0</v>
      </c>
      <c r="L689" s="155" t="s">
        <v>149</v>
      </c>
      <c r="M689" s="322"/>
      <c r="N689" s="322"/>
      <c r="O689" s="322"/>
      <c r="P689" s="322"/>
      <c r="Q689" s="322"/>
      <c r="R689" s="322"/>
      <c r="S689" s="322"/>
      <c r="T689" s="322"/>
      <c r="U689" s="322"/>
      <c r="V689" s="322"/>
      <c r="W689" s="322"/>
      <c r="X689" s="322"/>
      <c r="Y689" s="322"/>
      <c r="Z689" s="322"/>
    </row>
    <row r="690" ht="15.0" customHeight="1">
      <c r="A690" s="85" t="s">
        <v>4643</v>
      </c>
      <c r="B690" s="85" t="s">
        <v>4644</v>
      </c>
      <c r="C690" s="85" t="s">
        <v>147</v>
      </c>
      <c r="D690" s="78" t="s">
        <v>7244</v>
      </c>
      <c r="E690" s="78" t="s">
        <v>7245</v>
      </c>
      <c r="F690" s="78" t="s">
        <v>5967</v>
      </c>
      <c r="G690" s="99">
        <v>2.0</v>
      </c>
      <c r="H690" s="185">
        <v>2.0</v>
      </c>
      <c r="I690" s="155">
        <v>2.0</v>
      </c>
      <c r="J690" s="155">
        <v>10.0</v>
      </c>
      <c r="K690" s="155">
        <v>5.0</v>
      </c>
      <c r="L690" s="155" t="s">
        <v>149</v>
      </c>
      <c r="M690" s="322"/>
      <c r="N690" s="322"/>
      <c r="O690" s="322"/>
      <c r="P690" s="322"/>
      <c r="Q690" s="322"/>
      <c r="R690" s="322"/>
      <c r="S690" s="322"/>
      <c r="T690" s="322"/>
      <c r="U690" s="322"/>
      <c r="V690" s="322"/>
      <c r="W690" s="322"/>
      <c r="X690" s="322"/>
      <c r="Y690" s="322"/>
      <c r="Z690" s="322"/>
    </row>
    <row r="691" ht="15.0" customHeight="1">
      <c r="A691" s="85" t="s">
        <v>4643</v>
      </c>
      <c r="B691" s="85" t="s">
        <v>4644</v>
      </c>
      <c r="C691" s="85" t="s">
        <v>147</v>
      </c>
      <c r="D691" s="78" t="s">
        <v>7246</v>
      </c>
      <c r="E691" s="78" t="s">
        <v>7247</v>
      </c>
      <c r="F691" s="78" t="s">
        <v>7204</v>
      </c>
      <c r="G691" s="99">
        <v>2.0</v>
      </c>
      <c r="H691" s="185">
        <v>2.0</v>
      </c>
      <c r="I691" s="155">
        <v>2.0</v>
      </c>
      <c r="J691" s="155">
        <v>20.0</v>
      </c>
      <c r="K691" s="155">
        <v>10.0</v>
      </c>
      <c r="L691" s="155" t="s">
        <v>149</v>
      </c>
      <c r="M691" s="322"/>
      <c r="N691" s="322"/>
      <c r="O691" s="322"/>
      <c r="P691" s="322"/>
      <c r="Q691" s="322"/>
      <c r="R691" s="322"/>
      <c r="S691" s="322"/>
      <c r="T691" s="322"/>
      <c r="U691" s="322"/>
      <c r="V691" s="322"/>
      <c r="W691" s="322"/>
      <c r="X691" s="322"/>
      <c r="Y691" s="322"/>
      <c r="Z691" s="322"/>
    </row>
    <row r="692" ht="15.0" customHeight="1">
      <c r="A692" s="85" t="s">
        <v>4643</v>
      </c>
      <c r="B692" s="85" t="s">
        <v>4644</v>
      </c>
      <c r="C692" s="85" t="s">
        <v>147</v>
      </c>
      <c r="D692" s="78" t="s">
        <v>7248</v>
      </c>
      <c r="E692" s="78" t="s">
        <v>7249</v>
      </c>
      <c r="F692" s="78" t="s">
        <v>5967</v>
      </c>
      <c r="G692" s="99">
        <v>2.0</v>
      </c>
      <c r="H692" s="185">
        <v>2.0</v>
      </c>
      <c r="I692" s="155">
        <v>2.0</v>
      </c>
      <c r="J692" s="155">
        <v>10.0</v>
      </c>
      <c r="K692" s="155">
        <v>5.0</v>
      </c>
      <c r="L692" s="155" t="s">
        <v>149</v>
      </c>
      <c r="M692" s="322"/>
      <c r="N692" s="322"/>
      <c r="O692" s="322"/>
      <c r="P692" s="322"/>
      <c r="Q692" s="322"/>
      <c r="R692" s="322"/>
      <c r="S692" s="322"/>
      <c r="T692" s="322"/>
      <c r="U692" s="322"/>
      <c r="V692" s="322"/>
      <c r="W692" s="322"/>
      <c r="X692" s="322"/>
      <c r="Y692" s="322"/>
      <c r="Z692" s="322"/>
    </row>
    <row r="693" ht="15.0" customHeight="1">
      <c r="A693" s="85" t="s">
        <v>4656</v>
      </c>
      <c r="B693" s="85" t="s">
        <v>4657</v>
      </c>
      <c r="C693" s="85" t="s">
        <v>147</v>
      </c>
      <c r="D693" s="78" t="s">
        <v>7250</v>
      </c>
      <c r="E693" s="78" t="s">
        <v>7251</v>
      </c>
      <c r="F693" s="78" t="s">
        <v>5589</v>
      </c>
      <c r="G693" s="99">
        <v>2.0</v>
      </c>
      <c r="H693" s="185">
        <v>2.0</v>
      </c>
      <c r="I693" s="155">
        <v>2.0</v>
      </c>
      <c r="J693" s="155">
        <v>20.0</v>
      </c>
      <c r="K693" s="155">
        <v>10.0</v>
      </c>
      <c r="L693" s="155" t="s">
        <v>149</v>
      </c>
      <c r="M693" s="322"/>
      <c r="N693" s="322"/>
      <c r="O693" s="322"/>
      <c r="P693" s="322"/>
      <c r="Q693" s="322"/>
      <c r="R693" s="322"/>
      <c r="S693" s="322"/>
      <c r="T693" s="322"/>
      <c r="U693" s="322"/>
      <c r="V693" s="322"/>
      <c r="W693" s="322"/>
      <c r="X693" s="322"/>
      <c r="Y693" s="322"/>
      <c r="Z693" s="322"/>
    </row>
    <row r="694" ht="15.0" customHeight="1">
      <c r="A694" s="85" t="s">
        <v>7252</v>
      </c>
      <c r="B694" s="85" t="s">
        <v>7253</v>
      </c>
      <c r="C694" s="85" t="s">
        <v>147</v>
      </c>
      <c r="D694" s="78" t="s">
        <v>7254</v>
      </c>
      <c r="E694" s="78" t="s">
        <v>7255</v>
      </c>
      <c r="F694" s="78" t="s">
        <v>7256</v>
      </c>
      <c r="G694" s="99">
        <v>2.0</v>
      </c>
      <c r="H694" s="185">
        <v>1.0</v>
      </c>
      <c r="I694" s="155">
        <v>2.0</v>
      </c>
      <c r="J694" s="155">
        <v>10.0</v>
      </c>
      <c r="K694" s="155">
        <v>5.0</v>
      </c>
      <c r="L694" s="155" t="s">
        <v>149</v>
      </c>
      <c r="M694" s="322"/>
      <c r="N694" s="322"/>
      <c r="O694" s="322"/>
      <c r="P694" s="322"/>
      <c r="Q694" s="322"/>
      <c r="R694" s="322"/>
      <c r="S694" s="322"/>
      <c r="T694" s="322"/>
      <c r="U694" s="322"/>
      <c r="V694" s="322"/>
      <c r="W694" s="322"/>
      <c r="X694" s="322"/>
      <c r="Y694" s="322"/>
      <c r="Z694" s="322"/>
    </row>
    <row r="695" ht="15.0" customHeight="1">
      <c r="A695" s="85" t="s">
        <v>4656</v>
      </c>
      <c r="B695" s="85" t="s">
        <v>4695</v>
      </c>
      <c r="C695" s="85" t="s">
        <v>147</v>
      </c>
      <c r="D695" s="78" t="s">
        <v>7250</v>
      </c>
      <c r="E695" s="78" t="s">
        <v>7251</v>
      </c>
      <c r="F695" s="78" t="s">
        <v>5589</v>
      </c>
      <c r="G695" s="99">
        <v>2.0</v>
      </c>
      <c r="H695" s="185">
        <v>2.0</v>
      </c>
      <c r="I695" s="155">
        <v>2.0</v>
      </c>
      <c r="J695" s="155">
        <v>20.0</v>
      </c>
      <c r="K695" s="155">
        <v>10.0</v>
      </c>
      <c r="L695" s="155" t="s">
        <v>149</v>
      </c>
      <c r="M695" s="322"/>
      <c r="N695" s="322"/>
      <c r="O695" s="322"/>
      <c r="P695" s="322"/>
      <c r="Q695" s="322"/>
      <c r="R695" s="322"/>
      <c r="S695" s="322"/>
      <c r="T695" s="322"/>
      <c r="U695" s="322"/>
      <c r="V695" s="322"/>
      <c r="W695" s="322"/>
      <c r="X695" s="322"/>
      <c r="Y695" s="322"/>
      <c r="Z695" s="322"/>
    </row>
    <row r="696" ht="15.0" customHeight="1">
      <c r="A696" s="85" t="s">
        <v>7257</v>
      </c>
      <c r="B696" s="85" t="s">
        <v>7258</v>
      </c>
      <c r="C696" s="85" t="s">
        <v>147</v>
      </c>
      <c r="D696" s="78" t="s">
        <v>7259</v>
      </c>
      <c r="E696" s="78" t="s">
        <v>7260</v>
      </c>
      <c r="F696" s="78" t="s">
        <v>5596</v>
      </c>
      <c r="G696" s="99">
        <v>2.0</v>
      </c>
      <c r="H696" s="185">
        <v>2.0</v>
      </c>
      <c r="I696" s="155">
        <v>2.0</v>
      </c>
      <c r="J696" s="155">
        <v>10.0</v>
      </c>
      <c r="K696" s="155">
        <v>5.0</v>
      </c>
      <c r="L696" s="155" t="s">
        <v>149</v>
      </c>
      <c r="M696" s="322"/>
      <c r="N696" s="322"/>
      <c r="O696" s="322"/>
      <c r="P696" s="322"/>
      <c r="Q696" s="322"/>
      <c r="R696" s="322"/>
      <c r="S696" s="322"/>
      <c r="T696" s="322"/>
      <c r="U696" s="322"/>
      <c r="V696" s="322"/>
      <c r="W696" s="322"/>
      <c r="X696" s="322"/>
      <c r="Y696" s="322"/>
      <c r="Z696" s="322"/>
    </row>
    <row r="697" ht="15.0" customHeight="1">
      <c r="A697" s="85" t="s">
        <v>5968</v>
      </c>
      <c r="B697" s="85" t="s">
        <v>5969</v>
      </c>
      <c r="C697" s="85" t="s">
        <v>147</v>
      </c>
      <c r="D697" s="78" t="s">
        <v>5970</v>
      </c>
      <c r="E697" s="78" t="s">
        <v>5971</v>
      </c>
      <c r="F697" s="78" t="s">
        <v>5972</v>
      </c>
      <c r="G697" s="99">
        <v>3.0</v>
      </c>
      <c r="H697" s="185">
        <v>3.0</v>
      </c>
      <c r="I697" s="155">
        <v>3.0</v>
      </c>
      <c r="J697" s="155">
        <v>20.0</v>
      </c>
      <c r="K697" s="155">
        <v>6.66666666666667</v>
      </c>
      <c r="L697" s="155" t="s">
        <v>149</v>
      </c>
      <c r="M697" s="322"/>
      <c r="N697" s="322"/>
      <c r="O697" s="322"/>
      <c r="P697" s="322"/>
      <c r="Q697" s="322"/>
      <c r="R697" s="322"/>
      <c r="S697" s="322"/>
      <c r="T697" s="322"/>
      <c r="U697" s="322"/>
      <c r="V697" s="322"/>
      <c r="W697" s="322"/>
      <c r="X697" s="322"/>
      <c r="Y697" s="322"/>
      <c r="Z697" s="322"/>
    </row>
    <row r="698" ht="15.0" customHeight="1">
      <c r="A698" s="85" t="s">
        <v>5973</v>
      </c>
      <c r="B698" s="85" t="s">
        <v>5974</v>
      </c>
      <c r="C698" s="85" t="s">
        <v>147</v>
      </c>
      <c r="D698" s="78" t="s">
        <v>5975</v>
      </c>
      <c r="E698" s="78" t="s">
        <v>5976</v>
      </c>
      <c r="F698" s="78" t="s">
        <v>5972</v>
      </c>
      <c r="G698" s="99">
        <v>2.0</v>
      </c>
      <c r="H698" s="185">
        <v>2.0</v>
      </c>
      <c r="I698" s="155">
        <v>2.0</v>
      </c>
      <c r="J698" s="155">
        <v>20.0</v>
      </c>
      <c r="K698" s="155">
        <v>10.0</v>
      </c>
      <c r="L698" s="155" t="s">
        <v>149</v>
      </c>
      <c r="M698" s="322"/>
      <c r="N698" s="322"/>
      <c r="O698" s="322"/>
      <c r="P698" s="322"/>
      <c r="Q698" s="322"/>
      <c r="R698" s="322"/>
      <c r="S698" s="322"/>
      <c r="T698" s="322"/>
      <c r="U698" s="322"/>
      <c r="V698" s="322"/>
      <c r="W698" s="322"/>
      <c r="X698" s="322"/>
      <c r="Y698" s="322"/>
      <c r="Z698" s="322"/>
    </row>
    <row r="699" ht="15.0" customHeight="1">
      <c r="A699" s="85" t="s">
        <v>7261</v>
      </c>
      <c r="B699" s="85" t="s">
        <v>7262</v>
      </c>
      <c r="C699" s="85" t="s">
        <v>147</v>
      </c>
      <c r="D699" s="78" t="s">
        <v>7263</v>
      </c>
      <c r="E699" s="78" t="s">
        <v>7264</v>
      </c>
      <c r="F699" s="78" t="s">
        <v>7265</v>
      </c>
      <c r="G699" s="99">
        <v>1.0</v>
      </c>
      <c r="H699" s="185">
        <v>1.0</v>
      </c>
      <c r="I699" s="155">
        <v>1.0</v>
      </c>
      <c r="J699" s="155">
        <v>10.0</v>
      </c>
      <c r="K699" s="155">
        <v>10.0</v>
      </c>
      <c r="L699" s="155" t="s">
        <v>150</v>
      </c>
      <c r="M699" s="322"/>
      <c r="N699" s="322"/>
      <c r="O699" s="322"/>
      <c r="P699" s="322"/>
      <c r="Q699" s="322"/>
      <c r="R699" s="322"/>
      <c r="S699" s="322"/>
      <c r="T699" s="322"/>
      <c r="U699" s="322"/>
      <c r="V699" s="322"/>
      <c r="W699" s="322"/>
      <c r="X699" s="322"/>
      <c r="Y699" s="322"/>
      <c r="Z699" s="322"/>
    </row>
    <row r="700" ht="15.0" customHeight="1">
      <c r="A700" s="85" t="s">
        <v>4723</v>
      </c>
      <c r="B700" s="85" t="s">
        <v>4724</v>
      </c>
      <c r="C700" s="85" t="s">
        <v>147</v>
      </c>
      <c r="D700" s="78" t="s">
        <v>7266</v>
      </c>
      <c r="E700" s="78" t="s">
        <v>7267</v>
      </c>
      <c r="F700" s="78" t="s">
        <v>7268</v>
      </c>
      <c r="G700" s="99">
        <v>5.0</v>
      </c>
      <c r="H700" s="185">
        <v>1.0</v>
      </c>
      <c r="I700" s="155">
        <v>5.0</v>
      </c>
      <c r="J700" s="155">
        <v>20.0</v>
      </c>
      <c r="K700" s="155">
        <v>4.0</v>
      </c>
      <c r="L700" s="155" t="s">
        <v>150</v>
      </c>
      <c r="M700" s="322"/>
      <c r="N700" s="322"/>
      <c r="O700" s="322"/>
      <c r="P700" s="322"/>
      <c r="Q700" s="322"/>
      <c r="R700" s="322"/>
      <c r="S700" s="322"/>
      <c r="T700" s="322"/>
      <c r="U700" s="322"/>
      <c r="V700" s="322"/>
      <c r="W700" s="322"/>
      <c r="X700" s="322"/>
      <c r="Y700" s="322"/>
      <c r="Z700" s="322"/>
    </row>
    <row r="701" ht="15.0" customHeight="1">
      <c r="A701" s="85" t="s">
        <v>7269</v>
      </c>
      <c r="B701" s="85" t="s">
        <v>7270</v>
      </c>
      <c r="C701" s="85" t="s">
        <v>147</v>
      </c>
      <c r="D701" s="78" t="s">
        <v>7266</v>
      </c>
      <c r="E701" s="78" t="s">
        <v>7267</v>
      </c>
      <c r="F701" s="78" t="s">
        <v>7268</v>
      </c>
      <c r="G701" s="99">
        <v>7.0</v>
      </c>
      <c r="H701" s="185">
        <v>1.0</v>
      </c>
      <c r="I701" s="155">
        <v>7.0</v>
      </c>
      <c r="J701" s="155">
        <v>20.0</v>
      </c>
      <c r="K701" s="155">
        <v>2.86</v>
      </c>
      <c r="L701" s="155" t="s">
        <v>150</v>
      </c>
      <c r="M701" s="322"/>
      <c r="N701" s="322"/>
      <c r="O701" s="322"/>
      <c r="P701" s="322"/>
      <c r="Q701" s="322"/>
      <c r="R701" s="322"/>
      <c r="S701" s="322"/>
      <c r="T701" s="322"/>
      <c r="U701" s="322"/>
      <c r="V701" s="322"/>
      <c r="W701" s="322"/>
      <c r="X701" s="322"/>
      <c r="Y701" s="322"/>
      <c r="Z701" s="322"/>
    </row>
    <row r="702" ht="15.0" customHeight="1">
      <c r="A702" s="85" t="s">
        <v>7271</v>
      </c>
      <c r="B702" s="85" t="s">
        <v>7272</v>
      </c>
      <c r="C702" s="85" t="s">
        <v>147</v>
      </c>
      <c r="D702" s="78" t="s">
        <v>7266</v>
      </c>
      <c r="E702" s="78" t="s">
        <v>7267</v>
      </c>
      <c r="F702" s="78" t="s">
        <v>7268</v>
      </c>
      <c r="G702" s="99">
        <v>6.0</v>
      </c>
      <c r="H702" s="185">
        <v>1.0</v>
      </c>
      <c r="I702" s="155">
        <v>6.0</v>
      </c>
      <c r="J702" s="155">
        <v>20.0</v>
      </c>
      <c r="K702" s="155">
        <v>3.33</v>
      </c>
      <c r="L702" s="155" t="s">
        <v>150</v>
      </c>
      <c r="M702" s="322"/>
      <c r="N702" s="322"/>
      <c r="O702" s="322"/>
      <c r="P702" s="322"/>
      <c r="Q702" s="322"/>
      <c r="R702" s="322"/>
      <c r="S702" s="322"/>
      <c r="T702" s="322"/>
      <c r="U702" s="322"/>
      <c r="V702" s="322"/>
      <c r="W702" s="322"/>
      <c r="X702" s="322"/>
      <c r="Y702" s="322"/>
      <c r="Z702" s="322"/>
    </row>
    <row r="703" ht="15.0" customHeight="1">
      <c r="A703" s="85" t="s">
        <v>4712</v>
      </c>
      <c r="B703" s="85" t="s">
        <v>4713</v>
      </c>
      <c r="C703" s="85" t="s">
        <v>147</v>
      </c>
      <c r="D703" s="78" t="s">
        <v>7266</v>
      </c>
      <c r="E703" s="78" t="s">
        <v>7267</v>
      </c>
      <c r="F703" s="78" t="s">
        <v>7268</v>
      </c>
      <c r="G703" s="99">
        <v>5.0</v>
      </c>
      <c r="H703" s="185">
        <v>1.0</v>
      </c>
      <c r="I703" s="155">
        <v>5.0</v>
      </c>
      <c r="J703" s="155">
        <v>20.0</v>
      </c>
      <c r="K703" s="155">
        <v>4.0</v>
      </c>
      <c r="L703" s="155" t="s">
        <v>150</v>
      </c>
      <c r="M703" s="322"/>
      <c r="N703" s="322"/>
      <c r="O703" s="322"/>
      <c r="P703" s="322"/>
      <c r="Q703" s="322"/>
      <c r="R703" s="322"/>
      <c r="S703" s="322"/>
      <c r="T703" s="322"/>
      <c r="U703" s="322"/>
      <c r="V703" s="322"/>
      <c r="W703" s="322"/>
      <c r="X703" s="322"/>
      <c r="Y703" s="322"/>
      <c r="Z703" s="322"/>
    </row>
    <row r="704" ht="15.0" customHeight="1">
      <c r="A704" s="85" t="s">
        <v>4735</v>
      </c>
      <c r="B704" s="85" t="s">
        <v>3169</v>
      </c>
      <c r="C704" s="85" t="s">
        <v>147</v>
      </c>
      <c r="D704" s="78" t="s">
        <v>7273</v>
      </c>
      <c r="E704" s="78" t="s">
        <v>7274</v>
      </c>
      <c r="F704" s="78" t="s">
        <v>7275</v>
      </c>
      <c r="G704" s="99">
        <v>2.0</v>
      </c>
      <c r="H704" s="185">
        <v>2.0</v>
      </c>
      <c r="I704" s="155">
        <v>2.0</v>
      </c>
      <c r="J704" s="155">
        <v>20.0</v>
      </c>
      <c r="K704" s="155">
        <v>10.0</v>
      </c>
      <c r="L704" s="155" t="s">
        <v>4738</v>
      </c>
      <c r="M704" s="322"/>
      <c r="N704" s="322"/>
      <c r="O704" s="322"/>
      <c r="P704" s="322"/>
      <c r="Q704" s="322"/>
      <c r="R704" s="322"/>
      <c r="S704" s="322"/>
      <c r="T704" s="322"/>
      <c r="U704" s="322"/>
      <c r="V704" s="322"/>
      <c r="W704" s="322"/>
      <c r="X704" s="322"/>
      <c r="Y704" s="322"/>
      <c r="Z704" s="322"/>
    </row>
    <row r="705" ht="15.0" customHeight="1">
      <c r="A705" s="85" t="s">
        <v>4735</v>
      </c>
      <c r="B705" s="85" t="s">
        <v>3169</v>
      </c>
      <c r="C705" s="85" t="s">
        <v>147</v>
      </c>
      <c r="D705" s="78" t="s">
        <v>7276</v>
      </c>
      <c r="E705" s="78" t="s">
        <v>7277</v>
      </c>
      <c r="F705" s="78" t="s">
        <v>7275</v>
      </c>
      <c r="G705" s="99">
        <v>2.0</v>
      </c>
      <c r="H705" s="185">
        <v>2.0</v>
      </c>
      <c r="I705" s="155">
        <v>2.0</v>
      </c>
      <c r="J705" s="155">
        <v>20.0</v>
      </c>
      <c r="K705" s="155">
        <v>10.0</v>
      </c>
      <c r="L705" s="155" t="s">
        <v>4738</v>
      </c>
      <c r="M705" s="322"/>
      <c r="N705" s="322"/>
      <c r="O705" s="322"/>
      <c r="P705" s="322"/>
      <c r="Q705" s="322"/>
      <c r="R705" s="322"/>
      <c r="S705" s="322"/>
      <c r="T705" s="322"/>
      <c r="U705" s="322"/>
      <c r="V705" s="322"/>
      <c r="W705" s="322"/>
      <c r="X705" s="322"/>
      <c r="Y705" s="322"/>
      <c r="Z705" s="322"/>
    </row>
    <row r="706" ht="15.0" customHeight="1">
      <c r="A706" s="85" t="s">
        <v>4741</v>
      </c>
      <c r="B706" s="85" t="s">
        <v>4742</v>
      </c>
      <c r="C706" s="85" t="s">
        <v>147</v>
      </c>
      <c r="D706" s="78" t="s">
        <v>7278</v>
      </c>
      <c r="E706" s="78" t="s">
        <v>7279</v>
      </c>
      <c r="F706" s="78" t="s">
        <v>7280</v>
      </c>
      <c r="G706" s="99">
        <v>1.0</v>
      </c>
      <c r="H706" s="185">
        <v>1.0</v>
      </c>
      <c r="I706" s="155">
        <v>3.0</v>
      </c>
      <c r="J706" s="155">
        <v>20.0</v>
      </c>
      <c r="K706" s="155">
        <v>10.0</v>
      </c>
      <c r="L706" s="155" t="s">
        <v>4738</v>
      </c>
      <c r="M706" s="322"/>
      <c r="N706" s="322"/>
      <c r="O706" s="322"/>
      <c r="P706" s="322"/>
      <c r="Q706" s="322"/>
      <c r="R706" s="322"/>
      <c r="S706" s="322"/>
      <c r="T706" s="322"/>
      <c r="U706" s="322"/>
      <c r="V706" s="322"/>
      <c r="W706" s="322"/>
      <c r="X706" s="322"/>
      <c r="Y706" s="322"/>
      <c r="Z706" s="322"/>
    </row>
    <row r="707" ht="15.0" customHeight="1">
      <c r="A707" s="85" t="s">
        <v>4741</v>
      </c>
      <c r="B707" s="85" t="s">
        <v>4742</v>
      </c>
      <c r="C707" s="85" t="s">
        <v>147</v>
      </c>
      <c r="D707" s="78" t="s">
        <v>7281</v>
      </c>
      <c r="E707" s="78" t="s">
        <v>7282</v>
      </c>
      <c r="F707" s="78" t="s">
        <v>7275</v>
      </c>
      <c r="G707" s="99">
        <v>1.0</v>
      </c>
      <c r="H707" s="185">
        <v>1.0</v>
      </c>
      <c r="I707" s="155">
        <v>3.0</v>
      </c>
      <c r="J707" s="155">
        <v>20.0</v>
      </c>
      <c r="K707" s="155">
        <v>10.0</v>
      </c>
      <c r="L707" s="155" t="s">
        <v>4738</v>
      </c>
      <c r="M707" s="322"/>
      <c r="N707" s="322"/>
      <c r="O707" s="322"/>
      <c r="P707" s="322"/>
      <c r="Q707" s="322"/>
      <c r="R707" s="322"/>
      <c r="S707" s="322"/>
      <c r="T707" s="322"/>
      <c r="U707" s="322"/>
      <c r="V707" s="322"/>
      <c r="W707" s="322"/>
      <c r="X707" s="322"/>
      <c r="Y707" s="322"/>
      <c r="Z707" s="322"/>
    </row>
    <row r="708" ht="15.0" customHeight="1">
      <c r="A708" s="85" t="s">
        <v>4741</v>
      </c>
      <c r="B708" s="85" t="s">
        <v>4742</v>
      </c>
      <c r="C708" s="85" t="s">
        <v>147</v>
      </c>
      <c r="D708" s="78" t="s">
        <v>7283</v>
      </c>
      <c r="E708" s="78" t="s">
        <v>7284</v>
      </c>
      <c r="F708" s="78" t="s">
        <v>7275</v>
      </c>
      <c r="G708" s="99">
        <v>1.0</v>
      </c>
      <c r="H708" s="185">
        <v>1.0</v>
      </c>
      <c r="I708" s="155">
        <v>3.0</v>
      </c>
      <c r="J708" s="155">
        <v>10.0</v>
      </c>
      <c r="K708" s="155">
        <v>5.0</v>
      </c>
      <c r="L708" s="155" t="s">
        <v>4738</v>
      </c>
      <c r="M708" s="322"/>
      <c r="N708" s="322"/>
      <c r="O708" s="322"/>
      <c r="P708" s="322"/>
      <c r="Q708" s="322"/>
      <c r="R708" s="322"/>
      <c r="S708" s="322"/>
      <c r="T708" s="322"/>
      <c r="U708" s="322"/>
      <c r="V708" s="322"/>
      <c r="W708" s="322"/>
      <c r="X708" s="322"/>
      <c r="Y708" s="322"/>
      <c r="Z708" s="322"/>
    </row>
    <row r="709" ht="15.0" customHeight="1">
      <c r="A709" s="85" t="s">
        <v>4741</v>
      </c>
      <c r="B709" s="85" t="s">
        <v>4742</v>
      </c>
      <c r="C709" s="85" t="s">
        <v>147</v>
      </c>
      <c r="D709" s="78" t="s">
        <v>7285</v>
      </c>
      <c r="E709" s="78" t="s">
        <v>7286</v>
      </c>
      <c r="F709" s="78" t="s">
        <v>7287</v>
      </c>
      <c r="G709" s="99">
        <v>1.0</v>
      </c>
      <c r="H709" s="185">
        <v>1.0</v>
      </c>
      <c r="I709" s="155">
        <v>3.0</v>
      </c>
      <c r="J709" s="155">
        <v>20.0</v>
      </c>
      <c r="K709" s="155">
        <v>10.0</v>
      </c>
      <c r="L709" s="155" t="s">
        <v>4738</v>
      </c>
      <c r="M709" s="322"/>
      <c r="N709" s="322"/>
      <c r="O709" s="322"/>
      <c r="P709" s="322"/>
      <c r="Q709" s="322"/>
      <c r="R709" s="322"/>
      <c r="S709" s="322"/>
      <c r="T709" s="322"/>
      <c r="U709" s="322"/>
      <c r="V709" s="322"/>
      <c r="W709" s="322"/>
      <c r="X709" s="322"/>
      <c r="Y709" s="322"/>
      <c r="Z709" s="322"/>
    </row>
    <row r="710" ht="15.0" customHeight="1">
      <c r="A710" s="85" t="s">
        <v>4753</v>
      </c>
      <c r="B710" s="85" t="s">
        <v>4754</v>
      </c>
      <c r="C710" s="85" t="s">
        <v>147</v>
      </c>
      <c r="D710" s="78" t="s">
        <v>7288</v>
      </c>
      <c r="E710" s="78" t="s">
        <v>7289</v>
      </c>
      <c r="F710" s="78" t="s">
        <v>7290</v>
      </c>
      <c r="G710" s="99">
        <v>1.0</v>
      </c>
      <c r="H710" s="185">
        <v>1.0</v>
      </c>
      <c r="I710" s="155">
        <v>4.0</v>
      </c>
      <c r="J710" s="155">
        <v>20.0</v>
      </c>
      <c r="K710" s="155">
        <v>10.0</v>
      </c>
      <c r="L710" s="155" t="s">
        <v>4738</v>
      </c>
      <c r="M710" s="322"/>
      <c r="N710" s="322"/>
      <c r="O710" s="322"/>
      <c r="P710" s="322"/>
      <c r="Q710" s="322"/>
      <c r="R710" s="322"/>
      <c r="S710" s="322"/>
      <c r="T710" s="322"/>
      <c r="U710" s="322"/>
      <c r="V710" s="322"/>
      <c r="W710" s="322"/>
      <c r="X710" s="322"/>
      <c r="Y710" s="322"/>
      <c r="Z710" s="322"/>
    </row>
    <row r="711" ht="15.0" customHeight="1">
      <c r="A711" s="85" t="s">
        <v>4753</v>
      </c>
      <c r="B711" s="85" t="s">
        <v>4754</v>
      </c>
      <c r="C711" s="85" t="s">
        <v>147</v>
      </c>
      <c r="D711" s="78" t="s">
        <v>7291</v>
      </c>
      <c r="E711" s="78" t="s">
        <v>7292</v>
      </c>
      <c r="F711" s="78" t="s">
        <v>7293</v>
      </c>
      <c r="G711" s="99">
        <v>1.0</v>
      </c>
      <c r="H711" s="185">
        <v>1.0</v>
      </c>
      <c r="I711" s="155">
        <v>4.0</v>
      </c>
      <c r="J711" s="155">
        <v>20.0</v>
      </c>
      <c r="K711" s="155">
        <v>10.0</v>
      </c>
      <c r="L711" s="155" t="s">
        <v>4738</v>
      </c>
      <c r="M711" s="322"/>
      <c r="N711" s="322"/>
      <c r="O711" s="322"/>
      <c r="P711" s="322"/>
      <c r="Q711" s="322"/>
      <c r="R711" s="322"/>
      <c r="S711" s="322"/>
      <c r="T711" s="322"/>
      <c r="U711" s="322"/>
      <c r="V711" s="322"/>
      <c r="W711" s="322"/>
      <c r="X711" s="322"/>
      <c r="Y711" s="322"/>
      <c r="Z711" s="322"/>
    </row>
    <row r="712" ht="15.0" customHeight="1">
      <c r="A712" s="85" t="s">
        <v>4753</v>
      </c>
      <c r="B712" s="85" t="s">
        <v>4754</v>
      </c>
      <c r="C712" s="85" t="s">
        <v>147</v>
      </c>
      <c r="D712" s="78" t="s">
        <v>7294</v>
      </c>
      <c r="E712" s="78" t="s">
        <v>7295</v>
      </c>
      <c r="F712" s="78" t="s">
        <v>7296</v>
      </c>
      <c r="G712" s="99">
        <v>1.0</v>
      </c>
      <c r="H712" s="185">
        <v>1.0</v>
      </c>
      <c r="I712" s="155">
        <v>4.0</v>
      </c>
      <c r="J712" s="155">
        <v>10.0</v>
      </c>
      <c r="K712" s="155">
        <v>5.0</v>
      </c>
      <c r="L712" s="155" t="s">
        <v>4738</v>
      </c>
      <c r="M712" s="322"/>
      <c r="N712" s="322"/>
      <c r="O712" s="322"/>
      <c r="P712" s="322"/>
      <c r="Q712" s="322"/>
      <c r="R712" s="322"/>
      <c r="S712" s="322"/>
      <c r="T712" s="322"/>
      <c r="U712" s="322"/>
      <c r="V712" s="322"/>
      <c r="W712" s="322"/>
      <c r="X712" s="322"/>
      <c r="Y712" s="322"/>
      <c r="Z712" s="322"/>
    </row>
    <row r="713" ht="15.0" customHeight="1">
      <c r="A713" s="85" t="s">
        <v>4753</v>
      </c>
      <c r="B713" s="85" t="s">
        <v>4754</v>
      </c>
      <c r="C713" s="85" t="s">
        <v>147</v>
      </c>
      <c r="D713" s="78" t="s">
        <v>7297</v>
      </c>
      <c r="E713" s="78" t="s">
        <v>7298</v>
      </c>
      <c r="F713" s="78" t="s">
        <v>7296</v>
      </c>
      <c r="G713" s="99">
        <v>1.0</v>
      </c>
      <c r="H713" s="185">
        <v>1.0</v>
      </c>
      <c r="I713" s="155">
        <v>4.0</v>
      </c>
      <c r="J713" s="155">
        <v>10.0</v>
      </c>
      <c r="K713" s="155">
        <v>5.0</v>
      </c>
      <c r="L713" s="155" t="s">
        <v>4738</v>
      </c>
      <c r="M713" s="322"/>
      <c r="N713" s="322"/>
      <c r="O713" s="322"/>
      <c r="P713" s="322"/>
      <c r="Q713" s="322"/>
      <c r="R713" s="322"/>
      <c r="S713" s="322"/>
      <c r="T713" s="322"/>
      <c r="U713" s="322"/>
      <c r="V713" s="322"/>
      <c r="W713" s="322"/>
      <c r="X713" s="322"/>
      <c r="Y713" s="322"/>
      <c r="Z713" s="322"/>
    </row>
    <row r="714" ht="15.0" customHeight="1">
      <c r="A714" s="85" t="s">
        <v>4753</v>
      </c>
      <c r="B714" s="85" t="s">
        <v>4754</v>
      </c>
      <c r="C714" s="85" t="s">
        <v>147</v>
      </c>
      <c r="D714" s="78" t="s">
        <v>7299</v>
      </c>
      <c r="E714" s="78" t="s">
        <v>7300</v>
      </c>
      <c r="F714" s="78" t="s">
        <v>7296</v>
      </c>
      <c r="G714" s="99">
        <v>1.0</v>
      </c>
      <c r="H714" s="185">
        <v>1.0</v>
      </c>
      <c r="I714" s="155">
        <v>4.0</v>
      </c>
      <c r="J714" s="155">
        <v>10.0</v>
      </c>
      <c r="K714" s="155">
        <v>5.0</v>
      </c>
      <c r="L714" s="155" t="s">
        <v>4738</v>
      </c>
      <c r="M714" s="322"/>
      <c r="N714" s="322"/>
      <c r="O714" s="322"/>
      <c r="P714" s="322"/>
      <c r="Q714" s="322"/>
      <c r="R714" s="322"/>
      <c r="S714" s="322"/>
      <c r="T714" s="322"/>
      <c r="U714" s="322"/>
      <c r="V714" s="322"/>
      <c r="W714" s="322"/>
      <c r="X714" s="322"/>
      <c r="Y714" s="322"/>
      <c r="Z714" s="322"/>
    </row>
    <row r="715" ht="15.0" customHeight="1">
      <c r="A715" s="85" t="s">
        <v>7301</v>
      </c>
      <c r="B715" s="85" t="s">
        <v>7302</v>
      </c>
      <c r="C715" s="85" t="s">
        <v>147</v>
      </c>
      <c r="D715" s="78" t="s">
        <v>7303</v>
      </c>
      <c r="E715" s="78" t="s">
        <v>7304</v>
      </c>
      <c r="F715" s="78" t="s">
        <v>7305</v>
      </c>
      <c r="G715" s="99">
        <v>1.0</v>
      </c>
      <c r="H715" s="185">
        <v>1.0</v>
      </c>
      <c r="I715" s="155">
        <v>4.0</v>
      </c>
      <c r="J715" s="155">
        <v>20.0</v>
      </c>
      <c r="K715" s="155">
        <v>10.0</v>
      </c>
      <c r="L715" s="155" t="s">
        <v>4738</v>
      </c>
      <c r="M715" s="322"/>
      <c r="N715" s="322"/>
      <c r="O715" s="322"/>
      <c r="P715" s="322"/>
      <c r="Q715" s="322"/>
      <c r="R715" s="322"/>
      <c r="S715" s="322"/>
      <c r="T715" s="322"/>
      <c r="U715" s="322"/>
      <c r="V715" s="322"/>
      <c r="W715" s="322"/>
      <c r="X715" s="322"/>
      <c r="Y715" s="322"/>
      <c r="Z715" s="322"/>
    </row>
    <row r="716" ht="15.0" customHeight="1">
      <c r="A716" s="85" t="s">
        <v>7301</v>
      </c>
      <c r="B716" s="85" t="s">
        <v>7302</v>
      </c>
      <c r="C716" s="85" t="s">
        <v>147</v>
      </c>
      <c r="D716" s="78" t="s">
        <v>7306</v>
      </c>
      <c r="E716" s="78" t="s">
        <v>7307</v>
      </c>
      <c r="F716" s="78" t="s">
        <v>7296</v>
      </c>
      <c r="G716" s="99">
        <v>1.0</v>
      </c>
      <c r="H716" s="185">
        <v>1.0</v>
      </c>
      <c r="I716" s="155">
        <v>4.0</v>
      </c>
      <c r="J716" s="155">
        <v>10.0</v>
      </c>
      <c r="K716" s="155">
        <v>5.0</v>
      </c>
      <c r="L716" s="155" t="s">
        <v>4738</v>
      </c>
      <c r="M716" s="322"/>
      <c r="N716" s="322"/>
      <c r="O716" s="322"/>
      <c r="P716" s="322"/>
      <c r="Q716" s="322"/>
      <c r="R716" s="322"/>
      <c r="S716" s="322"/>
      <c r="T716" s="322"/>
      <c r="U716" s="322"/>
      <c r="V716" s="322"/>
      <c r="W716" s="322"/>
      <c r="X716" s="322"/>
      <c r="Y716" s="322"/>
      <c r="Z716" s="322"/>
    </row>
    <row r="717" ht="15.0" customHeight="1">
      <c r="A717" s="85" t="s">
        <v>7301</v>
      </c>
      <c r="B717" s="85" t="s">
        <v>7302</v>
      </c>
      <c r="C717" s="85" t="s">
        <v>147</v>
      </c>
      <c r="D717" s="78" t="s">
        <v>7308</v>
      </c>
      <c r="E717" s="78" t="s">
        <v>7309</v>
      </c>
      <c r="F717" s="78" t="s">
        <v>7296</v>
      </c>
      <c r="G717" s="99">
        <v>1.0</v>
      </c>
      <c r="H717" s="185">
        <v>1.0</v>
      </c>
      <c r="I717" s="155">
        <v>4.0</v>
      </c>
      <c r="J717" s="155">
        <v>10.0</v>
      </c>
      <c r="K717" s="155">
        <v>5.0</v>
      </c>
      <c r="L717" s="155" t="s">
        <v>4738</v>
      </c>
      <c r="M717" s="322"/>
      <c r="N717" s="322"/>
      <c r="O717" s="322"/>
      <c r="P717" s="322"/>
      <c r="Q717" s="322"/>
      <c r="R717" s="322"/>
      <c r="S717" s="322"/>
      <c r="T717" s="322"/>
      <c r="U717" s="322"/>
      <c r="V717" s="322"/>
      <c r="W717" s="322"/>
      <c r="X717" s="322"/>
      <c r="Y717" s="322"/>
      <c r="Z717" s="322"/>
    </row>
    <row r="718" ht="15.0" customHeight="1">
      <c r="A718" s="85" t="s">
        <v>4761</v>
      </c>
      <c r="B718" s="85" t="s">
        <v>4762</v>
      </c>
      <c r="C718" s="85" t="s">
        <v>147</v>
      </c>
      <c r="D718" s="78" t="s">
        <v>7310</v>
      </c>
      <c r="E718" s="78" t="s">
        <v>7311</v>
      </c>
      <c r="F718" s="78" t="s">
        <v>7296</v>
      </c>
      <c r="G718" s="99">
        <v>3.0</v>
      </c>
      <c r="H718" s="185">
        <v>3.0</v>
      </c>
      <c r="I718" s="155">
        <v>3.0</v>
      </c>
      <c r="J718" s="155">
        <v>20.0</v>
      </c>
      <c r="K718" s="155">
        <v>6.66666666666667</v>
      </c>
      <c r="L718" s="155" t="s">
        <v>4738</v>
      </c>
      <c r="M718" s="322"/>
      <c r="N718" s="322"/>
      <c r="O718" s="322"/>
      <c r="P718" s="322"/>
      <c r="Q718" s="322"/>
      <c r="R718" s="322"/>
      <c r="S718" s="322"/>
      <c r="T718" s="322"/>
      <c r="U718" s="322"/>
      <c r="V718" s="322"/>
      <c r="W718" s="322"/>
      <c r="X718" s="322"/>
      <c r="Y718" s="322"/>
      <c r="Z718" s="322"/>
    </row>
    <row r="719" ht="15.0" customHeight="1">
      <c r="A719" s="85" t="s">
        <v>4761</v>
      </c>
      <c r="B719" s="85" t="s">
        <v>4762</v>
      </c>
      <c r="C719" s="85" t="s">
        <v>147</v>
      </c>
      <c r="D719" s="78" t="s">
        <v>7312</v>
      </c>
      <c r="E719" s="78" t="s">
        <v>7313</v>
      </c>
      <c r="F719" s="78" t="s">
        <v>7296</v>
      </c>
      <c r="G719" s="99">
        <v>3.0</v>
      </c>
      <c r="H719" s="185">
        <v>3.0</v>
      </c>
      <c r="I719" s="155">
        <v>3.0</v>
      </c>
      <c r="J719" s="155">
        <v>20.0</v>
      </c>
      <c r="K719" s="155">
        <v>6.66666666666667</v>
      </c>
      <c r="L719" s="155" t="s">
        <v>4738</v>
      </c>
      <c r="M719" s="322"/>
      <c r="N719" s="322"/>
      <c r="O719" s="322"/>
      <c r="P719" s="322"/>
      <c r="Q719" s="322"/>
      <c r="R719" s="322"/>
      <c r="S719" s="322"/>
      <c r="T719" s="322"/>
      <c r="U719" s="322"/>
      <c r="V719" s="322"/>
      <c r="W719" s="322"/>
      <c r="X719" s="322"/>
      <c r="Y719" s="322"/>
      <c r="Z719" s="322"/>
    </row>
    <row r="720" ht="15.0" customHeight="1">
      <c r="A720" s="85" t="s">
        <v>4761</v>
      </c>
      <c r="B720" s="85" t="s">
        <v>4762</v>
      </c>
      <c r="C720" s="85" t="s">
        <v>147</v>
      </c>
      <c r="D720" s="78" t="s">
        <v>7314</v>
      </c>
      <c r="E720" s="78" t="s">
        <v>7315</v>
      </c>
      <c r="F720" s="78" t="s">
        <v>7296</v>
      </c>
      <c r="G720" s="99">
        <v>3.0</v>
      </c>
      <c r="H720" s="185">
        <v>3.0</v>
      </c>
      <c r="I720" s="155">
        <v>3.0</v>
      </c>
      <c r="J720" s="155">
        <v>20.0</v>
      </c>
      <c r="K720" s="155">
        <v>6.66666666666667</v>
      </c>
      <c r="L720" s="155" t="s">
        <v>4738</v>
      </c>
      <c r="M720" s="322"/>
      <c r="N720" s="322"/>
      <c r="O720" s="322"/>
      <c r="P720" s="322"/>
      <c r="Q720" s="322"/>
      <c r="R720" s="322"/>
      <c r="S720" s="322"/>
      <c r="T720" s="322"/>
      <c r="U720" s="322"/>
      <c r="V720" s="322"/>
      <c r="W720" s="322"/>
      <c r="X720" s="322"/>
      <c r="Y720" s="322"/>
      <c r="Z720" s="322"/>
    </row>
    <row r="721" ht="15.0" customHeight="1">
      <c r="A721" s="85" t="s">
        <v>4833</v>
      </c>
      <c r="B721" s="85" t="s">
        <v>4834</v>
      </c>
      <c r="C721" s="85" t="s">
        <v>147</v>
      </c>
      <c r="D721" s="78" t="s">
        <v>7316</v>
      </c>
      <c r="E721" s="78" t="s">
        <v>7317</v>
      </c>
      <c r="F721" s="78" t="s">
        <v>7318</v>
      </c>
      <c r="G721" s="99">
        <v>3.0</v>
      </c>
      <c r="H721" s="185">
        <v>3.0</v>
      </c>
      <c r="I721" s="155">
        <v>3.0</v>
      </c>
      <c r="J721" s="155">
        <v>10.0</v>
      </c>
      <c r="K721" s="155">
        <v>3.33333333333333</v>
      </c>
      <c r="L721" s="155" t="s">
        <v>156</v>
      </c>
      <c r="M721" s="322"/>
      <c r="N721" s="322"/>
      <c r="O721" s="322"/>
      <c r="P721" s="322"/>
      <c r="Q721" s="322"/>
      <c r="R721" s="322"/>
      <c r="S721" s="322"/>
      <c r="T721" s="322"/>
      <c r="U721" s="322"/>
      <c r="V721" s="322"/>
      <c r="W721" s="322"/>
      <c r="X721" s="322"/>
      <c r="Y721" s="322"/>
      <c r="Z721" s="322"/>
    </row>
    <row r="722" ht="15.0" customHeight="1">
      <c r="A722" s="85" t="s">
        <v>4833</v>
      </c>
      <c r="B722" s="85" t="s">
        <v>4834</v>
      </c>
      <c r="C722" s="85" t="s">
        <v>147</v>
      </c>
      <c r="D722" s="78" t="s">
        <v>7319</v>
      </c>
      <c r="E722" s="78" t="s">
        <v>7320</v>
      </c>
      <c r="F722" s="78" t="s">
        <v>7321</v>
      </c>
      <c r="G722" s="99">
        <v>3.0</v>
      </c>
      <c r="H722" s="185">
        <v>3.0</v>
      </c>
      <c r="I722" s="155">
        <v>3.0</v>
      </c>
      <c r="J722" s="155">
        <v>10.0</v>
      </c>
      <c r="K722" s="155">
        <v>3.33333333333333</v>
      </c>
      <c r="L722" s="155" t="s">
        <v>156</v>
      </c>
      <c r="M722" s="322"/>
      <c r="N722" s="322"/>
      <c r="O722" s="322"/>
      <c r="P722" s="322"/>
      <c r="Q722" s="322"/>
      <c r="R722" s="322"/>
      <c r="S722" s="322"/>
      <c r="T722" s="322"/>
      <c r="U722" s="322"/>
      <c r="V722" s="322"/>
      <c r="W722" s="322"/>
      <c r="X722" s="322"/>
      <c r="Y722" s="322"/>
      <c r="Z722" s="322"/>
    </row>
    <row r="723" ht="15.0" customHeight="1">
      <c r="A723" s="85" t="s">
        <v>4839</v>
      </c>
      <c r="B723" s="85" t="s">
        <v>4840</v>
      </c>
      <c r="C723" s="85" t="s">
        <v>147</v>
      </c>
      <c r="D723" s="78" t="s">
        <v>7322</v>
      </c>
      <c r="E723" s="78" t="s">
        <v>7323</v>
      </c>
      <c r="F723" s="78" t="s">
        <v>7324</v>
      </c>
      <c r="G723" s="99">
        <v>4.0</v>
      </c>
      <c r="H723" s="185">
        <v>4.0</v>
      </c>
      <c r="I723" s="155">
        <v>4.0</v>
      </c>
      <c r="J723" s="155">
        <v>20.0</v>
      </c>
      <c r="K723" s="155">
        <v>5.0</v>
      </c>
      <c r="L723" s="155" t="s">
        <v>156</v>
      </c>
      <c r="M723" s="322"/>
      <c r="N723" s="322"/>
      <c r="O723" s="322"/>
      <c r="P723" s="322"/>
      <c r="Q723" s="322"/>
      <c r="R723" s="322"/>
      <c r="S723" s="322"/>
      <c r="T723" s="322"/>
      <c r="U723" s="322"/>
      <c r="V723" s="322"/>
      <c r="W723" s="322"/>
      <c r="X723" s="322"/>
      <c r="Y723" s="322"/>
      <c r="Z723" s="322"/>
    </row>
    <row r="724" ht="15.0" customHeight="1">
      <c r="A724" s="85" t="s">
        <v>4839</v>
      </c>
      <c r="B724" s="85" t="s">
        <v>4840</v>
      </c>
      <c r="C724" s="85" t="s">
        <v>147</v>
      </c>
      <c r="D724" s="78" t="s">
        <v>7325</v>
      </c>
      <c r="E724" s="78" t="s">
        <v>7326</v>
      </c>
      <c r="F724" s="78" t="s">
        <v>5372</v>
      </c>
      <c r="G724" s="99">
        <v>4.0</v>
      </c>
      <c r="H724" s="185">
        <v>4.0</v>
      </c>
      <c r="I724" s="155">
        <v>4.0</v>
      </c>
      <c r="J724" s="155">
        <v>10.0</v>
      </c>
      <c r="K724" s="155">
        <v>2.5</v>
      </c>
      <c r="L724" s="155" t="s">
        <v>156</v>
      </c>
      <c r="M724" s="322"/>
      <c r="N724" s="322"/>
      <c r="O724" s="322"/>
      <c r="P724" s="322"/>
      <c r="Q724" s="322"/>
      <c r="R724" s="322"/>
      <c r="S724" s="322"/>
      <c r="T724" s="322"/>
      <c r="U724" s="322"/>
      <c r="V724" s="322"/>
      <c r="W724" s="322"/>
      <c r="X724" s="322"/>
      <c r="Y724" s="322"/>
      <c r="Z724" s="322"/>
    </row>
    <row r="725" ht="15.0" customHeight="1">
      <c r="A725" s="85" t="s">
        <v>4839</v>
      </c>
      <c r="B725" s="85" t="s">
        <v>4840</v>
      </c>
      <c r="C725" s="85" t="s">
        <v>147</v>
      </c>
      <c r="D725" s="78" t="s">
        <v>7327</v>
      </c>
      <c r="E725" s="78" t="s">
        <v>7328</v>
      </c>
      <c r="F725" s="78" t="s">
        <v>7329</v>
      </c>
      <c r="G725" s="99">
        <v>4.0</v>
      </c>
      <c r="H725" s="185">
        <v>4.0</v>
      </c>
      <c r="I725" s="155">
        <v>4.0</v>
      </c>
      <c r="J725" s="155">
        <v>20.0</v>
      </c>
      <c r="K725" s="155">
        <v>5.0</v>
      </c>
      <c r="L725" s="155" t="s">
        <v>156</v>
      </c>
      <c r="M725" s="322"/>
      <c r="N725" s="322"/>
      <c r="O725" s="322"/>
      <c r="P725" s="322"/>
      <c r="Q725" s="322"/>
      <c r="R725" s="322"/>
      <c r="S725" s="322"/>
      <c r="T725" s="322"/>
      <c r="U725" s="322"/>
      <c r="V725" s="322"/>
      <c r="W725" s="322"/>
      <c r="X725" s="322"/>
      <c r="Y725" s="322"/>
      <c r="Z725" s="322"/>
    </row>
    <row r="726" ht="15.0" customHeight="1">
      <c r="A726" s="85" t="s">
        <v>7330</v>
      </c>
      <c r="B726" s="85" t="s">
        <v>4840</v>
      </c>
      <c r="C726" s="85" t="s">
        <v>147</v>
      </c>
      <c r="D726" s="78" t="s">
        <v>7331</v>
      </c>
      <c r="E726" s="78" t="s">
        <v>7332</v>
      </c>
      <c r="F726" s="78" t="s">
        <v>7333</v>
      </c>
      <c r="G726" s="99">
        <v>4.0</v>
      </c>
      <c r="H726" s="185">
        <v>4.0</v>
      </c>
      <c r="I726" s="155">
        <v>4.0</v>
      </c>
      <c r="J726" s="155">
        <v>10.0</v>
      </c>
      <c r="K726" s="155">
        <v>2.5</v>
      </c>
      <c r="L726" s="155" t="s">
        <v>156</v>
      </c>
      <c r="M726" s="322"/>
      <c r="N726" s="322"/>
      <c r="O726" s="322"/>
      <c r="P726" s="322"/>
      <c r="Q726" s="322"/>
      <c r="R726" s="322"/>
      <c r="S726" s="322"/>
      <c r="T726" s="322"/>
      <c r="U726" s="322"/>
      <c r="V726" s="322"/>
      <c r="W726" s="322"/>
      <c r="X726" s="322"/>
      <c r="Y726" s="322"/>
      <c r="Z726" s="322"/>
    </row>
    <row r="727" ht="15.0" customHeight="1">
      <c r="A727" s="85" t="s">
        <v>4833</v>
      </c>
      <c r="B727" s="85" t="s">
        <v>7334</v>
      </c>
      <c r="C727" s="85" t="s">
        <v>147</v>
      </c>
      <c r="D727" s="78" t="s">
        <v>7335</v>
      </c>
      <c r="E727" s="78" t="s">
        <v>7336</v>
      </c>
      <c r="F727" s="78" t="s">
        <v>7324</v>
      </c>
      <c r="G727" s="99">
        <v>3.0</v>
      </c>
      <c r="H727" s="185">
        <v>3.0</v>
      </c>
      <c r="I727" s="155">
        <v>3.0</v>
      </c>
      <c r="J727" s="155">
        <v>20.0</v>
      </c>
      <c r="K727" s="155">
        <v>6.66666666666667</v>
      </c>
      <c r="L727" s="155" t="s">
        <v>156</v>
      </c>
      <c r="M727" s="322"/>
      <c r="N727" s="322"/>
      <c r="O727" s="322"/>
      <c r="P727" s="322"/>
      <c r="Q727" s="322"/>
      <c r="R727" s="322"/>
      <c r="S727" s="322"/>
      <c r="T727" s="322"/>
      <c r="U727" s="322"/>
      <c r="V727" s="322"/>
      <c r="W727" s="322"/>
      <c r="X727" s="322"/>
      <c r="Y727" s="322"/>
      <c r="Z727" s="322"/>
    </row>
    <row r="728" ht="15.0" customHeight="1">
      <c r="A728" s="85" t="s">
        <v>4833</v>
      </c>
      <c r="B728" s="85" t="s">
        <v>7334</v>
      </c>
      <c r="C728" s="85" t="s">
        <v>147</v>
      </c>
      <c r="D728" s="78" t="s">
        <v>7337</v>
      </c>
      <c r="E728" s="78" t="s">
        <v>7338</v>
      </c>
      <c r="F728" s="78" t="s">
        <v>7339</v>
      </c>
      <c r="G728" s="99">
        <v>3.0</v>
      </c>
      <c r="H728" s="185">
        <v>3.0</v>
      </c>
      <c r="I728" s="155">
        <v>3.0</v>
      </c>
      <c r="J728" s="155">
        <v>20.0</v>
      </c>
      <c r="K728" s="155">
        <v>6.66666666666667</v>
      </c>
      <c r="L728" s="155" t="s">
        <v>156</v>
      </c>
      <c r="M728" s="322"/>
      <c r="N728" s="322"/>
      <c r="O728" s="322"/>
      <c r="P728" s="322"/>
      <c r="Q728" s="322"/>
      <c r="R728" s="322"/>
      <c r="S728" s="322"/>
      <c r="T728" s="322"/>
      <c r="U728" s="322"/>
      <c r="V728" s="322"/>
      <c r="W728" s="322"/>
      <c r="X728" s="322"/>
      <c r="Y728" s="322"/>
      <c r="Z728" s="322"/>
    </row>
    <row r="729" ht="15.0" customHeight="1">
      <c r="A729" s="85" t="s">
        <v>7340</v>
      </c>
      <c r="B729" s="85" t="s">
        <v>7341</v>
      </c>
      <c r="C729" s="85" t="s">
        <v>147</v>
      </c>
      <c r="D729" s="78" t="s">
        <v>7342</v>
      </c>
      <c r="E729" s="78" t="s">
        <v>7343</v>
      </c>
      <c r="F729" s="78" t="s">
        <v>7329</v>
      </c>
      <c r="G729" s="99">
        <v>4.0</v>
      </c>
      <c r="H729" s="185">
        <v>4.0</v>
      </c>
      <c r="I729" s="155">
        <v>4.0</v>
      </c>
      <c r="J729" s="155">
        <v>20.0</v>
      </c>
      <c r="K729" s="155">
        <v>5.0</v>
      </c>
      <c r="L729" s="155" t="s">
        <v>156</v>
      </c>
      <c r="M729" s="322"/>
      <c r="N729" s="322"/>
      <c r="O729" s="322"/>
      <c r="P729" s="322"/>
      <c r="Q729" s="322"/>
      <c r="R729" s="322"/>
      <c r="S729" s="322"/>
      <c r="T729" s="322"/>
      <c r="U729" s="322"/>
      <c r="V729" s="322"/>
      <c r="W729" s="322"/>
      <c r="X729" s="322"/>
      <c r="Y729" s="322"/>
      <c r="Z729" s="322"/>
    </row>
    <row r="730" ht="15.0" customHeight="1">
      <c r="A730" s="85" t="s">
        <v>4833</v>
      </c>
      <c r="B730" s="85" t="s">
        <v>4834</v>
      </c>
      <c r="C730" s="85" t="s">
        <v>147</v>
      </c>
      <c r="D730" s="78" t="s">
        <v>7316</v>
      </c>
      <c r="E730" s="78" t="s">
        <v>7317</v>
      </c>
      <c r="F730" s="78" t="s">
        <v>5372</v>
      </c>
      <c r="G730" s="99">
        <v>3.0</v>
      </c>
      <c r="H730" s="185">
        <v>3.0</v>
      </c>
      <c r="I730" s="155">
        <v>3.0</v>
      </c>
      <c r="J730" s="155">
        <v>10.0</v>
      </c>
      <c r="K730" s="155">
        <v>3.3333333333333335</v>
      </c>
      <c r="L730" s="155" t="s">
        <v>4845</v>
      </c>
      <c r="M730" s="322"/>
      <c r="N730" s="322"/>
      <c r="O730" s="322"/>
      <c r="P730" s="322"/>
      <c r="Q730" s="322"/>
      <c r="R730" s="322"/>
      <c r="S730" s="322"/>
      <c r="T730" s="322"/>
      <c r="U730" s="322"/>
      <c r="V730" s="322"/>
      <c r="W730" s="322"/>
      <c r="X730" s="322"/>
      <c r="Y730" s="322"/>
      <c r="Z730" s="322"/>
    </row>
    <row r="731" ht="15.0" customHeight="1">
      <c r="A731" s="85" t="s">
        <v>4833</v>
      </c>
      <c r="B731" s="85" t="s">
        <v>4834</v>
      </c>
      <c r="C731" s="85" t="s">
        <v>147</v>
      </c>
      <c r="D731" s="78" t="s">
        <v>7319</v>
      </c>
      <c r="E731" s="78" t="s">
        <v>7320</v>
      </c>
      <c r="F731" s="78" t="s">
        <v>5372</v>
      </c>
      <c r="G731" s="99">
        <v>3.0</v>
      </c>
      <c r="H731" s="185">
        <v>3.0</v>
      </c>
      <c r="I731" s="155">
        <v>3.0</v>
      </c>
      <c r="J731" s="155">
        <v>10.0</v>
      </c>
      <c r="K731" s="155">
        <v>3.3333333333333335</v>
      </c>
      <c r="L731" s="155" t="s">
        <v>4845</v>
      </c>
      <c r="M731" s="322"/>
      <c r="N731" s="322"/>
      <c r="O731" s="322"/>
      <c r="P731" s="322"/>
      <c r="Q731" s="322"/>
      <c r="R731" s="322"/>
      <c r="S731" s="322"/>
      <c r="T731" s="322"/>
      <c r="U731" s="322"/>
      <c r="V731" s="322"/>
      <c r="W731" s="322"/>
      <c r="X731" s="322"/>
      <c r="Y731" s="322"/>
      <c r="Z731" s="322"/>
    </row>
    <row r="732" ht="15.0" customHeight="1">
      <c r="A732" s="85" t="s">
        <v>4839</v>
      </c>
      <c r="B732" s="85" t="s">
        <v>4840</v>
      </c>
      <c r="C732" s="85" t="s">
        <v>147</v>
      </c>
      <c r="D732" s="78" t="s">
        <v>7325</v>
      </c>
      <c r="E732" s="78" t="s">
        <v>7326</v>
      </c>
      <c r="F732" s="78" t="s">
        <v>5372</v>
      </c>
      <c r="G732" s="99">
        <v>4.0</v>
      </c>
      <c r="H732" s="185">
        <v>4.0</v>
      </c>
      <c r="I732" s="155">
        <v>4.0</v>
      </c>
      <c r="J732" s="155">
        <v>10.0</v>
      </c>
      <c r="K732" s="155">
        <v>2.5</v>
      </c>
      <c r="L732" s="155" t="s">
        <v>4845</v>
      </c>
      <c r="M732" s="322"/>
      <c r="N732" s="322"/>
      <c r="O732" s="322"/>
      <c r="P732" s="322"/>
      <c r="Q732" s="322"/>
      <c r="R732" s="322"/>
      <c r="S732" s="322"/>
      <c r="T732" s="322"/>
      <c r="U732" s="322"/>
      <c r="V732" s="322"/>
      <c r="W732" s="322"/>
      <c r="X732" s="322"/>
      <c r="Y732" s="322"/>
      <c r="Z732" s="322"/>
    </row>
    <row r="733" ht="15.0" customHeight="1">
      <c r="A733" s="85" t="s">
        <v>4839</v>
      </c>
      <c r="B733" s="85" t="s">
        <v>4840</v>
      </c>
      <c r="C733" s="85" t="s">
        <v>147</v>
      </c>
      <c r="D733" s="78" t="s">
        <v>7327</v>
      </c>
      <c r="E733" s="78" t="s">
        <v>7328</v>
      </c>
      <c r="F733" s="78" t="s">
        <v>7329</v>
      </c>
      <c r="G733" s="99">
        <v>4.0</v>
      </c>
      <c r="H733" s="185">
        <v>4.0</v>
      </c>
      <c r="I733" s="155">
        <v>4.0</v>
      </c>
      <c r="J733" s="155">
        <v>20.0</v>
      </c>
      <c r="K733" s="155">
        <v>5.0</v>
      </c>
      <c r="L733" s="155" t="s">
        <v>4845</v>
      </c>
      <c r="M733" s="322"/>
      <c r="N733" s="322"/>
      <c r="O733" s="322"/>
      <c r="P733" s="322"/>
      <c r="Q733" s="322"/>
      <c r="R733" s="322"/>
      <c r="S733" s="322"/>
      <c r="T733" s="322"/>
      <c r="U733" s="322"/>
      <c r="V733" s="322"/>
      <c r="W733" s="322"/>
      <c r="X733" s="322"/>
      <c r="Y733" s="322"/>
      <c r="Z733" s="322"/>
    </row>
    <row r="734" ht="15.0" customHeight="1">
      <c r="A734" s="85" t="s">
        <v>7330</v>
      </c>
      <c r="B734" s="85" t="s">
        <v>4840</v>
      </c>
      <c r="C734" s="85" t="s">
        <v>147</v>
      </c>
      <c r="D734" s="78" t="s">
        <v>7331</v>
      </c>
      <c r="E734" s="78" t="s">
        <v>7332</v>
      </c>
      <c r="F734" s="78" t="s">
        <v>7344</v>
      </c>
      <c r="G734" s="99">
        <v>4.0</v>
      </c>
      <c r="H734" s="185">
        <v>4.0</v>
      </c>
      <c r="I734" s="155">
        <v>4.0</v>
      </c>
      <c r="J734" s="155">
        <v>10.0</v>
      </c>
      <c r="K734" s="155">
        <v>2.5</v>
      </c>
      <c r="L734" s="155" t="s">
        <v>4845</v>
      </c>
      <c r="M734" s="322"/>
      <c r="N734" s="322"/>
      <c r="O734" s="322"/>
      <c r="P734" s="322"/>
      <c r="Q734" s="322"/>
      <c r="R734" s="322"/>
      <c r="S734" s="322"/>
      <c r="T734" s="322"/>
      <c r="U734" s="322"/>
      <c r="V734" s="322"/>
      <c r="W734" s="322"/>
      <c r="X734" s="322"/>
      <c r="Y734" s="322"/>
      <c r="Z734" s="322"/>
    </row>
    <row r="735" ht="15.0" customHeight="1">
      <c r="A735" s="85" t="s">
        <v>4833</v>
      </c>
      <c r="B735" s="85" t="s">
        <v>7334</v>
      </c>
      <c r="C735" s="85" t="s">
        <v>147</v>
      </c>
      <c r="D735" s="78" t="s">
        <v>7335</v>
      </c>
      <c r="E735" s="78" t="s">
        <v>7336</v>
      </c>
      <c r="F735" s="78" t="s">
        <v>7324</v>
      </c>
      <c r="G735" s="99">
        <v>3.0</v>
      </c>
      <c r="H735" s="185">
        <v>3.0</v>
      </c>
      <c r="I735" s="155">
        <v>3.0</v>
      </c>
      <c r="J735" s="155">
        <v>20.0</v>
      </c>
      <c r="K735" s="155">
        <v>6.666666666666667</v>
      </c>
      <c r="L735" s="155" t="s">
        <v>4845</v>
      </c>
      <c r="M735" s="322"/>
      <c r="N735" s="322"/>
      <c r="O735" s="322"/>
      <c r="P735" s="322"/>
      <c r="Q735" s="322"/>
      <c r="R735" s="322"/>
      <c r="S735" s="322"/>
      <c r="T735" s="322"/>
      <c r="U735" s="322"/>
      <c r="V735" s="322"/>
      <c r="W735" s="322"/>
      <c r="X735" s="322"/>
      <c r="Y735" s="322"/>
      <c r="Z735" s="322"/>
    </row>
    <row r="736" ht="15.0" customHeight="1">
      <c r="A736" s="85" t="s">
        <v>4833</v>
      </c>
      <c r="B736" s="85" t="s">
        <v>7334</v>
      </c>
      <c r="C736" s="85" t="s">
        <v>147</v>
      </c>
      <c r="D736" s="78" t="s">
        <v>7337</v>
      </c>
      <c r="E736" s="78" t="s">
        <v>7338</v>
      </c>
      <c r="F736" s="78" t="s">
        <v>7345</v>
      </c>
      <c r="G736" s="99">
        <v>3.0</v>
      </c>
      <c r="H736" s="185">
        <v>3.0</v>
      </c>
      <c r="I736" s="155">
        <v>3.0</v>
      </c>
      <c r="J736" s="155">
        <v>20.0</v>
      </c>
      <c r="K736" s="155">
        <v>6.666666666666667</v>
      </c>
      <c r="L736" s="155" t="s">
        <v>4845</v>
      </c>
      <c r="M736" s="322"/>
      <c r="N736" s="322"/>
      <c r="O736" s="322"/>
      <c r="P736" s="322"/>
      <c r="Q736" s="322"/>
      <c r="R736" s="322"/>
      <c r="S736" s="322"/>
      <c r="T736" s="322"/>
      <c r="U736" s="322"/>
      <c r="V736" s="322"/>
      <c r="W736" s="322"/>
      <c r="X736" s="322"/>
      <c r="Y736" s="322"/>
      <c r="Z736" s="322"/>
    </row>
    <row r="737" ht="15.0" customHeight="1">
      <c r="A737" s="85" t="s">
        <v>7340</v>
      </c>
      <c r="B737" s="85" t="s">
        <v>7341</v>
      </c>
      <c r="C737" s="85" t="s">
        <v>147</v>
      </c>
      <c r="D737" s="78" t="s">
        <v>7342</v>
      </c>
      <c r="E737" s="78" t="s">
        <v>7343</v>
      </c>
      <c r="F737" s="78" t="s">
        <v>7329</v>
      </c>
      <c r="G737" s="99">
        <v>4.0</v>
      </c>
      <c r="H737" s="185">
        <v>4.0</v>
      </c>
      <c r="I737" s="155">
        <v>4.0</v>
      </c>
      <c r="J737" s="155">
        <v>20.0</v>
      </c>
      <c r="K737" s="155">
        <v>5.0</v>
      </c>
      <c r="L737" s="155" t="s">
        <v>4845</v>
      </c>
      <c r="M737" s="322"/>
      <c r="N737" s="322"/>
      <c r="O737" s="322"/>
      <c r="P737" s="322"/>
      <c r="Q737" s="322"/>
      <c r="R737" s="322"/>
      <c r="S737" s="322"/>
      <c r="T737" s="322"/>
      <c r="U737" s="322"/>
      <c r="V737" s="322"/>
      <c r="W737" s="322"/>
      <c r="X737" s="322"/>
      <c r="Y737" s="322"/>
      <c r="Z737" s="322"/>
    </row>
    <row r="738" ht="15.0" customHeight="1">
      <c r="A738" s="85" t="s">
        <v>4833</v>
      </c>
      <c r="B738" s="85" t="s">
        <v>4834</v>
      </c>
      <c r="C738" s="85" t="s">
        <v>147</v>
      </c>
      <c r="D738" s="78" t="s">
        <v>7346</v>
      </c>
      <c r="E738" s="78" t="s">
        <v>7317</v>
      </c>
      <c r="F738" s="78" t="s">
        <v>7318</v>
      </c>
      <c r="G738" s="99">
        <v>3.0</v>
      </c>
      <c r="H738" s="185">
        <v>3.0</v>
      </c>
      <c r="I738" s="155">
        <v>3.0</v>
      </c>
      <c r="J738" s="155">
        <v>10.0</v>
      </c>
      <c r="K738" s="155">
        <v>3.33</v>
      </c>
      <c r="L738" s="155" t="s">
        <v>158</v>
      </c>
      <c r="M738" s="322"/>
      <c r="N738" s="322"/>
      <c r="O738" s="322"/>
      <c r="P738" s="322"/>
      <c r="Q738" s="322"/>
      <c r="R738" s="322"/>
      <c r="S738" s="322"/>
      <c r="T738" s="322"/>
      <c r="U738" s="322"/>
      <c r="V738" s="322"/>
      <c r="W738" s="322"/>
      <c r="X738" s="322"/>
      <c r="Y738" s="322"/>
      <c r="Z738" s="322"/>
    </row>
    <row r="739" ht="15.0" customHeight="1">
      <c r="A739" s="85" t="s">
        <v>4833</v>
      </c>
      <c r="B739" s="85" t="s">
        <v>4834</v>
      </c>
      <c r="C739" s="85" t="s">
        <v>147</v>
      </c>
      <c r="D739" s="78" t="s">
        <v>7347</v>
      </c>
      <c r="E739" s="78" t="s">
        <v>7320</v>
      </c>
      <c r="F739" s="78" t="s">
        <v>7321</v>
      </c>
      <c r="G739" s="99">
        <v>3.0</v>
      </c>
      <c r="H739" s="185">
        <v>3.0</v>
      </c>
      <c r="I739" s="155">
        <v>3.0</v>
      </c>
      <c r="J739" s="155">
        <v>10.0</v>
      </c>
      <c r="K739" s="155">
        <v>3.33</v>
      </c>
      <c r="L739" s="155" t="s">
        <v>158</v>
      </c>
      <c r="M739" s="322"/>
      <c r="N739" s="322"/>
      <c r="O739" s="322"/>
      <c r="P739" s="322"/>
      <c r="Q739" s="322"/>
      <c r="R739" s="322"/>
      <c r="S739" s="322"/>
      <c r="T739" s="322"/>
      <c r="U739" s="322"/>
      <c r="V739" s="322"/>
      <c r="W739" s="322"/>
      <c r="X739" s="322"/>
      <c r="Y739" s="322"/>
      <c r="Z739" s="322"/>
    </row>
    <row r="740" ht="15.0" customHeight="1">
      <c r="A740" s="85" t="s">
        <v>7330</v>
      </c>
      <c r="B740" s="85" t="s">
        <v>4840</v>
      </c>
      <c r="C740" s="85" t="s">
        <v>147</v>
      </c>
      <c r="D740" s="78" t="s">
        <v>7331</v>
      </c>
      <c r="E740" s="78" t="s">
        <v>7332</v>
      </c>
      <c r="F740" s="78" t="s">
        <v>7348</v>
      </c>
      <c r="G740" s="99">
        <v>4.0</v>
      </c>
      <c r="H740" s="185">
        <v>4.0</v>
      </c>
      <c r="I740" s="155">
        <v>4.0</v>
      </c>
      <c r="J740" s="155">
        <v>10.0</v>
      </c>
      <c r="K740" s="155">
        <v>2.5</v>
      </c>
      <c r="L740" s="155" t="s">
        <v>158</v>
      </c>
      <c r="M740" s="322"/>
      <c r="N740" s="322"/>
      <c r="O740" s="322"/>
      <c r="P740" s="322"/>
      <c r="Q740" s="322"/>
      <c r="R740" s="322"/>
      <c r="S740" s="322"/>
      <c r="T740" s="322"/>
      <c r="U740" s="322"/>
      <c r="V740" s="322"/>
      <c r="W740" s="322"/>
      <c r="X740" s="322"/>
      <c r="Y740" s="322"/>
      <c r="Z740" s="322"/>
    </row>
    <row r="741" ht="15.0" customHeight="1">
      <c r="A741" s="85" t="s">
        <v>4839</v>
      </c>
      <c r="B741" s="85" t="s">
        <v>4840</v>
      </c>
      <c r="C741" s="85" t="s">
        <v>147</v>
      </c>
      <c r="D741" s="78" t="s">
        <v>7322</v>
      </c>
      <c r="E741" s="78" t="s">
        <v>7323</v>
      </c>
      <c r="F741" s="78" t="s">
        <v>7324</v>
      </c>
      <c r="G741" s="99">
        <v>4.0</v>
      </c>
      <c r="H741" s="185">
        <v>4.0</v>
      </c>
      <c r="I741" s="155">
        <v>4.0</v>
      </c>
      <c r="J741" s="155">
        <v>20.0</v>
      </c>
      <c r="K741" s="155">
        <v>5.0</v>
      </c>
      <c r="L741" s="155" t="s">
        <v>158</v>
      </c>
      <c r="M741" s="322"/>
      <c r="N741" s="322"/>
      <c r="O741" s="322"/>
      <c r="P741" s="322"/>
      <c r="Q741" s="322"/>
      <c r="R741" s="322"/>
      <c r="S741" s="322"/>
      <c r="T741" s="322"/>
      <c r="U741" s="322"/>
      <c r="V741" s="322"/>
      <c r="W741" s="322"/>
      <c r="X741" s="322"/>
      <c r="Y741" s="322"/>
      <c r="Z741" s="322"/>
    </row>
    <row r="742" ht="15.0" customHeight="1">
      <c r="A742" s="85" t="s">
        <v>4839</v>
      </c>
      <c r="B742" s="85" t="s">
        <v>4840</v>
      </c>
      <c r="C742" s="85" t="s">
        <v>147</v>
      </c>
      <c r="D742" s="78" t="s">
        <v>7349</v>
      </c>
      <c r="E742" s="78" t="s">
        <v>7326</v>
      </c>
      <c r="F742" s="78" t="s">
        <v>5372</v>
      </c>
      <c r="G742" s="99">
        <v>4.0</v>
      </c>
      <c r="H742" s="185">
        <v>4.0</v>
      </c>
      <c r="I742" s="155">
        <v>4.0</v>
      </c>
      <c r="J742" s="155">
        <v>10.0</v>
      </c>
      <c r="K742" s="155">
        <v>2.5</v>
      </c>
      <c r="L742" s="155" t="s">
        <v>158</v>
      </c>
      <c r="M742" s="322"/>
      <c r="N742" s="322"/>
      <c r="O742" s="322"/>
      <c r="P742" s="322"/>
      <c r="Q742" s="322"/>
      <c r="R742" s="322"/>
      <c r="S742" s="322"/>
      <c r="T742" s="322"/>
      <c r="U742" s="322"/>
      <c r="V742" s="322"/>
      <c r="W742" s="322"/>
      <c r="X742" s="322"/>
      <c r="Y742" s="322"/>
      <c r="Z742" s="322"/>
    </row>
    <row r="743" ht="15.0" customHeight="1">
      <c r="A743" s="85" t="s">
        <v>4839</v>
      </c>
      <c r="B743" s="85" t="s">
        <v>4840</v>
      </c>
      <c r="C743" s="85" t="s">
        <v>147</v>
      </c>
      <c r="D743" s="78" t="s">
        <v>7327</v>
      </c>
      <c r="E743" s="78" t="s">
        <v>7328</v>
      </c>
      <c r="F743" s="78" t="s">
        <v>7329</v>
      </c>
      <c r="G743" s="99">
        <v>4.0</v>
      </c>
      <c r="H743" s="185">
        <v>4.0</v>
      </c>
      <c r="I743" s="155">
        <v>4.0</v>
      </c>
      <c r="J743" s="155">
        <v>20.0</v>
      </c>
      <c r="K743" s="155">
        <v>5.0</v>
      </c>
      <c r="L743" s="155" t="s">
        <v>158</v>
      </c>
      <c r="M743" s="322"/>
      <c r="N743" s="322"/>
      <c r="O743" s="322"/>
      <c r="P743" s="322"/>
      <c r="Q743" s="322"/>
      <c r="R743" s="322"/>
      <c r="S743" s="322"/>
      <c r="T743" s="322"/>
      <c r="U743" s="322"/>
      <c r="V743" s="322"/>
      <c r="W743" s="322"/>
      <c r="X743" s="322"/>
      <c r="Y743" s="322"/>
      <c r="Z743" s="322"/>
    </row>
    <row r="744" ht="15.0" customHeight="1">
      <c r="A744" s="85" t="s">
        <v>4833</v>
      </c>
      <c r="B744" s="85" t="s">
        <v>7334</v>
      </c>
      <c r="C744" s="85" t="s">
        <v>147</v>
      </c>
      <c r="D744" s="78" t="s">
        <v>7335</v>
      </c>
      <c r="E744" s="78" t="s">
        <v>7336</v>
      </c>
      <c r="F744" s="78" t="s">
        <v>7324</v>
      </c>
      <c r="G744" s="99">
        <v>3.0</v>
      </c>
      <c r="H744" s="185">
        <v>3.0</v>
      </c>
      <c r="I744" s="155">
        <v>3.0</v>
      </c>
      <c r="J744" s="155">
        <v>20.0</v>
      </c>
      <c r="K744" s="155">
        <v>6.67</v>
      </c>
      <c r="L744" s="155" t="s">
        <v>158</v>
      </c>
      <c r="M744" s="322"/>
      <c r="N744" s="322"/>
      <c r="O744" s="322"/>
      <c r="P744" s="322"/>
      <c r="Q744" s="322"/>
      <c r="R744" s="322"/>
      <c r="S744" s="322"/>
      <c r="T744" s="322"/>
      <c r="U744" s="322"/>
      <c r="V744" s="322"/>
      <c r="W744" s="322"/>
      <c r="X744" s="322"/>
      <c r="Y744" s="322"/>
      <c r="Z744" s="322"/>
    </row>
    <row r="745" ht="15.0" customHeight="1">
      <c r="A745" s="85" t="s">
        <v>4833</v>
      </c>
      <c r="B745" s="85" t="s">
        <v>7334</v>
      </c>
      <c r="C745" s="85" t="s">
        <v>147</v>
      </c>
      <c r="D745" s="78" t="s">
        <v>7337</v>
      </c>
      <c r="E745" s="78" t="s">
        <v>7338</v>
      </c>
      <c r="F745" s="78" t="s">
        <v>7339</v>
      </c>
      <c r="G745" s="99">
        <v>3.0</v>
      </c>
      <c r="H745" s="185">
        <v>3.0</v>
      </c>
      <c r="I745" s="155">
        <v>3.0</v>
      </c>
      <c r="J745" s="155">
        <v>20.0</v>
      </c>
      <c r="K745" s="155">
        <v>6.67</v>
      </c>
      <c r="L745" s="155" t="s">
        <v>158</v>
      </c>
      <c r="M745" s="322"/>
      <c r="N745" s="322"/>
      <c r="O745" s="322"/>
      <c r="P745" s="322"/>
      <c r="Q745" s="322"/>
      <c r="R745" s="322"/>
      <c r="S745" s="322"/>
      <c r="T745" s="322"/>
      <c r="U745" s="322"/>
      <c r="V745" s="322"/>
      <c r="W745" s="322"/>
      <c r="X745" s="322"/>
      <c r="Y745" s="322"/>
      <c r="Z745" s="322"/>
    </row>
    <row r="746" ht="15.0" customHeight="1">
      <c r="A746" s="85" t="s">
        <v>7340</v>
      </c>
      <c r="B746" s="85" t="s">
        <v>7341</v>
      </c>
      <c r="C746" s="85" t="s">
        <v>147</v>
      </c>
      <c r="D746" s="78" t="s">
        <v>7342</v>
      </c>
      <c r="E746" s="78" t="s">
        <v>7343</v>
      </c>
      <c r="F746" s="78" t="s">
        <v>7329</v>
      </c>
      <c r="G746" s="99">
        <v>4.0</v>
      </c>
      <c r="H746" s="185">
        <v>4.0</v>
      </c>
      <c r="I746" s="155">
        <v>4.0</v>
      </c>
      <c r="J746" s="155">
        <v>20.0</v>
      </c>
      <c r="K746" s="155">
        <v>5.0</v>
      </c>
      <c r="L746" s="155" t="s">
        <v>158</v>
      </c>
      <c r="M746" s="322"/>
      <c r="N746" s="322"/>
      <c r="O746" s="322"/>
      <c r="P746" s="322"/>
      <c r="Q746" s="322"/>
      <c r="R746" s="322"/>
      <c r="S746" s="322"/>
      <c r="T746" s="322"/>
      <c r="U746" s="322"/>
      <c r="V746" s="322"/>
      <c r="W746" s="322"/>
      <c r="X746" s="322"/>
      <c r="Y746" s="322"/>
      <c r="Z746" s="322"/>
    </row>
    <row r="747" ht="15.0" customHeight="1">
      <c r="A747" s="85" t="s">
        <v>1138</v>
      </c>
      <c r="B747" s="85" t="s">
        <v>1058</v>
      </c>
      <c r="C747" s="85" t="s">
        <v>147</v>
      </c>
      <c r="D747" s="78" t="s">
        <v>7350</v>
      </c>
      <c r="E747" s="78" t="s">
        <v>7351</v>
      </c>
      <c r="F747" s="78" t="s">
        <v>5372</v>
      </c>
      <c r="G747" s="99">
        <v>4.0</v>
      </c>
      <c r="H747" s="185">
        <v>4.0</v>
      </c>
      <c r="I747" s="155">
        <v>6.0</v>
      </c>
      <c r="J747" s="155">
        <v>10.0</v>
      </c>
      <c r="K747" s="155">
        <v>2.5</v>
      </c>
      <c r="L747" s="155" t="s">
        <v>158</v>
      </c>
      <c r="M747" s="322"/>
      <c r="N747" s="322"/>
      <c r="O747" s="322"/>
      <c r="P747" s="322"/>
      <c r="Q747" s="322"/>
      <c r="R747" s="322"/>
      <c r="S747" s="322"/>
      <c r="T747" s="322"/>
      <c r="U747" s="322"/>
      <c r="V747" s="322"/>
      <c r="W747" s="322"/>
      <c r="X747" s="322"/>
      <c r="Y747" s="322"/>
      <c r="Z747" s="322"/>
    </row>
    <row r="748" ht="15.0" customHeight="1">
      <c r="A748" s="85" t="s">
        <v>4850</v>
      </c>
      <c r="B748" s="85" t="s">
        <v>4851</v>
      </c>
      <c r="C748" s="85" t="s">
        <v>147</v>
      </c>
      <c r="D748" s="78" t="s">
        <v>7352</v>
      </c>
      <c r="E748" s="78" t="s">
        <v>7353</v>
      </c>
      <c r="F748" s="78" t="s">
        <v>5372</v>
      </c>
      <c r="G748" s="99">
        <v>2.0</v>
      </c>
      <c r="H748" s="185">
        <v>2.0</v>
      </c>
      <c r="I748" s="155">
        <v>3.0</v>
      </c>
      <c r="J748" s="155">
        <v>10.0</v>
      </c>
      <c r="K748" s="155">
        <v>5.0</v>
      </c>
      <c r="L748" s="155" t="s">
        <v>158</v>
      </c>
      <c r="M748" s="322"/>
      <c r="N748" s="322"/>
      <c r="O748" s="322"/>
      <c r="P748" s="322"/>
      <c r="Q748" s="322"/>
      <c r="R748" s="322"/>
      <c r="S748" s="322"/>
      <c r="T748" s="322"/>
      <c r="U748" s="322"/>
      <c r="V748" s="322"/>
      <c r="W748" s="322"/>
      <c r="X748" s="322"/>
      <c r="Y748" s="322"/>
      <c r="Z748" s="322"/>
    </row>
    <row r="749" ht="15.0" customHeight="1">
      <c r="A749" s="85" t="s">
        <v>4974</v>
      </c>
      <c r="B749" s="85" t="s">
        <v>4975</v>
      </c>
      <c r="C749" s="85" t="s">
        <v>147</v>
      </c>
      <c r="D749" s="78" t="s">
        <v>7354</v>
      </c>
      <c r="E749" s="78" t="s">
        <v>7355</v>
      </c>
      <c r="F749" s="78" t="s">
        <v>5372</v>
      </c>
      <c r="G749" s="99">
        <v>3.0</v>
      </c>
      <c r="H749" s="185">
        <v>3.0</v>
      </c>
      <c r="I749" s="155">
        <v>3.0</v>
      </c>
      <c r="J749" s="155">
        <v>10.0</v>
      </c>
      <c r="K749" s="155">
        <v>3.33</v>
      </c>
      <c r="L749" s="155" t="s">
        <v>159</v>
      </c>
      <c r="M749" s="322"/>
      <c r="N749" s="322"/>
      <c r="O749" s="322"/>
      <c r="P749" s="322"/>
      <c r="Q749" s="322"/>
      <c r="R749" s="322"/>
      <c r="S749" s="322"/>
      <c r="T749" s="322"/>
      <c r="U749" s="322"/>
      <c r="V749" s="322"/>
      <c r="W749" s="322"/>
      <c r="X749" s="322"/>
      <c r="Y749" s="322"/>
      <c r="Z749" s="322"/>
    </row>
    <row r="750" ht="15.0" customHeight="1">
      <c r="A750" s="85" t="s">
        <v>7356</v>
      </c>
      <c r="B750" s="85" t="s">
        <v>7357</v>
      </c>
      <c r="C750" s="85" t="s">
        <v>147</v>
      </c>
      <c r="D750" s="78" t="s">
        <v>7358</v>
      </c>
      <c r="E750" s="78" t="s">
        <v>7359</v>
      </c>
      <c r="F750" s="78" t="s">
        <v>5372</v>
      </c>
      <c r="G750" s="99">
        <v>4.0</v>
      </c>
      <c r="H750" s="185">
        <v>4.0</v>
      </c>
      <c r="I750" s="155">
        <v>4.0</v>
      </c>
      <c r="J750" s="155">
        <v>10.0</v>
      </c>
      <c r="K750" s="155">
        <v>2.5</v>
      </c>
      <c r="L750" s="155" t="s">
        <v>159</v>
      </c>
      <c r="M750" s="322"/>
      <c r="N750" s="322"/>
      <c r="O750" s="322"/>
      <c r="P750" s="322"/>
      <c r="Q750" s="322"/>
      <c r="R750" s="322"/>
      <c r="S750" s="322"/>
      <c r="T750" s="322"/>
      <c r="U750" s="322"/>
      <c r="V750" s="322"/>
      <c r="W750" s="322"/>
      <c r="X750" s="322"/>
      <c r="Y750" s="322"/>
      <c r="Z750" s="322"/>
    </row>
    <row r="751" ht="15.0" customHeight="1">
      <c r="A751" s="85" t="s">
        <v>4876</v>
      </c>
      <c r="B751" s="85" t="s">
        <v>4877</v>
      </c>
      <c r="C751" s="85" t="s">
        <v>147</v>
      </c>
      <c r="D751" s="78" t="s">
        <v>7360</v>
      </c>
      <c r="E751" s="78" t="s">
        <v>7361</v>
      </c>
      <c r="F751" s="78" t="s">
        <v>7362</v>
      </c>
      <c r="G751" s="99">
        <v>5.0</v>
      </c>
      <c r="H751" s="185">
        <v>5.0</v>
      </c>
      <c r="I751" s="155">
        <v>5.0</v>
      </c>
      <c r="J751" s="155">
        <v>10.0</v>
      </c>
      <c r="K751" s="155">
        <v>2.0</v>
      </c>
      <c r="L751" s="155" t="s">
        <v>159</v>
      </c>
      <c r="M751" s="322"/>
      <c r="N751" s="322"/>
      <c r="O751" s="322"/>
      <c r="P751" s="322"/>
      <c r="Q751" s="322"/>
      <c r="R751" s="322"/>
      <c r="S751" s="322"/>
      <c r="T751" s="322"/>
      <c r="U751" s="322"/>
      <c r="V751" s="322"/>
      <c r="W751" s="322"/>
      <c r="X751" s="322"/>
      <c r="Y751" s="322"/>
      <c r="Z751" s="322"/>
    </row>
    <row r="752" ht="15.0" customHeight="1">
      <c r="A752" s="85" t="s">
        <v>4859</v>
      </c>
      <c r="B752" s="85" t="s">
        <v>4860</v>
      </c>
      <c r="C752" s="85" t="s">
        <v>147</v>
      </c>
      <c r="D752" s="78" t="s">
        <v>7363</v>
      </c>
      <c r="E752" s="78" t="s">
        <v>7101</v>
      </c>
      <c r="F752" s="78" t="s">
        <v>5372</v>
      </c>
      <c r="G752" s="99">
        <v>3.0</v>
      </c>
      <c r="H752" s="185">
        <v>3.0</v>
      </c>
      <c r="I752" s="155">
        <v>5.0</v>
      </c>
      <c r="J752" s="155">
        <v>10.0</v>
      </c>
      <c r="K752" s="155">
        <v>3.33</v>
      </c>
      <c r="L752" s="155" t="s">
        <v>159</v>
      </c>
      <c r="M752" s="322"/>
      <c r="N752" s="322"/>
      <c r="O752" s="322"/>
      <c r="P752" s="322"/>
      <c r="Q752" s="322"/>
      <c r="R752" s="322"/>
      <c r="S752" s="322"/>
      <c r="T752" s="322"/>
      <c r="U752" s="322"/>
      <c r="V752" s="322"/>
      <c r="W752" s="322"/>
      <c r="X752" s="322"/>
      <c r="Y752" s="322"/>
      <c r="Z752" s="322"/>
    </row>
    <row r="753" ht="15.0" customHeight="1">
      <c r="A753" s="85" t="s">
        <v>7364</v>
      </c>
      <c r="B753" s="85" t="s">
        <v>7365</v>
      </c>
      <c r="C753" s="85" t="s">
        <v>147</v>
      </c>
      <c r="D753" s="78" t="s">
        <v>7366</v>
      </c>
      <c r="E753" s="78" t="s">
        <v>7367</v>
      </c>
      <c r="F753" s="78" t="s">
        <v>5372</v>
      </c>
      <c r="G753" s="99">
        <v>3.0</v>
      </c>
      <c r="H753" s="185">
        <v>3.0</v>
      </c>
      <c r="I753" s="155">
        <v>3.0</v>
      </c>
      <c r="J753" s="155">
        <v>10.0</v>
      </c>
      <c r="K753" s="155">
        <v>3.33</v>
      </c>
      <c r="L753" s="155" t="s">
        <v>159</v>
      </c>
      <c r="M753" s="322"/>
      <c r="N753" s="322"/>
      <c r="O753" s="322"/>
      <c r="P753" s="322"/>
      <c r="Q753" s="322"/>
      <c r="R753" s="322"/>
      <c r="S753" s="322"/>
      <c r="T753" s="322"/>
      <c r="U753" s="322"/>
      <c r="V753" s="322"/>
      <c r="W753" s="322"/>
      <c r="X753" s="322"/>
      <c r="Y753" s="322"/>
      <c r="Z753" s="322"/>
    </row>
    <row r="754" ht="15.0" customHeight="1">
      <c r="A754" s="85" t="s">
        <v>4876</v>
      </c>
      <c r="B754" s="85" t="s">
        <v>4877</v>
      </c>
      <c r="C754" s="85" t="s">
        <v>147</v>
      </c>
      <c r="D754" s="78" t="s">
        <v>7368</v>
      </c>
      <c r="E754" s="78" t="s">
        <v>7369</v>
      </c>
      <c r="F754" s="78" t="s">
        <v>5372</v>
      </c>
      <c r="G754" s="99">
        <v>5.0</v>
      </c>
      <c r="H754" s="185">
        <v>5.0</v>
      </c>
      <c r="I754" s="155">
        <v>5.0</v>
      </c>
      <c r="J754" s="155">
        <v>10.0</v>
      </c>
      <c r="K754" s="155">
        <v>2.0</v>
      </c>
      <c r="L754" s="155" t="s">
        <v>159</v>
      </c>
      <c r="M754" s="322"/>
      <c r="N754" s="322"/>
      <c r="O754" s="322"/>
      <c r="P754" s="322"/>
      <c r="Q754" s="322"/>
      <c r="R754" s="322"/>
      <c r="S754" s="322"/>
      <c r="T754" s="322"/>
      <c r="U754" s="322"/>
      <c r="V754" s="322"/>
      <c r="W754" s="322"/>
      <c r="X754" s="322"/>
      <c r="Y754" s="322"/>
      <c r="Z754" s="322"/>
    </row>
    <row r="755" ht="15.0" customHeight="1">
      <c r="A755" s="85" t="s">
        <v>4863</v>
      </c>
      <c r="B755" s="85" t="s">
        <v>4864</v>
      </c>
      <c r="C755" s="85" t="s">
        <v>147</v>
      </c>
      <c r="D755" s="78" t="s">
        <v>7370</v>
      </c>
      <c r="E755" s="78" t="s">
        <v>7371</v>
      </c>
      <c r="F755" s="78" t="s">
        <v>7362</v>
      </c>
      <c r="G755" s="99">
        <v>6.0</v>
      </c>
      <c r="H755" s="185">
        <v>6.0</v>
      </c>
      <c r="I755" s="155">
        <v>6.0</v>
      </c>
      <c r="J755" s="155">
        <v>10.0</v>
      </c>
      <c r="K755" s="155">
        <v>1.67</v>
      </c>
      <c r="L755" s="155" t="s">
        <v>159</v>
      </c>
      <c r="M755" s="322"/>
      <c r="N755" s="322"/>
      <c r="O755" s="322"/>
      <c r="P755" s="322"/>
      <c r="Q755" s="322"/>
      <c r="R755" s="322"/>
      <c r="S755" s="322"/>
      <c r="T755" s="322"/>
      <c r="U755" s="322"/>
      <c r="V755" s="322"/>
      <c r="W755" s="322"/>
      <c r="X755" s="322"/>
      <c r="Y755" s="322"/>
      <c r="Z755" s="322"/>
    </row>
    <row r="756" ht="15.0" customHeight="1">
      <c r="A756" s="85" t="s">
        <v>7364</v>
      </c>
      <c r="B756" s="85" t="s">
        <v>7365</v>
      </c>
      <c r="C756" s="85" t="s">
        <v>147</v>
      </c>
      <c r="D756" s="78" t="s">
        <v>7372</v>
      </c>
      <c r="E756" s="78" t="s">
        <v>7373</v>
      </c>
      <c r="F756" s="78" t="s">
        <v>5372</v>
      </c>
      <c r="G756" s="99">
        <v>3.0</v>
      </c>
      <c r="H756" s="185">
        <v>3.0</v>
      </c>
      <c r="I756" s="155">
        <v>3.0</v>
      </c>
      <c r="J756" s="155">
        <v>10.0</v>
      </c>
      <c r="K756" s="155">
        <v>3.33</v>
      </c>
      <c r="L756" s="155" t="s">
        <v>159</v>
      </c>
      <c r="M756" s="322"/>
      <c r="N756" s="322"/>
      <c r="O756" s="322"/>
      <c r="P756" s="322"/>
      <c r="Q756" s="322"/>
      <c r="R756" s="322"/>
      <c r="S756" s="322"/>
      <c r="T756" s="322"/>
      <c r="U756" s="322"/>
      <c r="V756" s="322"/>
      <c r="W756" s="322"/>
      <c r="X756" s="322"/>
      <c r="Y756" s="322"/>
      <c r="Z756" s="322"/>
    </row>
    <row r="757" ht="15.0" customHeight="1">
      <c r="A757" s="85" t="s">
        <v>4900</v>
      </c>
      <c r="B757" s="85" t="s">
        <v>4901</v>
      </c>
      <c r="C757" s="85" t="s">
        <v>147</v>
      </c>
      <c r="D757" s="78" t="s">
        <v>7374</v>
      </c>
      <c r="E757" s="78" t="s">
        <v>7375</v>
      </c>
      <c r="F757" s="78" t="s">
        <v>5372</v>
      </c>
      <c r="G757" s="99">
        <v>2.0</v>
      </c>
      <c r="H757" s="185">
        <v>2.0</v>
      </c>
      <c r="I757" s="155">
        <v>2.0</v>
      </c>
      <c r="J757" s="155">
        <v>10.0</v>
      </c>
      <c r="K757" s="155">
        <v>5.0</v>
      </c>
      <c r="L757" s="155" t="s">
        <v>159</v>
      </c>
      <c r="M757" s="322"/>
      <c r="N757" s="322"/>
      <c r="O757" s="322"/>
      <c r="P757" s="322"/>
      <c r="Q757" s="322"/>
      <c r="R757" s="322"/>
      <c r="S757" s="322"/>
      <c r="T757" s="322"/>
      <c r="U757" s="322"/>
      <c r="V757" s="322"/>
      <c r="W757" s="322"/>
      <c r="X757" s="322"/>
      <c r="Y757" s="322"/>
      <c r="Z757" s="322"/>
    </row>
    <row r="758" ht="15.0" customHeight="1">
      <c r="A758" s="85" t="s">
        <v>4974</v>
      </c>
      <c r="B758" s="85" t="s">
        <v>4975</v>
      </c>
      <c r="C758" s="85" t="s">
        <v>147</v>
      </c>
      <c r="D758" s="78" t="s">
        <v>7374</v>
      </c>
      <c r="E758" s="78" t="s">
        <v>7375</v>
      </c>
      <c r="F758" s="78" t="s">
        <v>5372</v>
      </c>
      <c r="G758" s="99">
        <v>3.0</v>
      </c>
      <c r="H758" s="185">
        <v>3.0</v>
      </c>
      <c r="I758" s="155">
        <v>3.0</v>
      </c>
      <c r="J758" s="155">
        <v>10.0</v>
      </c>
      <c r="K758" s="155">
        <v>3.33</v>
      </c>
      <c r="L758" s="155" t="s">
        <v>159</v>
      </c>
      <c r="M758" s="322"/>
      <c r="N758" s="322"/>
      <c r="O758" s="322"/>
      <c r="P758" s="322"/>
      <c r="Q758" s="322"/>
      <c r="R758" s="322"/>
      <c r="S758" s="322"/>
      <c r="T758" s="322"/>
      <c r="U758" s="322"/>
      <c r="V758" s="322"/>
      <c r="W758" s="322"/>
      <c r="X758" s="322"/>
      <c r="Y758" s="322"/>
      <c r="Z758" s="322"/>
    </row>
    <row r="759" ht="15.0" customHeight="1">
      <c r="A759" s="85" t="s">
        <v>7376</v>
      </c>
      <c r="B759" s="85" t="s">
        <v>7377</v>
      </c>
      <c r="C759" s="85" t="s">
        <v>147</v>
      </c>
      <c r="D759" s="78" t="s">
        <v>7378</v>
      </c>
      <c r="E759" s="78" t="s">
        <v>7379</v>
      </c>
      <c r="F759" s="78" t="s">
        <v>5372</v>
      </c>
      <c r="G759" s="99">
        <v>4.0</v>
      </c>
      <c r="H759" s="185">
        <v>4.0</v>
      </c>
      <c r="I759" s="155">
        <v>4.0</v>
      </c>
      <c r="J759" s="155">
        <v>10.0</v>
      </c>
      <c r="K759" s="155">
        <v>2.5</v>
      </c>
      <c r="L759" s="155" t="s">
        <v>159</v>
      </c>
      <c r="M759" s="322"/>
      <c r="N759" s="322"/>
      <c r="O759" s="322"/>
      <c r="P759" s="322"/>
      <c r="Q759" s="322"/>
      <c r="R759" s="322"/>
      <c r="S759" s="322"/>
      <c r="T759" s="322"/>
      <c r="U759" s="322"/>
      <c r="V759" s="322"/>
      <c r="W759" s="322"/>
      <c r="X759" s="322"/>
      <c r="Y759" s="322"/>
      <c r="Z759" s="322"/>
    </row>
    <row r="760" ht="15.0" customHeight="1">
      <c r="A760" s="85" t="s">
        <v>4936</v>
      </c>
      <c r="B760" s="85" t="s">
        <v>4937</v>
      </c>
      <c r="C760" s="85" t="s">
        <v>147</v>
      </c>
      <c r="D760" s="78" t="s">
        <v>7380</v>
      </c>
      <c r="E760" s="78" t="s">
        <v>7381</v>
      </c>
      <c r="F760" s="78" t="s">
        <v>7382</v>
      </c>
      <c r="G760" s="99">
        <v>4.0</v>
      </c>
      <c r="H760" s="185">
        <v>4.0</v>
      </c>
      <c r="I760" s="155">
        <v>6.0</v>
      </c>
      <c r="J760" s="155">
        <v>20.0</v>
      </c>
      <c r="K760" s="155">
        <v>5.0</v>
      </c>
      <c r="L760" s="155" t="s">
        <v>159</v>
      </c>
      <c r="M760" s="322"/>
      <c r="N760" s="322"/>
      <c r="O760" s="322"/>
      <c r="P760" s="322"/>
      <c r="Q760" s="322"/>
      <c r="R760" s="322"/>
      <c r="S760" s="322"/>
      <c r="T760" s="322"/>
      <c r="U760" s="322"/>
      <c r="V760" s="322"/>
      <c r="W760" s="322"/>
      <c r="X760" s="322"/>
      <c r="Y760" s="322"/>
      <c r="Z760" s="322"/>
    </row>
    <row r="761" ht="15.0" customHeight="1">
      <c r="A761" s="85" t="s">
        <v>4855</v>
      </c>
      <c r="B761" s="85" t="s">
        <v>4856</v>
      </c>
      <c r="C761" s="85" t="s">
        <v>147</v>
      </c>
      <c r="D761" s="78" t="s">
        <v>7383</v>
      </c>
      <c r="E761" s="78" t="s">
        <v>7088</v>
      </c>
      <c r="F761" s="78" t="s">
        <v>5372</v>
      </c>
      <c r="G761" s="99">
        <v>2.0</v>
      </c>
      <c r="H761" s="185">
        <v>2.0</v>
      </c>
      <c r="I761" s="155">
        <v>5.0</v>
      </c>
      <c r="J761" s="155">
        <v>10.0</v>
      </c>
      <c r="K761" s="155">
        <v>5.0</v>
      </c>
      <c r="L761" s="155" t="s">
        <v>159</v>
      </c>
      <c r="M761" s="322"/>
      <c r="N761" s="322"/>
      <c r="O761" s="322"/>
      <c r="P761" s="322"/>
      <c r="Q761" s="322"/>
      <c r="R761" s="322"/>
      <c r="S761" s="322"/>
      <c r="T761" s="322"/>
      <c r="U761" s="322"/>
      <c r="V761" s="322"/>
      <c r="W761" s="322"/>
      <c r="X761" s="322"/>
      <c r="Y761" s="322"/>
      <c r="Z761" s="322"/>
    </row>
    <row r="762" ht="15.0" customHeight="1">
      <c r="A762" s="85" t="s">
        <v>4904</v>
      </c>
      <c r="B762" s="85" t="s">
        <v>4905</v>
      </c>
      <c r="C762" s="85" t="s">
        <v>147</v>
      </c>
      <c r="D762" s="78" t="s">
        <v>7384</v>
      </c>
      <c r="E762" s="78" t="s">
        <v>7385</v>
      </c>
      <c r="F762" s="78" t="s">
        <v>5372</v>
      </c>
      <c r="G762" s="99">
        <v>2.0</v>
      </c>
      <c r="H762" s="185">
        <v>2.0</v>
      </c>
      <c r="I762" s="155">
        <v>4.0</v>
      </c>
      <c r="J762" s="155">
        <v>10.0</v>
      </c>
      <c r="K762" s="155">
        <v>5.0</v>
      </c>
      <c r="L762" s="155" t="s">
        <v>159</v>
      </c>
      <c r="M762" s="322"/>
      <c r="N762" s="322"/>
      <c r="O762" s="322"/>
      <c r="P762" s="322"/>
      <c r="Q762" s="322"/>
      <c r="R762" s="322"/>
      <c r="S762" s="322"/>
      <c r="T762" s="322"/>
      <c r="U762" s="322"/>
      <c r="V762" s="322"/>
      <c r="W762" s="322"/>
      <c r="X762" s="322"/>
      <c r="Y762" s="322"/>
      <c r="Z762" s="322"/>
    </row>
    <row r="763" ht="15.0" customHeight="1">
      <c r="A763" s="85" t="s">
        <v>4855</v>
      </c>
      <c r="B763" s="85" t="s">
        <v>4856</v>
      </c>
      <c r="C763" s="85" t="s">
        <v>147</v>
      </c>
      <c r="D763" s="78" t="s">
        <v>7386</v>
      </c>
      <c r="E763" s="78" t="s">
        <v>7387</v>
      </c>
      <c r="F763" s="78" t="s">
        <v>5372</v>
      </c>
      <c r="G763" s="99">
        <v>2.0</v>
      </c>
      <c r="H763" s="185">
        <v>2.0</v>
      </c>
      <c r="I763" s="155">
        <v>5.0</v>
      </c>
      <c r="J763" s="155">
        <v>10.0</v>
      </c>
      <c r="K763" s="155">
        <v>5.0</v>
      </c>
      <c r="L763" s="155" t="s">
        <v>159</v>
      </c>
      <c r="M763" s="322"/>
      <c r="N763" s="322"/>
      <c r="O763" s="322"/>
      <c r="P763" s="322"/>
      <c r="Q763" s="322"/>
      <c r="R763" s="322"/>
      <c r="S763" s="322"/>
      <c r="T763" s="322"/>
      <c r="U763" s="322"/>
      <c r="V763" s="322"/>
      <c r="W763" s="322"/>
      <c r="X763" s="322"/>
      <c r="Y763" s="322"/>
      <c r="Z763" s="322"/>
    </row>
    <row r="764" ht="15.0" customHeight="1">
      <c r="A764" s="85" t="s">
        <v>4855</v>
      </c>
      <c r="B764" s="85" t="s">
        <v>4856</v>
      </c>
      <c r="C764" s="85" t="s">
        <v>147</v>
      </c>
      <c r="D764" s="78" t="s">
        <v>7388</v>
      </c>
      <c r="E764" s="78" t="s">
        <v>7389</v>
      </c>
      <c r="F764" s="78" t="s">
        <v>5372</v>
      </c>
      <c r="G764" s="99">
        <v>2.0</v>
      </c>
      <c r="H764" s="185">
        <v>2.0</v>
      </c>
      <c r="I764" s="155">
        <v>5.0</v>
      </c>
      <c r="J764" s="155">
        <v>10.0</v>
      </c>
      <c r="K764" s="155">
        <v>5.0</v>
      </c>
      <c r="L764" s="155" t="s">
        <v>159</v>
      </c>
      <c r="M764" s="322"/>
      <c r="N764" s="322"/>
      <c r="O764" s="322"/>
      <c r="P764" s="322"/>
      <c r="Q764" s="322"/>
      <c r="R764" s="322"/>
      <c r="S764" s="322"/>
      <c r="T764" s="322"/>
      <c r="U764" s="322"/>
      <c r="V764" s="322"/>
      <c r="W764" s="322"/>
      <c r="X764" s="322"/>
      <c r="Y764" s="322"/>
      <c r="Z764" s="322"/>
    </row>
    <row r="765" ht="15.0" customHeight="1">
      <c r="A765" s="85" t="s">
        <v>4855</v>
      </c>
      <c r="B765" s="85" t="s">
        <v>4856</v>
      </c>
      <c r="C765" s="85" t="s">
        <v>147</v>
      </c>
      <c r="D765" s="78" t="s">
        <v>7390</v>
      </c>
      <c r="E765" s="78" t="s">
        <v>7391</v>
      </c>
      <c r="F765" s="78" t="s">
        <v>5372</v>
      </c>
      <c r="G765" s="99">
        <v>2.0</v>
      </c>
      <c r="H765" s="185">
        <v>2.0</v>
      </c>
      <c r="I765" s="155">
        <v>5.0</v>
      </c>
      <c r="J765" s="155">
        <v>10.0</v>
      </c>
      <c r="K765" s="155">
        <v>5.0</v>
      </c>
      <c r="L765" s="155" t="s">
        <v>159</v>
      </c>
      <c r="M765" s="322"/>
      <c r="N765" s="322"/>
      <c r="O765" s="322"/>
      <c r="P765" s="322"/>
      <c r="Q765" s="322"/>
      <c r="R765" s="322"/>
      <c r="S765" s="322"/>
      <c r="T765" s="322"/>
      <c r="U765" s="322"/>
      <c r="V765" s="322"/>
      <c r="W765" s="322"/>
      <c r="X765" s="322"/>
      <c r="Y765" s="322"/>
      <c r="Z765" s="322"/>
    </row>
    <row r="766" ht="15.0" customHeight="1">
      <c r="A766" s="85" t="s">
        <v>4859</v>
      </c>
      <c r="B766" s="85" t="s">
        <v>4860</v>
      </c>
      <c r="C766" s="85" t="s">
        <v>147</v>
      </c>
      <c r="D766" s="78" t="s">
        <v>7392</v>
      </c>
      <c r="E766" s="78" t="s">
        <v>7393</v>
      </c>
      <c r="F766" s="78" t="s">
        <v>5372</v>
      </c>
      <c r="G766" s="99">
        <v>3.0</v>
      </c>
      <c r="H766" s="185">
        <v>3.0</v>
      </c>
      <c r="I766" s="155">
        <v>5.0</v>
      </c>
      <c r="J766" s="155">
        <v>10.0</v>
      </c>
      <c r="K766" s="155">
        <v>3.33</v>
      </c>
      <c r="L766" s="155" t="s">
        <v>159</v>
      </c>
      <c r="M766" s="322"/>
      <c r="N766" s="322"/>
      <c r="O766" s="322"/>
      <c r="P766" s="322"/>
      <c r="Q766" s="322"/>
      <c r="R766" s="322"/>
      <c r="S766" s="322"/>
      <c r="T766" s="322"/>
      <c r="U766" s="322"/>
      <c r="V766" s="322"/>
      <c r="W766" s="322"/>
      <c r="X766" s="322"/>
      <c r="Y766" s="322"/>
      <c r="Z766" s="322"/>
    </row>
    <row r="767" ht="15.0" customHeight="1">
      <c r="A767" s="85" t="s">
        <v>4974</v>
      </c>
      <c r="B767" s="85" t="s">
        <v>7394</v>
      </c>
      <c r="C767" s="85" t="s">
        <v>147</v>
      </c>
      <c r="D767" s="78" t="s">
        <v>7395</v>
      </c>
      <c r="E767" s="78" t="s">
        <v>7396</v>
      </c>
      <c r="F767" s="78" t="s">
        <v>5372</v>
      </c>
      <c r="G767" s="99">
        <v>3.0</v>
      </c>
      <c r="H767" s="185">
        <v>3.0</v>
      </c>
      <c r="I767" s="155">
        <v>3.0</v>
      </c>
      <c r="J767" s="155">
        <v>10.0</v>
      </c>
      <c r="K767" s="155">
        <v>3.33</v>
      </c>
      <c r="L767" s="155" t="s">
        <v>159</v>
      </c>
      <c r="M767" s="322"/>
      <c r="N767" s="322"/>
      <c r="O767" s="322"/>
      <c r="P767" s="322"/>
      <c r="Q767" s="322"/>
      <c r="R767" s="322"/>
      <c r="S767" s="322"/>
      <c r="T767" s="322"/>
      <c r="U767" s="322"/>
      <c r="V767" s="322"/>
      <c r="W767" s="322"/>
      <c r="X767" s="322"/>
      <c r="Y767" s="322"/>
      <c r="Z767" s="322"/>
    </row>
    <row r="768" ht="15.0" customHeight="1">
      <c r="A768" s="85" t="s">
        <v>7397</v>
      </c>
      <c r="B768" s="85" t="s">
        <v>7398</v>
      </c>
      <c r="C768" s="85" t="s">
        <v>147</v>
      </c>
      <c r="D768" s="78" t="s">
        <v>7399</v>
      </c>
      <c r="E768" s="78" t="s">
        <v>7400</v>
      </c>
      <c r="F768" s="78" t="s">
        <v>7401</v>
      </c>
      <c r="G768" s="99"/>
      <c r="H768" s="185">
        <v>2.0</v>
      </c>
      <c r="I768" s="155">
        <v>2.0</v>
      </c>
      <c r="J768" s="155">
        <v>10.0</v>
      </c>
      <c r="K768" s="155">
        <v>5.0</v>
      </c>
      <c r="L768" s="155" t="s">
        <v>164</v>
      </c>
      <c r="M768" s="322"/>
      <c r="N768" s="322"/>
      <c r="O768" s="322"/>
      <c r="P768" s="322"/>
      <c r="Q768" s="322"/>
      <c r="R768" s="322"/>
      <c r="S768" s="322"/>
      <c r="T768" s="322"/>
      <c r="U768" s="322"/>
      <c r="V768" s="322"/>
      <c r="W768" s="322"/>
      <c r="X768" s="322"/>
      <c r="Y768" s="322"/>
      <c r="Z768" s="322"/>
    </row>
    <row r="769" ht="15.0" customHeight="1">
      <c r="A769" s="85" t="s">
        <v>7397</v>
      </c>
      <c r="B769" s="85" t="s">
        <v>7398</v>
      </c>
      <c r="C769" s="85" t="s">
        <v>147</v>
      </c>
      <c r="D769" s="78" t="s">
        <v>7402</v>
      </c>
      <c r="E769" s="78" t="s">
        <v>7403</v>
      </c>
      <c r="F769" s="78" t="s">
        <v>7401</v>
      </c>
      <c r="G769" s="99"/>
      <c r="H769" s="185">
        <v>2.0</v>
      </c>
      <c r="I769" s="155">
        <v>2.0</v>
      </c>
      <c r="J769" s="155">
        <v>10.0</v>
      </c>
      <c r="K769" s="155">
        <v>5.0</v>
      </c>
      <c r="L769" s="155" t="s">
        <v>164</v>
      </c>
      <c r="M769" s="322"/>
      <c r="N769" s="322"/>
      <c r="O769" s="322"/>
      <c r="P769" s="322"/>
      <c r="Q769" s="322"/>
      <c r="R769" s="322"/>
      <c r="S769" s="322"/>
      <c r="T769" s="322"/>
      <c r="U769" s="322"/>
      <c r="V769" s="322"/>
      <c r="W769" s="322"/>
      <c r="X769" s="322"/>
      <c r="Y769" s="322"/>
      <c r="Z769" s="322"/>
    </row>
    <row r="770" ht="15.0" customHeight="1">
      <c r="A770" s="85" t="s">
        <v>7397</v>
      </c>
      <c r="B770" s="85" t="s">
        <v>7398</v>
      </c>
      <c r="C770" s="85" t="s">
        <v>147</v>
      </c>
      <c r="D770" s="78" t="s">
        <v>7404</v>
      </c>
      <c r="E770" s="78" t="s">
        <v>7405</v>
      </c>
      <c r="F770" s="78" t="s">
        <v>7401</v>
      </c>
      <c r="G770" s="99"/>
      <c r="H770" s="185">
        <v>2.0</v>
      </c>
      <c r="I770" s="155">
        <v>2.0</v>
      </c>
      <c r="J770" s="155">
        <v>10.0</v>
      </c>
      <c r="K770" s="155">
        <v>5.0</v>
      </c>
      <c r="L770" s="155" t="s">
        <v>164</v>
      </c>
      <c r="M770" s="322"/>
      <c r="N770" s="322"/>
      <c r="O770" s="322"/>
      <c r="P770" s="322"/>
      <c r="Q770" s="322"/>
      <c r="R770" s="322"/>
      <c r="S770" s="322"/>
      <c r="T770" s="322"/>
      <c r="U770" s="322"/>
      <c r="V770" s="322"/>
      <c r="W770" s="322"/>
      <c r="X770" s="322"/>
      <c r="Y770" s="322"/>
      <c r="Z770" s="322"/>
    </row>
    <row r="771" ht="15.0" customHeight="1">
      <c r="A771" s="85" t="s">
        <v>7397</v>
      </c>
      <c r="B771" s="85" t="s">
        <v>7398</v>
      </c>
      <c r="C771" s="85" t="s">
        <v>147</v>
      </c>
      <c r="D771" s="78" t="s">
        <v>7406</v>
      </c>
      <c r="E771" s="78" t="s">
        <v>7407</v>
      </c>
      <c r="F771" s="78" t="s">
        <v>7401</v>
      </c>
      <c r="G771" s="99"/>
      <c r="H771" s="185">
        <v>2.0</v>
      </c>
      <c r="I771" s="155">
        <v>2.0</v>
      </c>
      <c r="J771" s="155">
        <v>10.0</v>
      </c>
      <c r="K771" s="155">
        <v>5.0</v>
      </c>
      <c r="L771" s="155" t="s">
        <v>164</v>
      </c>
      <c r="M771" s="322"/>
      <c r="N771" s="322"/>
      <c r="O771" s="322"/>
      <c r="P771" s="322"/>
      <c r="Q771" s="322"/>
      <c r="R771" s="322"/>
      <c r="S771" s="322"/>
      <c r="T771" s="322"/>
      <c r="U771" s="322"/>
      <c r="V771" s="322"/>
      <c r="W771" s="322"/>
      <c r="X771" s="322"/>
      <c r="Y771" s="322"/>
      <c r="Z771" s="322"/>
    </row>
    <row r="772" ht="15.0" customHeight="1">
      <c r="A772" s="85" t="s">
        <v>7408</v>
      </c>
      <c r="B772" s="85" t="s">
        <v>7409</v>
      </c>
      <c r="C772" s="85" t="s">
        <v>147</v>
      </c>
      <c r="D772" s="78" t="s">
        <v>7410</v>
      </c>
      <c r="E772" s="78" t="s">
        <v>7411</v>
      </c>
      <c r="F772" s="78" t="s">
        <v>7401</v>
      </c>
      <c r="G772" s="99"/>
      <c r="H772" s="185">
        <v>2.0</v>
      </c>
      <c r="I772" s="155">
        <v>2.0</v>
      </c>
      <c r="J772" s="155">
        <v>10.0</v>
      </c>
      <c r="K772" s="155">
        <v>5.0</v>
      </c>
      <c r="L772" s="155" t="s">
        <v>164</v>
      </c>
      <c r="M772" s="322"/>
      <c r="N772" s="322"/>
      <c r="O772" s="322"/>
      <c r="P772" s="322"/>
      <c r="Q772" s="322"/>
      <c r="R772" s="322"/>
      <c r="S772" s="322"/>
      <c r="T772" s="322"/>
      <c r="U772" s="322"/>
      <c r="V772" s="322"/>
      <c r="W772" s="322"/>
      <c r="X772" s="322"/>
      <c r="Y772" s="322"/>
      <c r="Z772" s="322"/>
    </row>
    <row r="773" ht="15.0" customHeight="1">
      <c r="A773" s="85" t="s">
        <v>7412</v>
      </c>
      <c r="B773" s="85" t="s">
        <v>7413</v>
      </c>
      <c r="C773" s="85" t="s">
        <v>147</v>
      </c>
      <c r="D773" s="78" t="s">
        <v>7414</v>
      </c>
      <c r="E773" s="78" t="s">
        <v>7415</v>
      </c>
      <c r="F773" s="78" t="s">
        <v>7416</v>
      </c>
      <c r="G773" s="99">
        <v>1.0</v>
      </c>
      <c r="H773" s="185">
        <v>1.0</v>
      </c>
      <c r="I773" s="155">
        <v>1.0</v>
      </c>
      <c r="J773" s="155">
        <v>20.0</v>
      </c>
      <c r="K773" s="155">
        <v>20.0</v>
      </c>
      <c r="L773" s="155" t="s">
        <v>5626</v>
      </c>
      <c r="M773" s="322"/>
      <c r="N773" s="322"/>
      <c r="O773" s="322"/>
      <c r="P773" s="322"/>
      <c r="Q773" s="322"/>
      <c r="R773" s="322"/>
      <c r="S773" s="322"/>
      <c r="T773" s="322"/>
      <c r="U773" s="322"/>
      <c r="V773" s="322"/>
      <c r="W773" s="322"/>
      <c r="X773" s="322"/>
      <c r="Y773" s="322"/>
      <c r="Z773" s="322"/>
    </row>
    <row r="774" ht="15.0" customHeight="1">
      <c r="A774" s="85" t="s">
        <v>7412</v>
      </c>
      <c r="B774" s="85" t="s">
        <v>7413</v>
      </c>
      <c r="C774" s="85" t="s">
        <v>147</v>
      </c>
      <c r="D774" s="78" t="s">
        <v>7417</v>
      </c>
      <c r="E774" s="78" t="s">
        <v>7418</v>
      </c>
      <c r="F774" s="78" t="s">
        <v>7416</v>
      </c>
      <c r="G774" s="99">
        <v>1.0</v>
      </c>
      <c r="H774" s="185">
        <v>1.0</v>
      </c>
      <c r="I774" s="155">
        <v>1.0</v>
      </c>
      <c r="J774" s="155">
        <v>20.0</v>
      </c>
      <c r="K774" s="155">
        <v>20.0</v>
      </c>
      <c r="L774" s="155" t="s">
        <v>5626</v>
      </c>
      <c r="M774" s="322"/>
      <c r="N774" s="322"/>
      <c r="O774" s="322"/>
      <c r="P774" s="322"/>
      <c r="Q774" s="322"/>
      <c r="R774" s="322"/>
      <c r="S774" s="322"/>
      <c r="T774" s="322"/>
      <c r="U774" s="322"/>
      <c r="V774" s="322"/>
      <c r="W774" s="322"/>
      <c r="X774" s="322"/>
      <c r="Y774" s="322"/>
      <c r="Z774" s="322"/>
    </row>
    <row r="775" ht="15.0" customHeight="1">
      <c r="A775" s="85" t="s">
        <v>7419</v>
      </c>
      <c r="B775" s="85" t="s">
        <v>7420</v>
      </c>
      <c r="C775" s="85" t="s">
        <v>147</v>
      </c>
      <c r="D775" s="78" t="s">
        <v>7421</v>
      </c>
      <c r="E775" s="78" t="s">
        <v>7422</v>
      </c>
      <c r="F775" s="78" t="s">
        <v>7423</v>
      </c>
      <c r="G775" s="99">
        <v>6.0</v>
      </c>
      <c r="H775" s="185">
        <v>1.0</v>
      </c>
      <c r="I775" s="155">
        <v>6.0</v>
      </c>
      <c r="J775" s="155">
        <v>20.0</v>
      </c>
      <c r="K775" s="155">
        <v>3.33</v>
      </c>
      <c r="L775" s="155" t="s">
        <v>168</v>
      </c>
      <c r="M775" s="322"/>
      <c r="N775" s="322"/>
      <c r="O775" s="322"/>
      <c r="P775" s="322"/>
      <c r="Q775" s="322"/>
      <c r="R775" s="322"/>
      <c r="S775" s="322"/>
      <c r="T775" s="322"/>
      <c r="U775" s="322"/>
      <c r="V775" s="322"/>
      <c r="W775" s="322"/>
      <c r="X775" s="322"/>
      <c r="Y775" s="322"/>
      <c r="Z775" s="322"/>
    </row>
    <row r="776" ht="15.0" customHeight="1">
      <c r="A776" s="85" t="s">
        <v>7419</v>
      </c>
      <c r="B776" s="85" t="s">
        <v>7420</v>
      </c>
      <c r="C776" s="85" t="s">
        <v>147</v>
      </c>
      <c r="D776" s="78" t="s">
        <v>7424</v>
      </c>
      <c r="E776" s="78" t="s">
        <v>7425</v>
      </c>
      <c r="F776" s="78" t="s">
        <v>7426</v>
      </c>
      <c r="G776" s="99">
        <v>6.0</v>
      </c>
      <c r="H776" s="185">
        <v>1.0</v>
      </c>
      <c r="I776" s="155">
        <v>6.0</v>
      </c>
      <c r="J776" s="155">
        <v>20.0</v>
      </c>
      <c r="K776" s="155">
        <v>3.33</v>
      </c>
      <c r="L776" s="155" t="s">
        <v>168</v>
      </c>
      <c r="M776" s="322"/>
      <c r="N776" s="322"/>
      <c r="O776" s="322"/>
      <c r="P776" s="322"/>
      <c r="Q776" s="322"/>
      <c r="R776" s="322"/>
      <c r="S776" s="322"/>
      <c r="T776" s="322"/>
      <c r="U776" s="322"/>
      <c r="V776" s="322"/>
      <c r="W776" s="322"/>
      <c r="X776" s="322"/>
      <c r="Y776" s="322"/>
      <c r="Z776" s="322"/>
    </row>
    <row r="777" ht="15.0" customHeight="1">
      <c r="A777" s="85" t="s">
        <v>5047</v>
      </c>
      <c r="B777" s="85" t="s">
        <v>5048</v>
      </c>
      <c r="C777" s="85" t="s">
        <v>147</v>
      </c>
      <c r="D777" s="78" t="s">
        <v>7427</v>
      </c>
      <c r="E777" s="78" t="s">
        <v>7428</v>
      </c>
      <c r="F777" s="78" t="s">
        <v>7429</v>
      </c>
      <c r="G777" s="99">
        <v>5.0</v>
      </c>
      <c r="H777" s="185">
        <v>1.0</v>
      </c>
      <c r="I777" s="155">
        <v>5.0</v>
      </c>
      <c r="J777" s="155">
        <v>20.0</v>
      </c>
      <c r="K777" s="155">
        <v>4.0</v>
      </c>
      <c r="L777" s="155" t="s">
        <v>168</v>
      </c>
      <c r="M777" s="322"/>
      <c r="N777" s="322"/>
      <c r="O777" s="322"/>
      <c r="P777" s="322"/>
      <c r="Q777" s="322"/>
      <c r="R777" s="322"/>
      <c r="S777" s="322"/>
      <c r="T777" s="322"/>
      <c r="U777" s="322"/>
      <c r="V777" s="322"/>
      <c r="W777" s="322"/>
      <c r="X777" s="322"/>
      <c r="Y777" s="322"/>
      <c r="Z777" s="322"/>
    </row>
    <row r="778" ht="15.0" customHeight="1">
      <c r="A778" s="85" t="s">
        <v>7430</v>
      </c>
      <c r="B778" s="85" t="s">
        <v>7431</v>
      </c>
      <c r="C778" s="85" t="s">
        <v>7432</v>
      </c>
      <c r="D778" s="78" t="s">
        <v>7433</v>
      </c>
      <c r="E778" s="78" t="s">
        <v>7434</v>
      </c>
      <c r="F778" s="78" t="s">
        <v>7435</v>
      </c>
      <c r="G778" s="99">
        <v>1.0</v>
      </c>
      <c r="H778" s="185">
        <v>1.0</v>
      </c>
      <c r="I778" s="155">
        <v>3.0</v>
      </c>
      <c r="J778" s="155">
        <v>20.0</v>
      </c>
      <c r="K778" s="155">
        <v>20.0</v>
      </c>
      <c r="L778" s="155" t="s">
        <v>168</v>
      </c>
      <c r="M778" s="322"/>
      <c r="N778" s="322"/>
      <c r="O778" s="322"/>
      <c r="P778" s="322"/>
      <c r="Q778" s="322"/>
      <c r="R778" s="322"/>
      <c r="S778" s="322"/>
      <c r="T778" s="322"/>
      <c r="U778" s="322"/>
      <c r="V778" s="322"/>
      <c r="W778" s="322"/>
      <c r="X778" s="322"/>
      <c r="Y778" s="322"/>
      <c r="Z778" s="322"/>
    </row>
    <row r="779" ht="15.0" customHeight="1">
      <c r="A779" s="85" t="s">
        <v>7430</v>
      </c>
      <c r="B779" s="85" t="s">
        <v>7431</v>
      </c>
      <c r="C779" s="85" t="s">
        <v>7432</v>
      </c>
      <c r="D779" s="78" t="s">
        <v>7436</v>
      </c>
      <c r="E779" s="78" t="s">
        <v>7437</v>
      </c>
      <c r="F779" s="78" t="s">
        <v>7429</v>
      </c>
      <c r="G779" s="99">
        <v>1.0</v>
      </c>
      <c r="H779" s="185">
        <v>1.0</v>
      </c>
      <c r="I779" s="155">
        <v>3.0</v>
      </c>
      <c r="J779" s="155">
        <v>20.0</v>
      </c>
      <c r="K779" s="155">
        <v>20.0</v>
      </c>
      <c r="L779" s="155" t="s">
        <v>168</v>
      </c>
      <c r="M779" s="322"/>
      <c r="N779" s="322"/>
      <c r="O779" s="322"/>
      <c r="P779" s="322"/>
      <c r="Q779" s="322"/>
      <c r="R779" s="322"/>
      <c r="S779" s="322"/>
      <c r="T779" s="322"/>
      <c r="U779" s="322"/>
      <c r="V779" s="322"/>
      <c r="W779" s="322"/>
      <c r="X779" s="322"/>
      <c r="Y779" s="322"/>
      <c r="Z779" s="322"/>
    </row>
    <row r="780" ht="15.0" customHeight="1">
      <c r="A780" s="85" t="s">
        <v>7438</v>
      </c>
      <c r="B780" s="85" t="s">
        <v>7439</v>
      </c>
      <c r="C780" s="85" t="s">
        <v>147</v>
      </c>
      <c r="D780" s="78" t="s">
        <v>7440</v>
      </c>
      <c r="E780" s="78" t="s">
        <v>7441</v>
      </c>
      <c r="F780" s="78" t="s">
        <v>7442</v>
      </c>
      <c r="G780" s="99">
        <v>4.0</v>
      </c>
      <c r="H780" s="185">
        <v>1.0</v>
      </c>
      <c r="I780" s="155">
        <v>4.0</v>
      </c>
      <c r="J780" s="155">
        <v>20.0</v>
      </c>
      <c r="K780" s="155">
        <v>5.0</v>
      </c>
      <c r="L780" s="155" t="s">
        <v>168</v>
      </c>
      <c r="M780" s="322"/>
      <c r="N780" s="322"/>
      <c r="O780" s="322"/>
      <c r="P780" s="322"/>
      <c r="Q780" s="322"/>
      <c r="R780" s="322"/>
      <c r="S780" s="322"/>
      <c r="T780" s="322"/>
      <c r="U780" s="322"/>
      <c r="V780" s="322"/>
      <c r="W780" s="322"/>
      <c r="X780" s="322"/>
      <c r="Y780" s="322"/>
      <c r="Z780" s="322"/>
    </row>
    <row r="781" ht="15.0" customHeight="1">
      <c r="A781" s="85" t="s">
        <v>7443</v>
      </c>
      <c r="B781" s="85" t="s">
        <v>5644</v>
      </c>
      <c r="C781" s="85" t="s">
        <v>147</v>
      </c>
      <c r="D781" s="78" t="s">
        <v>7444</v>
      </c>
      <c r="E781" s="78" t="s">
        <v>7445</v>
      </c>
      <c r="F781" s="78" t="s">
        <v>5372</v>
      </c>
      <c r="G781" s="99">
        <v>3.0</v>
      </c>
      <c r="H781" s="185">
        <v>3.0</v>
      </c>
      <c r="I781" s="155">
        <v>3.0</v>
      </c>
      <c r="J781" s="155">
        <v>10.0</v>
      </c>
      <c r="K781" s="155">
        <v>3.33</v>
      </c>
      <c r="L781" s="155" t="s">
        <v>171</v>
      </c>
      <c r="M781" s="322"/>
      <c r="N781" s="322"/>
      <c r="O781" s="322"/>
      <c r="P781" s="322"/>
      <c r="Q781" s="322"/>
      <c r="R781" s="322"/>
      <c r="S781" s="322"/>
      <c r="T781" s="322"/>
      <c r="U781" s="322"/>
      <c r="V781" s="322"/>
      <c r="W781" s="322"/>
      <c r="X781" s="322"/>
      <c r="Y781" s="322"/>
      <c r="Z781" s="322"/>
    </row>
    <row r="782" ht="15.0" customHeight="1">
      <c r="A782" s="85" t="s">
        <v>7443</v>
      </c>
      <c r="B782" s="85" t="s">
        <v>5644</v>
      </c>
      <c r="C782" s="85" t="s">
        <v>147</v>
      </c>
      <c r="D782" s="78" t="s">
        <v>7446</v>
      </c>
      <c r="E782" s="78" t="s">
        <v>7447</v>
      </c>
      <c r="F782" s="78" t="s">
        <v>5372</v>
      </c>
      <c r="G782" s="99">
        <v>3.0</v>
      </c>
      <c r="H782" s="185">
        <v>3.0</v>
      </c>
      <c r="I782" s="155">
        <v>3.0</v>
      </c>
      <c r="J782" s="155">
        <v>10.0</v>
      </c>
      <c r="K782" s="155">
        <v>3.33</v>
      </c>
      <c r="L782" s="155" t="s">
        <v>171</v>
      </c>
      <c r="M782" s="322"/>
      <c r="N782" s="322"/>
      <c r="O782" s="322"/>
      <c r="P782" s="322"/>
      <c r="Q782" s="322"/>
      <c r="R782" s="322"/>
      <c r="S782" s="322"/>
      <c r="T782" s="322"/>
      <c r="U782" s="322"/>
      <c r="V782" s="322"/>
      <c r="W782" s="322"/>
      <c r="X782" s="322"/>
      <c r="Y782" s="322"/>
      <c r="Z782" s="322"/>
    </row>
    <row r="783" ht="15.0" customHeight="1">
      <c r="A783" s="85" t="s">
        <v>7443</v>
      </c>
      <c r="B783" s="85" t="s">
        <v>5644</v>
      </c>
      <c r="C783" s="85" t="s">
        <v>147</v>
      </c>
      <c r="D783" s="78" t="s">
        <v>7448</v>
      </c>
      <c r="E783" s="78" t="s">
        <v>7449</v>
      </c>
      <c r="F783" s="78" t="s">
        <v>5372</v>
      </c>
      <c r="G783" s="99">
        <v>3.0</v>
      </c>
      <c r="H783" s="185">
        <v>3.0</v>
      </c>
      <c r="I783" s="155">
        <v>3.0</v>
      </c>
      <c r="J783" s="155">
        <v>10.0</v>
      </c>
      <c r="K783" s="155">
        <v>3.33</v>
      </c>
      <c r="L783" s="155" t="s">
        <v>171</v>
      </c>
      <c r="M783" s="322"/>
      <c r="N783" s="322"/>
      <c r="O783" s="322"/>
      <c r="P783" s="322"/>
      <c r="Q783" s="322"/>
      <c r="R783" s="322"/>
      <c r="S783" s="322"/>
      <c r="T783" s="322"/>
      <c r="U783" s="322"/>
      <c r="V783" s="322"/>
      <c r="W783" s="322"/>
      <c r="X783" s="322"/>
      <c r="Y783" s="322"/>
      <c r="Z783" s="322"/>
    </row>
    <row r="784" ht="15.0" customHeight="1">
      <c r="A784" s="85" t="s">
        <v>7443</v>
      </c>
      <c r="B784" s="85" t="s">
        <v>5644</v>
      </c>
      <c r="C784" s="85" t="s">
        <v>147</v>
      </c>
      <c r="D784" s="78" t="s">
        <v>7450</v>
      </c>
      <c r="E784" s="78" t="s">
        <v>7451</v>
      </c>
      <c r="F784" s="78" t="s">
        <v>5372</v>
      </c>
      <c r="G784" s="99">
        <v>3.0</v>
      </c>
      <c r="H784" s="185">
        <v>3.0</v>
      </c>
      <c r="I784" s="155">
        <v>3.0</v>
      </c>
      <c r="J784" s="155">
        <v>10.0</v>
      </c>
      <c r="K784" s="155">
        <v>3.33</v>
      </c>
      <c r="L784" s="155" t="s">
        <v>171</v>
      </c>
      <c r="M784" s="322"/>
      <c r="N784" s="322"/>
      <c r="O784" s="322"/>
      <c r="P784" s="322"/>
      <c r="Q784" s="322"/>
      <c r="R784" s="322"/>
      <c r="S784" s="322"/>
      <c r="T784" s="322"/>
      <c r="U784" s="322"/>
      <c r="V784" s="322"/>
      <c r="W784" s="322"/>
      <c r="X784" s="322"/>
      <c r="Y784" s="322"/>
      <c r="Z784" s="322"/>
    </row>
    <row r="785" ht="15.0" customHeight="1">
      <c r="A785" s="85" t="s">
        <v>7443</v>
      </c>
      <c r="B785" s="85" t="s">
        <v>5644</v>
      </c>
      <c r="C785" s="85" t="s">
        <v>147</v>
      </c>
      <c r="D785" s="78" t="s">
        <v>7452</v>
      </c>
      <c r="E785" s="78" t="s">
        <v>7453</v>
      </c>
      <c r="F785" s="78" t="s">
        <v>5372</v>
      </c>
      <c r="G785" s="99">
        <v>3.0</v>
      </c>
      <c r="H785" s="185">
        <v>3.0</v>
      </c>
      <c r="I785" s="155">
        <v>3.0</v>
      </c>
      <c r="J785" s="155">
        <v>10.0</v>
      </c>
      <c r="K785" s="155">
        <v>3.33</v>
      </c>
      <c r="L785" s="155" t="s">
        <v>171</v>
      </c>
      <c r="M785" s="322"/>
      <c r="N785" s="322"/>
      <c r="O785" s="322"/>
      <c r="P785" s="322"/>
      <c r="Q785" s="322"/>
      <c r="R785" s="322"/>
      <c r="S785" s="322"/>
      <c r="T785" s="322"/>
      <c r="U785" s="322"/>
      <c r="V785" s="322"/>
      <c r="W785" s="322"/>
      <c r="X785" s="322"/>
      <c r="Y785" s="322"/>
      <c r="Z785" s="322"/>
    </row>
    <row r="786" ht="15.0" customHeight="1">
      <c r="A786" s="85" t="s">
        <v>7443</v>
      </c>
      <c r="B786" s="85" t="s">
        <v>5644</v>
      </c>
      <c r="C786" s="85" t="s">
        <v>147</v>
      </c>
      <c r="D786" s="78" t="s">
        <v>7454</v>
      </c>
      <c r="E786" s="78" t="s">
        <v>7455</v>
      </c>
      <c r="F786" s="78" t="s">
        <v>5372</v>
      </c>
      <c r="G786" s="99">
        <v>3.0</v>
      </c>
      <c r="H786" s="185">
        <v>3.0</v>
      </c>
      <c r="I786" s="155">
        <v>3.0</v>
      </c>
      <c r="J786" s="155">
        <v>10.0</v>
      </c>
      <c r="K786" s="155">
        <v>3.33</v>
      </c>
      <c r="L786" s="155" t="s">
        <v>171</v>
      </c>
      <c r="M786" s="322"/>
      <c r="N786" s="322"/>
      <c r="O786" s="322"/>
      <c r="P786" s="322"/>
      <c r="Q786" s="322"/>
      <c r="R786" s="322"/>
      <c r="S786" s="322"/>
      <c r="T786" s="322"/>
      <c r="U786" s="322"/>
      <c r="V786" s="322"/>
      <c r="W786" s="322"/>
      <c r="X786" s="322"/>
      <c r="Y786" s="322"/>
      <c r="Z786" s="322"/>
    </row>
    <row r="787" ht="15.0" customHeight="1">
      <c r="A787" s="85" t="s">
        <v>7443</v>
      </c>
      <c r="B787" s="85" t="s">
        <v>5644</v>
      </c>
      <c r="C787" s="85" t="s">
        <v>147</v>
      </c>
      <c r="D787" s="78" t="s">
        <v>7456</v>
      </c>
      <c r="E787" s="78" t="s">
        <v>7457</v>
      </c>
      <c r="F787" s="78" t="s">
        <v>5372</v>
      </c>
      <c r="G787" s="99">
        <v>3.0</v>
      </c>
      <c r="H787" s="185">
        <v>3.0</v>
      </c>
      <c r="I787" s="155">
        <v>3.0</v>
      </c>
      <c r="J787" s="155">
        <v>10.0</v>
      </c>
      <c r="K787" s="155">
        <v>3.33</v>
      </c>
      <c r="L787" s="155" t="s">
        <v>171</v>
      </c>
      <c r="M787" s="322"/>
      <c r="N787" s="322"/>
      <c r="O787" s="322"/>
      <c r="P787" s="322"/>
      <c r="Q787" s="322"/>
      <c r="R787" s="322"/>
      <c r="S787" s="322"/>
      <c r="T787" s="322"/>
      <c r="U787" s="322"/>
      <c r="V787" s="322"/>
      <c r="W787" s="322"/>
      <c r="X787" s="322"/>
      <c r="Y787" s="322"/>
      <c r="Z787" s="322"/>
    </row>
    <row r="788" ht="15.0" customHeight="1">
      <c r="A788" s="85" t="s">
        <v>7443</v>
      </c>
      <c r="B788" s="85" t="s">
        <v>5644</v>
      </c>
      <c r="C788" s="85" t="s">
        <v>147</v>
      </c>
      <c r="D788" s="78" t="s">
        <v>7458</v>
      </c>
      <c r="E788" s="78" t="s">
        <v>7459</v>
      </c>
      <c r="F788" s="78" t="s">
        <v>5372</v>
      </c>
      <c r="G788" s="99">
        <v>3.0</v>
      </c>
      <c r="H788" s="185">
        <v>3.0</v>
      </c>
      <c r="I788" s="155">
        <v>3.0</v>
      </c>
      <c r="J788" s="155">
        <v>10.0</v>
      </c>
      <c r="K788" s="155">
        <v>3.33</v>
      </c>
      <c r="L788" s="155" t="s">
        <v>171</v>
      </c>
      <c r="M788" s="322"/>
      <c r="N788" s="322"/>
      <c r="O788" s="322"/>
      <c r="P788" s="322"/>
      <c r="Q788" s="322"/>
      <c r="R788" s="322"/>
      <c r="S788" s="322"/>
      <c r="T788" s="322"/>
      <c r="U788" s="322"/>
      <c r="V788" s="322"/>
      <c r="W788" s="322"/>
      <c r="X788" s="322"/>
      <c r="Y788" s="322"/>
      <c r="Z788" s="322"/>
    </row>
    <row r="789" ht="15.0" customHeight="1">
      <c r="A789" s="85" t="s">
        <v>7460</v>
      </c>
      <c r="B789" s="85" t="s">
        <v>7461</v>
      </c>
      <c r="C789" s="85" t="s">
        <v>147</v>
      </c>
      <c r="D789" s="78" t="s">
        <v>7462</v>
      </c>
      <c r="E789" s="78" t="s">
        <v>7463</v>
      </c>
      <c r="F789" s="78" t="s">
        <v>5589</v>
      </c>
      <c r="G789" s="99">
        <v>4.0</v>
      </c>
      <c r="H789" s="185">
        <v>4.0</v>
      </c>
      <c r="I789" s="155">
        <v>4.0</v>
      </c>
      <c r="J789" s="155">
        <v>20.0</v>
      </c>
      <c r="K789" s="155">
        <v>5.0</v>
      </c>
      <c r="L789" s="155" t="s">
        <v>5077</v>
      </c>
      <c r="M789" s="322"/>
      <c r="N789" s="322"/>
      <c r="O789" s="322"/>
      <c r="P789" s="322"/>
      <c r="Q789" s="322"/>
      <c r="R789" s="322"/>
      <c r="S789" s="322"/>
      <c r="T789" s="322"/>
      <c r="U789" s="322"/>
      <c r="V789" s="322"/>
      <c r="W789" s="322"/>
      <c r="X789" s="322"/>
      <c r="Y789" s="322"/>
      <c r="Z789" s="322"/>
    </row>
    <row r="790" ht="15.0" customHeight="1">
      <c r="A790" s="85" t="s">
        <v>7464</v>
      </c>
      <c r="B790" s="85" t="s">
        <v>7465</v>
      </c>
      <c r="C790" s="85" t="s">
        <v>147</v>
      </c>
      <c r="D790" s="78" t="s">
        <v>7466</v>
      </c>
      <c r="E790" s="78" t="s">
        <v>4805</v>
      </c>
      <c r="F790" s="78" t="s">
        <v>1184</v>
      </c>
      <c r="G790" s="99">
        <v>3.0</v>
      </c>
      <c r="H790" s="185">
        <v>3.0</v>
      </c>
      <c r="I790" s="155">
        <v>3.0</v>
      </c>
      <c r="J790" s="155">
        <v>20.0</v>
      </c>
      <c r="K790" s="155">
        <v>6.66</v>
      </c>
      <c r="L790" s="155" t="s">
        <v>5077</v>
      </c>
      <c r="M790" s="322"/>
      <c r="N790" s="322"/>
      <c r="O790" s="322"/>
      <c r="P790" s="322"/>
      <c r="Q790" s="322"/>
      <c r="R790" s="322"/>
      <c r="S790" s="322"/>
      <c r="T790" s="322"/>
      <c r="U790" s="322"/>
      <c r="V790" s="322"/>
      <c r="W790" s="322"/>
      <c r="X790" s="322"/>
      <c r="Y790" s="322"/>
      <c r="Z790" s="322"/>
    </row>
    <row r="791" ht="15.0" customHeight="1">
      <c r="A791" s="85" t="s">
        <v>7467</v>
      </c>
      <c r="B791" s="85" t="s">
        <v>7468</v>
      </c>
      <c r="C791" s="85" t="s">
        <v>147</v>
      </c>
      <c r="D791" s="78" t="s">
        <v>7469</v>
      </c>
      <c r="E791" s="78" t="s">
        <v>7470</v>
      </c>
      <c r="F791" s="78" t="s">
        <v>1184</v>
      </c>
      <c r="G791" s="99">
        <v>2.0</v>
      </c>
      <c r="H791" s="185">
        <v>2.0</v>
      </c>
      <c r="I791" s="155">
        <v>5.0</v>
      </c>
      <c r="J791" s="155">
        <v>20.0</v>
      </c>
      <c r="K791" s="155">
        <v>10.0</v>
      </c>
      <c r="L791" s="155" t="s">
        <v>5077</v>
      </c>
      <c r="M791" s="322"/>
      <c r="N791" s="322"/>
      <c r="O791" s="322"/>
      <c r="P791" s="322"/>
      <c r="Q791" s="322"/>
      <c r="R791" s="322"/>
      <c r="S791" s="322"/>
      <c r="T791" s="322"/>
      <c r="U791" s="322"/>
      <c r="V791" s="322"/>
      <c r="W791" s="322"/>
      <c r="X791" s="322"/>
      <c r="Y791" s="322"/>
      <c r="Z791" s="322"/>
    </row>
    <row r="792" ht="15.0" customHeight="1">
      <c r="A792" s="85" t="s">
        <v>7471</v>
      </c>
      <c r="B792" s="85" t="s">
        <v>7472</v>
      </c>
      <c r="C792" s="85" t="s">
        <v>147</v>
      </c>
      <c r="D792" s="78" t="s">
        <v>7469</v>
      </c>
      <c r="E792" s="78" t="s">
        <v>7470</v>
      </c>
      <c r="F792" s="78" t="s">
        <v>1184</v>
      </c>
      <c r="G792" s="99">
        <v>2.0</v>
      </c>
      <c r="H792" s="185">
        <v>2.0</v>
      </c>
      <c r="I792" s="155">
        <v>3.0</v>
      </c>
      <c r="J792" s="155">
        <v>20.0</v>
      </c>
      <c r="K792" s="155">
        <v>10.0</v>
      </c>
      <c r="L792" s="155" t="s">
        <v>5077</v>
      </c>
      <c r="M792" s="322"/>
      <c r="N792" s="322"/>
      <c r="O792" s="322"/>
      <c r="P792" s="322"/>
      <c r="Q792" s="322"/>
      <c r="R792" s="322"/>
      <c r="S792" s="322"/>
      <c r="T792" s="322"/>
      <c r="U792" s="322"/>
      <c r="V792" s="322"/>
      <c r="W792" s="322"/>
      <c r="X792" s="322"/>
      <c r="Y792" s="322"/>
      <c r="Z792" s="322"/>
    </row>
    <row r="793" ht="15.0" customHeight="1">
      <c r="A793" s="85" t="s">
        <v>7473</v>
      </c>
      <c r="B793" s="85" t="s">
        <v>7474</v>
      </c>
      <c r="C793" s="85" t="s">
        <v>147</v>
      </c>
      <c r="D793" s="78" t="s">
        <v>7469</v>
      </c>
      <c r="E793" s="78" t="s">
        <v>7470</v>
      </c>
      <c r="F793" s="78" t="s">
        <v>1184</v>
      </c>
      <c r="G793" s="99">
        <v>2.0</v>
      </c>
      <c r="H793" s="185">
        <v>2.0</v>
      </c>
      <c r="I793" s="155">
        <v>2.0</v>
      </c>
      <c r="J793" s="155">
        <v>20.0</v>
      </c>
      <c r="K793" s="155">
        <v>10.0</v>
      </c>
      <c r="L793" s="155" t="s">
        <v>5077</v>
      </c>
      <c r="M793" s="322"/>
      <c r="N793" s="322"/>
      <c r="O793" s="322"/>
      <c r="P793" s="322"/>
      <c r="Q793" s="322"/>
      <c r="R793" s="322"/>
      <c r="S793" s="322"/>
      <c r="T793" s="322"/>
      <c r="U793" s="322"/>
      <c r="V793" s="322"/>
      <c r="W793" s="322"/>
      <c r="X793" s="322"/>
      <c r="Y793" s="322"/>
      <c r="Z793" s="322"/>
    </row>
    <row r="794" ht="15.0" customHeight="1">
      <c r="A794" s="85" t="s">
        <v>7475</v>
      </c>
      <c r="B794" s="85" t="s">
        <v>7476</v>
      </c>
      <c r="C794" s="85" t="s">
        <v>147</v>
      </c>
      <c r="D794" s="78" t="s">
        <v>7469</v>
      </c>
      <c r="E794" s="78" t="s">
        <v>7470</v>
      </c>
      <c r="F794" s="78" t="s">
        <v>1184</v>
      </c>
      <c r="G794" s="99">
        <v>2.0</v>
      </c>
      <c r="H794" s="185">
        <v>2.0</v>
      </c>
      <c r="I794" s="155">
        <v>4.0</v>
      </c>
      <c r="J794" s="155">
        <v>20.0</v>
      </c>
      <c r="K794" s="155">
        <v>10.0</v>
      </c>
      <c r="L794" s="155" t="s">
        <v>5077</v>
      </c>
      <c r="M794" s="322"/>
      <c r="N794" s="322"/>
      <c r="O794" s="322"/>
      <c r="P794" s="322"/>
      <c r="Q794" s="322"/>
      <c r="R794" s="322"/>
      <c r="S794" s="322"/>
      <c r="T794" s="322"/>
      <c r="U794" s="322"/>
      <c r="V794" s="322"/>
      <c r="W794" s="322"/>
      <c r="X794" s="322"/>
      <c r="Y794" s="322"/>
      <c r="Z794" s="322"/>
    </row>
    <row r="795" ht="15.0" customHeight="1">
      <c r="A795" s="85" t="s">
        <v>7477</v>
      </c>
      <c r="B795" s="85" t="s">
        <v>7478</v>
      </c>
      <c r="C795" s="85" t="s">
        <v>147</v>
      </c>
      <c r="D795" s="78" t="s">
        <v>7479</v>
      </c>
      <c r="E795" s="78" t="s">
        <v>7480</v>
      </c>
      <c r="F795" s="78" t="s">
        <v>7481</v>
      </c>
      <c r="G795" s="99">
        <v>2.0</v>
      </c>
      <c r="H795" s="185">
        <v>1.0</v>
      </c>
      <c r="I795" s="155">
        <v>4.0</v>
      </c>
      <c r="J795" s="155">
        <v>20.0</v>
      </c>
      <c r="K795" s="155">
        <v>10.0</v>
      </c>
      <c r="L795" s="155" t="s">
        <v>5101</v>
      </c>
      <c r="M795" s="322"/>
      <c r="N795" s="322"/>
      <c r="O795" s="322"/>
      <c r="P795" s="322"/>
      <c r="Q795" s="322"/>
      <c r="R795" s="322"/>
      <c r="S795" s="322"/>
      <c r="T795" s="322"/>
      <c r="U795" s="322"/>
      <c r="V795" s="322"/>
      <c r="W795" s="322"/>
      <c r="X795" s="322"/>
      <c r="Y795" s="322"/>
      <c r="Z795" s="322"/>
    </row>
    <row r="796" ht="15.0" customHeight="1">
      <c r="A796" s="85" t="s">
        <v>7482</v>
      </c>
      <c r="B796" s="85" t="s">
        <v>7478</v>
      </c>
      <c r="C796" s="85" t="s">
        <v>147</v>
      </c>
      <c r="D796" s="78" t="s">
        <v>7483</v>
      </c>
      <c r="E796" s="78" t="s">
        <v>7484</v>
      </c>
      <c r="F796" s="78" t="s">
        <v>7416</v>
      </c>
      <c r="G796" s="99">
        <v>2.0</v>
      </c>
      <c r="H796" s="185">
        <v>1.0</v>
      </c>
      <c r="I796" s="155">
        <v>4.0</v>
      </c>
      <c r="J796" s="155">
        <v>20.0</v>
      </c>
      <c r="K796" s="155">
        <v>10.0</v>
      </c>
      <c r="L796" s="155" t="s">
        <v>5101</v>
      </c>
      <c r="M796" s="322"/>
      <c r="N796" s="322"/>
      <c r="O796" s="322"/>
      <c r="P796" s="322"/>
      <c r="Q796" s="322"/>
      <c r="R796" s="322"/>
      <c r="S796" s="322"/>
      <c r="T796" s="322"/>
      <c r="U796" s="322"/>
      <c r="V796" s="322"/>
      <c r="W796" s="322"/>
      <c r="X796" s="322"/>
      <c r="Y796" s="322"/>
      <c r="Z796" s="322"/>
    </row>
    <row r="797" ht="15.0" customHeight="1">
      <c r="A797" s="85" t="s">
        <v>7485</v>
      </c>
      <c r="B797" s="85" t="s">
        <v>7486</v>
      </c>
      <c r="C797" s="85" t="s">
        <v>147</v>
      </c>
      <c r="D797" s="78" t="s">
        <v>7487</v>
      </c>
      <c r="E797" s="78" t="s">
        <v>7488</v>
      </c>
      <c r="F797" s="78" t="s">
        <v>7416</v>
      </c>
      <c r="G797" s="99">
        <v>4.0</v>
      </c>
      <c r="H797" s="185">
        <v>1.0</v>
      </c>
      <c r="I797" s="155">
        <v>4.0</v>
      </c>
      <c r="J797" s="155">
        <v>20.0</v>
      </c>
      <c r="K797" s="155">
        <v>5.0</v>
      </c>
      <c r="L797" s="155" t="s">
        <v>5101</v>
      </c>
      <c r="M797" s="322"/>
      <c r="N797" s="322"/>
      <c r="O797" s="322"/>
      <c r="P797" s="322"/>
      <c r="Q797" s="322"/>
      <c r="R797" s="322"/>
      <c r="S797" s="322"/>
      <c r="T797" s="322"/>
      <c r="U797" s="322"/>
      <c r="V797" s="322"/>
      <c r="W797" s="322"/>
      <c r="X797" s="322"/>
      <c r="Y797" s="322"/>
      <c r="Z797" s="322"/>
    </row>
    <row r="798" ht="15.0" customHeight="1">
      <c r="A798" s="85" t="s">
        <v>7489</v>
      </c>
      <c r="B798" s="85" t="s">
        <v>5097</v>
      </c>
      <c r="C798" s="85" t="s">
        <v>147</v>
      </c>
      <c r="D798" s="78" t="s">
        <v>7490</v>
      </c>
      <c r="E798" s="78" t="s">
        <v>7491</v>
      </c>
      <c r="F798" s="78" t="s">
        <v>7492</v>
      </c>
      <c r="G798" s="99">
        <v>2.0</v>
      </c>
      <c r="H798" s="185">
        <v>1.0</v>
      </c>
      <c r="I798" s="155">
        <v>2.0</v>
      </c>
      <c r="J798" s="155">
        <v>20.0</v>
      </c>
      <c r="K798" s="155">
        <v>10.0</v>
      </c>
      <c r="L798" s="155" t="s">
        <v>5101</v>
      </c>
      <c r="M798" s="322"/>
      <c r="N798" s="322"/>
      <c r="O798" s="322"/>
      <c r="P798" s="322"/>
      <c r="Q798" s="322"/>
      <c r="R798" s="322"/>
      <c r="S798" s="322"/>
      <c r="T798" s="322"/>
      <c r="U798" s="322"/>
      <c r="V798" s="322"/>
      <c r="W798" s="322"/>
      <c r="X798" s="322"/>
      <c r="Y798" s="322"/>
      <c r="Z798" s="322"/>
    </row>
    <row r="799" ht="15.0" customHeight="1">
      <c r="A799" s="85" t="s">
        <v>4418</v>
      </c>
      <c r="B799" s="85" t="s">
        <v>4419</v>
      </c>
      <c r="C799" s="85" t="s">
        <v>147</v>
      </c>
      <c r="D799" s="78" t="s">
        <v>7100</v>
      </c>
      <c r="E799" s="78" t="s">
        <v>7101</v>
      </c>
      <c r="F799" s="78" t="s">
        <v>7102</v>
      </c>
      <c r="G799" s="99">
        <v>3.0</v>
      </c>
      <c r="H799" s="185">
        <v>3.0</v>
      </c>
      <c r="I799" s="155">
        <v>5.0</v>
      </c>
      <c r="J799" s="155">
        <v>20.0</v>
      </c>
      <c r="K799" s="155">
        <v>6.666666666666667</v>
      </c>
      <c r="L799" s="155" t="s">
        <v>5104</v>
      </c>
      <c r="M799" s="322"/>
      <c r="N799" s="322"/>
      <c r="O799" s="322"/>
      <c r="P799" s="322"/>
      <c r="Q799" s="322"/>
      <c r="R799" s="322"/>
      <c r="S799" s="322"/>
      <c r="T799" s="322"/>
      <c r="U799" s="322"/>
      <c r="V799" s="322"/>
      <c r="W799" s="322"/>
      <c r="X799" s="322"/>
      <c r="Y799" s="322"/>
      <c r="Z799" s="322"/>
    </row>
    <row r="800" ht="15.0" customHeight="1">
      <c r="A800" s="85" t="s">
        <v>4418</v>
      </c>
      <c r="B800" s="85" t="s">
        <v>4419</v>
      </c>
      <c r="C800" s="85" t="s">
        <v>147</v>
      </c>
      <c r="D800" s="78" t="s">
        <v>7103</v>
      </c>
      <c r="E800" s="78" t="s">
        <v>4449</v>
      </c>
      <c r="F800" s="78" t="s">
        <v>7057</v>
      </c>
      <c r="G800" s="99">
        <v>3.0</v>
      </c>
      <c r="H800" s="185">
        <v>3.0</v>
      </c>
      <c r="I800" s="155">
        <v>5.0</v>
      </c>
      <c r="J800" s="155">
        <v>20.0</v>
      </c>
      <c r="K800" s="155">
        <v>6.666666666666667</v>
      </c>
      <c r="L800" s="155" t="s">
        <v>5104</v>
      </c>
      <c r="M800" s="322"/>
      <c r="N800" s="322"/>
      <c r="O800" s="322"/>
      <c r="P800" s="322"/>
      <c r="Q800" s="322"/>
      <c r="R800" s="322"/>
      <c r="S800" s="322"/>
      <c r="T800" s="322"/>
      <c r="U800" s="322"/>
      <c r="V800" s="322"/>
      <c r="W800" s="322"/>
      <c r="X800" s="322"/>
      <c r="Y800" s="322"/>
      <c r="Z800" s="322"/>
    </row>
    <row r="801" ht="15.0" customHeight="1">
      <c r="A801" s="85" t="s">
        <v>4418</v>
      </c>
      <c r="B801" s="85" t="s">
        <v>4419</v>
      </c>
      <c r="C801" s="85" t="s">
        <v>147</v>
      </c>
      <c r="D801" s="78" t="s">
        <v>7104</v>
      </c>
      <c r="E801" s="78" t="s">
        <v>7105</v>
      </c>
      <c r="F801" s="78" t="s">
        <v>7057</v>
      </c>
      <c r="G801" s="99">
        <v>3.0</v>
      </c>
      <c r="H801" s="185">
        <v>3.0</v>
      </c>
      <c r="I801" s="155">
        <v>5.0</v>
      </c>
      <c r="J801" s="155">
        <v>20.0</v>
      </c>
      <c r="K801" s="155">
        <v>6.666666666666667</v>
      </c>
      <c r="L801" s="155" t="s">
        <v>5104</v>
      </c>
      <c r="M801" s="322"/>
      <c r="N801" s="322"/>
      <c r="O801" s="322"/>
      <c r="P801" s="322"/>
      <c r="Q801" s="322"/>
      <c r="R801" s="322"/>
      <c r="S801" s="322"/>
      <c r="T801" s="322"/>
      <c r="U801" s="322"/>
      <c r="V801" s="322"/>
      <c r="W801" s="322"/>
      <c r="X801" s="322"/>
      <c r="Y801" s="322"/>
      <c r="Z801" s="322"/>
    </row>
    <row r="802" ht="15.0" customHeight="1">
      <c r="A802" s="85" t="s">
        <v>4418</v>
      </c>
      <c r="B802" s="85" t="s">
        <v>4419</v>
      </c>
      <c r="C802" s="85" t="s">
        <v>147</v>
      </c>
      <c r="D802" s="78" t="s">
        <v>7106</v>
      </c>
      <c r="E802" s="78" t="s">
        <v>7107</v>
      </c>
      <c r="F802" s="78" t="s">
        <v>7083</v>
      </c>
      <c r="G802" s="99">
        <v>3.0</v>
      </c>
      <c r="H802" s="185">
        <v>3.0</v>
      </c>
      <c r="I802" s="155">
        <v>5.0</v>
      </c>
      <c r="J802" s="155">
        <v>10.0</v>
      </c>
      <c r="K802" s="155">
        <v>3.3333333333333335</v>
      </c>
      <c r="L802" s="155" t="s">
        <v>5104</v>
      </c>
      <c r="M802" s="322"/>
      <c r="N802" s="322"/>
      <c r="O802" s="322"/>
      <c r="P802" s="322"/>
      <c r="Q802" s="322"/>
      <c r="R802" s="322"/>
      <c r="S802" s="322"/>
      <c r="T802" s="322"/>
      <c r="U802" s="322"/>
      <c r="V802" s="322"/>
      <c r="W802" s="322"/>
      <c r="X802" s="322"/>
      <c r="Y802" s="322"/>
      <c r="Z802" s="322"/>
    </row>
    <row r="803" ht="15.75" customHeight="1">
      <c r="A803" s="193" t="s">
        <v>185</v>
      </c>
      <c r="B803" s="61"/>
      <c r="C803" s="61"/>
      <c r="D803" s="61"/>
      <c r="E803" s="285"/>
      <c r="F803" s="61"/>
      <c r="G803" s="110"/>
      <c r="H803" s="3"/>
      <c r="I803" s="3"/>
      <c r="J803" s="3"/>
      <c r="K803" s="283">
        <f>SUM(K15:K802)</f>
        <v>5909.862381</v>
      </c>
      <c r="L803" s="3"/>
      <c r="M803" s="3"/>
      <c r="N803" s="3"/>
      <c r="O803" s="3"/>
      <c r="P803" s="3"/>
      <c r="Q803" s="3"/>
      <c r="R803" s="3"/>
      <c r="S803" s="3"/>
      <c r="T803" s="3"/>
      <c r="U803" s="3"/>
      <c r="V803" s="3"/>
      <c r="W803" s="3"/>
      <c r="X803" s="3"/>
      <c r="Y803" s="3"/>
      <c r="Z803" s="3"/>
    </row>
    <row r="804" ht="15.75" customHeight="1">
      <c r="A804" s="104"/>
      <c r="B804" s="61"/>
      <c r="C804" s="61"/>
      <c r="D804" s="61"/>
      <c r="E804" s="285"/>
      <c r="F804" s="61"/>
      <c r="G804" s="61"/>
      <c r="H804" s="1"/>
      <c r="I804" s="3"/>
      <c r="J804" s="3"/>
      <c r="K804" s="3"/>
      <c r="L804" s="3"/>
      <c r="M804" s="3"/>
      <c r="N804" s="3"/>
      <c r="O804" s="3"/>
      <c r="P804" s="3"/>
      <c r="Q804" s="3"/>
      <c r="R804" s="3"/>
      <c r="S804" s="3"/>
      <c r="T804" s="3"/>
      <c r="U804" s="3"/>
      <c r="V804" s="3"/>
      <c r="W804" s="3"/>
      <c r="X804" s="3"/>
      <c r="Y804" s="3"/>
      <c r="Z804" s="3"/>
    </row>
    <row r="805" ht="15.75" customHeight="1">
      <c r="A805" s="284" t="s">
        <v>1169</v>
      </c>
      <c r="B805" s="103"/>
      <c r="C805" s="103"/>
      <c r="D805" s="103"/>
      <c r="E805" s="103"/>
      <c r="F805" s="103"/>
      <c r="G805" s="103"/>
      <c r="H805" s="103"/>
      <c r="I805" s="3"/>
      <c r="J805" s="3"/>
      <c r="K805" s="3"/>
      <c r="L805" s="3"/>
      <c r="M805" s="3"/>
      <c r="N805" s="3"/>
      <c r="O805" s="3"/>
      <c r="P805" s="3"/>
      <c r="Q805" s="3"/>
      <c r="R805" s="3"/>
      <c r="S805" s="3"/>
      <c r="T805" s="3"/>
      <c r="U805" s="3"/>
      <c r="V805" s="3"/>
      <c r="W805" s="3"/>
      <c r="X805" s="3"/>
      <c r="Y805" s="3"/>
      <c r="Z805" s="3"/>
    </row>
    <row r="806" ht="15.75" customHeight="1">
      <c r="E806" s="323"/>
    </row>
    <row r="807" ht="15.75" customHeight="1">
      <c r="E807" s="323"/>
    </row>
    <row r="808" ht="15.75" customHeight="1">
      <c r="E808" s="323"/>
    </row>
    <row r="809" ht="15.75" customHeight="1">
      <c r="E809" s="323"/>
    </row>
    <row r="810" ht="15.75" customHeight="1">
      <c r="E810" s="323"/>
    </row>
    <row r="811" ht="15.75" customHeight="1">
      <c r="E811" s="323"/>
    </row>
    <row r="812" ht="15.75" customHeight="1">
      <c r="E812" s="323"/>
    </row>
    <row r="813" ht="15.75" customHeight="1">
      <c r="E813" s="323"/>
    </row>
    <row r="814" ht="15.75" customHeight="1">
      <c r="E814" s="323"/>
    </row>
    <row r="815" ht="15.75" customHeight="1">
      <c r="E815" s="323"/>
    </row>
    <row r="816" ht="15.75" customHeight="1">
      <c r="E816" s="323"/>
    </row>
    <row r="817" ht="15.75" customHeight="1">
      <c r="E817" s="323"/>
    </row>
    <row r="818" ht="15.75" customHeight="1">
      <c r="E818" s="323"/>
    </row>
    <row r="819" ht="15.75" customHeight="1">
      <c r="E819" s="323"/>
    </row>
    <row r="820" ht="15.75" customHeight="1">
      <c r="E820" s="323"/>
    </row>
    <row r="821" ht="15.75" customHeight="1">
      <c r="E821" s="323"/>
    </row>
    <row r="822" ht="15.75" customHeight="1">
      <c r="E822" s="323"/>
    </row>
    <row r="823" ht="15.75" customHeight="1">
      <c r="E823" s="323"/>
    </row>
    <row r="824" ht="15.75" customHeight="1">
      <c r="E824" s="323"/>
    </row>
    <row r="825" ht="15.75" customHeight="1">
      <c r="E825" s="323"/>
    </row>
    <row r="826" ht="15.75" customHeight="1">
      <c r="E826" s="323"/>
    </row>
    <row r="827" ht="15.75" customHeight="1">
      <c r="E827" s="323"/>
    </row>
    <row r="828" ht="15.75" customHeight="1">
      <c r="E828" s="323"/>
    </row>
    <row r="829" ht="15.75" customHeight="1">
      <c r="E829" s="323"/>
    </row>
    <row r="830" ht="15.75" customHeight="1">
      <c r="E830" s="323"/>
    </row>
    <row r="831" ht="15.75" customHeight="1">
      <c r="E831" s="323"/>
    </row>
    <row r="832" ht="15.75" customHeight="1">
      <c r="E832" s="323"/>
    </row>
    <row r="833" ht="15.75" customHeight="1">
      <c r="E833" s="323"/>
    </row>
    <row r="834" ht="15.75" customHeight="1">
      <c r="E834" s="323"/>
    </row>
    <row r="835" ht="15.75" customHeight="1">
      <c r="E835" s="323"/>
    </row>
    <row r="836" ht="15.75" customHeight="1">
      <c r="E836" s="323"/>
    </row>
    <row r="837" ht="15.75" customHeight="1">
      <c r="E837" s="323"/>
    </row>
    <row r="838" ht="15.75" customHeight="1">
      <c r="E838" s="323"/>
    </row>
    <row r="839" ht="15.75" customHeight="1">
      <c r="E839" s="323"/>
    </row>
    <row r="840" ht="15.75" customHeight="1">
      <c r="E840" s="323"/>
    </row>
    <row r="841" ht="15.75" customHeight="1">
      <c r="E841" s="323"/>
    </row>
    <row r="842" ht="15.75" customHeight="1">
      <c r="E842" s="323"/>
    </row>
    <row r="843" ht="15.75" customHeight="1">
      <c r="E843" s="323"/>
    </row>
    <row r="844" ht="15.75" customHeight="1">
      <c r="E844" s="323"/>
    </row>
    <row r="845" ht="15.75" customHeight="1">
      <c r="E845" s="323"/>
    </row>
    <row r="846" ht="15.75" customHeight="1">
      <c r="E846" s="323"/>
    </row>
    <row r="847" ht="15.75" customHeight="1">
      <c r="E847" s="323"/>
    </row>
    <row r="848" ht="15.75" customHeight="1">
      <c r="E848" s="323"/>
    </row>
    <row r="849" ht="15.75" customHeight="1">
      <c r="E849" s="323"/>
    </row>
    <row r="850" ht="15.75" customHeight="1">
      <c r="E850" s="323"/>
    </row>
    <row r="851" ht="15.75" customHeight="1">
      <c r="E851" s="323"/>
    </row>
    <row r="852" ht="15.75" customHeight="1">
      <c r="E852" s="323"/>
    </row>
    <row r="853" ht="15.75" customHeight="1">
      <c r="E853" s="323"/>
    </row>
    <row r="854" ht="15.75" customHeight="1">
      <c r="E854" s="323"/>
    </row>
    <row r="855" ht="15.75" customHeight="1">
      <c r="E855" s="323"/>
    </row>
    <row r="856" ht="15.75" customHeight="1">
      <c r="E856" s="323"/>
    </row>
    <row r="857" ht="15.75" customHeight="1">
      <c r="E857" s="323"/>
    </row>
    <row r="858" ht="15.75" customHeight="1">
      <c r="E858" s="323"/>
    </row>
    <row r="859" ht="15.75" customHeight="1">
      <c r="E859" s="323"/>
    </row>
    <row r="860" ht="15.75" customHeight="1">
      <c r="E860" s="323"/>
    </row>
    <row r="861" ht="15.75" customHeight="1">
      <c r="E861" s="323"/>
    </row>
    <row r="862" ht="15.75" customHeight="1">
      <c r="E862" s="323"/>
    </row>
    <row r="863" ht="15.75" customHeight="1">
      <c r="E863" s="323"/>
    </row>
    <row r="864" ht="15.75" customHeight="1">
      <c r="E864" s="323"/>
    </row>
    <row r="865" ht="15.75" customHeight="1">
      <c r="E865" s="323"/>
    </row>
    <row r="866" ht="15.75" customHeight="1">
      <c r="E866" s="323"/>
    </row>
    <row r="867" ht="15.75" customHeight="1">
      <c r="E867" s="323"/>
    </row>
    <row r="868" ht="15.75" customHeight="1">
      <c r="E868" s="323"/>
    </row>
    <row r="869" ht="15.75" customHeight="1">
      <c r="E869" s="323"/>
    </row>
    <row r="870" ht="15.75" customHeight="1">
      <c r="E870" s="323"/>
    </row>
    <row r="871" ht="15.75" customHeight="1">
      <c r="E871" s="323"/>
    </row>
    <row r="872" ht="15.75" customHeight="1">
      <c r="E872" s="323"/>
    </row>
    <row r="873" ht="15.75" customHeight="1">
      <c r="E873" s="323"/>
    </row>
    <row r="874" ht="15.75" customHeight="1">
      <c r="E874" s="323"/>
    </row>
    <row r="875" ht="15.75" customHeight="1">
      <c r="E875" s="323"/>
    </row>
    <row r="876" ht="15.75" customHeight="1">
      <c r="E876" s="323"/>
    </row>
    <row r="877" ht="15.75" customHeight="1">
      <c r="E877" s="323"/>
    </row>
    <row r="878" ht="15.75" customHeight="1">
      <c r="E878" s="323"/>
    </row>
    <row r="879" ht="15.75" customHeight="1">
      <c r="E879" s="323"/>
    </row>
    <row r="880" ht="15.75" customHeight="1">
      <c r="E880" s="323"/>
    </row>
    <row r="881" ht="15.75" customHeight="1">
      <c r="E881" s="323"/>
    </row>
    <row r="882" ht="15.75" customHeight="1">
      <c r="E882" s="323"/>
    </row>
    <row r="883" ht="15.75" customHeight="1">
      <c r="E883" s="323"/>
    </row>
    <row r="884" ht="15.75" customHeight="1">
      <c r="E884" s="323"/>
    </row>
    <row r="885" ht="15.75" customHeight="1">
      <c r="E885" s="323"/>
    </row>
    <row r="886" ht="15.75" customHeight="1">
      <c r="E886" s="323"/>
    </row>
    <row r="887" ht="15.75" customHeight="1">
      <c r="E887" s="323"/>
    </row>
    <row r="888" ht="15.75" customHeight="1">
      <c r="E888" s="323"/>
    </row>
    <row r="889" ht="15.75" customHeight="1">
      <c r="E889" s="323"/>
    </row>
    <row r="890" ht="15.75" customHeight="1">
      <c r="E890" s="323"/>
    </row>
    <row r="891" ht="15.75" customHeight="1">
      <c r="E891" s="323"/>
    </row>
    <row r="892" ht="15.75" customHeight="1">
      <c r="E892" s="323"/>
    </row>
    <row r="893" ht="15.75" customHeight="1">
      <c r="E893" s="323"/>
    </row>
    <row r="894" ht="15.75" customHeight="1">
      <c r="E894" s="323"/>
    </row>
    <row r="895" ht="15.75" customHeight="1">
      <c r="E895" s="323"/>
    </row>
    <row r="896" ht="15.75" customHeight="1">
      <c r="E896" s="323"/>
    </row>
    <row r="897" ht="15.75" customHeight="1">
      <c r="E897" s="323"/>
    </row>
    <row r="898" ht="15.75" customHeight="1">
      <c r="E898" s="323"/>
    </row>
    <row r="899" ht="15.75" customHeight="1">
      <c r="E899" s="323"/>
    </row>
    <row r="900" ht="15.75" customHeight="1">
      <c r="E900" s="323"/>
    </row>
    <row r="901" ht="15.75" customHeight="1">
      <c r="E901" s="323"/>
    </row>
    <row r="902" ht="15.75" customHeight="1">
      <c r="E902" s="323"/>
    </row>
    <row r="903" ht="15.75" customHeight="1">
      <c r="E903" s="323"/>
    </row>
    <row r="904" ht="15.75" customHeight="1">
      <c r="E904" s="323"/>
    </row>
    <row r="905" ht="15.75" customHeight="1">
      <c r="E905" s="323"/>
    </row>
    <row r="906" ht="15.75" customHeight="1">
      <c r="E906" s="323"/>
    </row>
    <row r="907" ht="15.75" customHeight="1">
      <c r="E907" s="323"/>
    </row>
    <row r="908" ht="15.75" customHeight="1">
      <c r="E908" s="323"/>
    </row>
    <row r="909" ht="15.75" customHeight="1">
      <c r="E909" s="323"/>
    </row>
    <row r="910" ht="15.75" customHeight="1">
      <c r="E910" s="323"/>
    </row>
    <row r="911" ht="15.75" customHeight="1">
      <c r="E911" s="323"/>
    </row>
    <row r="912" ht="15.75" customHeight="1">
      <c r="E912" s="323"/>
    </row>
    <row r="913" ht="15.75" customHeight="1">
      <c r="E913" s="323"/>
    </row>
    <row r="914" ht="15.75" customHeight="1">
      <c r="E914" s="323"/>
    </row>
    <row r="915" ht="15.75" customHeight="1">
      <c r="E915" s="323"/>
    </row>
    <row r="916" ht="15.75" customHeight="1">
      <c r="E916" s="323"/>
    </row>
    <row r="917" ht="15.75" customHeight="1">
      <c r="E917" s="323"/>
    </row>
    <row r="918" ht="15.75" customHeight="1">
      <c r="E918" s="323"/>
    </row>
    <row r="919" ht="15.75" customHeight="1">
      <c r="E919" s="323"/>
    </row>
    <row r="920" ht="15.75" customHeight="1">
      <c r="E920" s="323"/>
    </row>
    <row r="921" ht="15.75" customHeight="1">
      <c r="E921" s="323"/>
    </row>
    <row r="922" ht="15.75" customHeight="1">
      <c r="E922" s="323"/>
    </row>
    <row r="923" ht="15.75" customHeight="1">
      <c r="E923" s="323"/>
    </row>
    <row r="924" ht="15.75" customHeight="1">
      <c r="E924" s="323"/>
    </row>
    <row r="925" ht="15.75" customHeight="1">
      <c r="E925" s="323"/>
    </row>
    <row r="926" ht="15.75" customHeight="1">
      <c r="E926" s="323"/>
    </row>
    <row r="927" ht="15.75" customHeight="1">
      <c r="E927" s="323"/>
    </row>
    <row r="928" ht="15.75" customHeight="1">
      <c r="E928" s="323"/>
    </row>
    <row r="929" ht="15.75" customHeight="1">
      <c r="E929" s="323"/>
    </row>
    <row r="930" ht="15.75" customHeight="1">
      <c r="E930" s="323"/>
    </row>
    <row r="931" ht="15.75" customHeight="1">
      <c r="E931" s="323"/>
    </row>
    <row r="932" ht="15.75" customHeight="1">
      <c r="E932" s="323"/>
    </row>
    <row r="933" ht="15.75" customHeight="1">
      <c r="E933" s="323"/>
    </row>
    <row r="934" ht="15.75" customHeight="1">
      <c r="E934" s="323"/>
    </row>
    <row r="935" ht="15.75" customHeight="1">
      <c r="E935" s="323"/>
    </row>
    <row r="936" ht="15.75" customHeight="1">
      <c r="E936" s="323"/>
    </row>
    <row r="937" ht="15.75" customHeight="1">
      <c r="E937" s="323"/>
    </row>
    <row r="938" ht="15.75" customHeight="1">
      <c r="E938" s="323"/>
    </row>
    <row r="939" ht="15.75" customHeight="1">
      <c r="E939" s="323"/>
    </row>
    <row r="940" ht="15.75" customHeight="1">
      <c r="E940" s="323"/>
    </row>
    <row r="941" ht="15.75" customHeight="1">
      <c r="E941" s="323"/>
    </row>
    <row r="942" ht="15.75" customHeight="1">
      <c r="E942" s="323"/>
    </row>
    <row r="943" ht="15.75" customHeight="1">
      <c r="E943" s="323"/>
    </row>
    <row r="944" ht="15.75" customHeight="1">
      <c r="E944" s="323"/>
    </row>
    <row r="945" ht="15.75" customHeight="1">
      <c r="E945" s="323"/>
    </row>
    <row r="946" ht="15.75" customHeight="1">
      <c r="E946" s="323"/>
    </row>
    <row r="947" ht="15.75" customHeight="1">
      <c r="E947" s="323"/>
    </row>
    <row r="948" ht="15.75" customHeight="1">
      <c r="E948" s="323"/>
    </row>
    <row r="949" ht="15.75" customHeight="1">
      <c r="E949" s="323"/>
    </row>
    <row r="950" ht="15.75" customHeight="1">
      <c r="E950" s="323"/>
    </row>
    <row r="951" ht="15.75" customHeight="1">
      <c r="E951" s="323"/>
    </row>
    <row r="952" ht="15.75" customHeight="1">
      <c r="E952" s="323"/>
    </row>
    <row r="953" ht="15.75" customHeight="1">
      <c r="E953" s="323"/>
    </row>
    <row r="954" ht="15.75" customHeight="1">
      <c r="E954" s="323"/>
    </row>
    <row r="955" ht="15.75" customHeight="1">
      <c r="E955" s="323"/>
    </row>
    <row r="956" ht="15.75" customHeight="1">
      <c r="E956" s="323"/>
    </row>
    <row r="957" ht="15.75" customHeight="1">
      <c r="E957" s="323"/>
    </row>
    <row r="958" ht="15.75" customHeight="1">
      <c r="E958" s="323"/>
    </row>
    <row r="959" ht="15.75" customHeight="1">
      <c r="E959" s="323"/>
    </row>
    <row r="960" ht="15.75" customHeight="1">
      <c r="E960" s="323"/>
    </row>
    <row r="961" ht="15.75" customHeight="1">
      <c r="E961" s="323"/>
    </row>
    <row r="962" ht="15.75" customHeight="1">
      <c r="E962" s="323"/>
    </row>
    <row r="963" ht="15.75" customHeight="1">
      <c r="E963" s="323"/>
    </row>
    <row r="964" ht="15.75" customHeight="1">
      <c r="E964" s="323"/>
    </row>
    <row r="965" ht="15.75" customHeight="1">
      <c r="E965" s="323"/>
    </row>
    <row r="966" ht="15.75" customHeight="1">
      <c r="E966" s="323"/>
    </row>
    <row r="967" ht="15.75" customHeight="1">
      <c r="E967" s="323"/>
    </row>
    <row r="968" ht="15.75" customHeight="1">
      <c r="E968" s="323"/>
    </row>
    <row r="969" ht="15.75" customHeight="1">
      <c r="E969" s="323"/>
    </row>
    <row r="970" ht="15.75" customHeight="1">
      <c r="E970" s="323"/>
    </row>
    <row r="971" ht="15.75" customHeight="1">
      <c r="E971" s="323"/>
    </row>
    <row r="972" ht="15.75" customHeight="1">
      <c r="E972" s="323"/>
    </row>
    <row r="973" ht="15.75" customHeight="1">
      <c r="E973" s="323"/>
    </row>
    <row r="974" ht="15.75" customHeight="1">
      <c r="E974" s="323"/>
    </row>
    <row r="975" ht="15.75" customHeight="1">
      <c r="E975" s="323"/>
    </row>
    <row r="976" ht="15.75" customHeight="1">
      <c r="E976" s="323"/>
    </row>
    <row r="977" ht="15.75" customHeight="1">
      <c r="E977" s="323"/>
    </row>
    <row r="978" ht="15.75" customHeight="1">
      <c r="E978" s="323"/>
    </row>
    <row r="979" ht="15.75" customHeight="1">
      <c r="E979" s="323"/>
    </row>
    <row r="980" ht="15.75" customHeight="1">
      <c r="E980" s="323"/>
    </row>
    <row r="981" ht="15.75" customHeight="1">
      <c r="E981" s="323"/>
    </row>
    <row r="982" ht="15.75" customHeight="1">
      <c r="E982" s="323"/>
    </row>
    <row r="983" ht="15.75" customHeight="1">
      <c r="E983" s="323"/>
    </row>
    <row r="984" ht="15.75" customHeight="1">
      <c r="E984" s="323"/>
    </row>
    <row r="985" ht="15.75" customHeight="1">
      <c r="E985" s="323"/>
    </row>
    <row r="986" ht="15.75" customHeight="1">
      <c r="E986" s="323"/>
    </row>
    <row r="987" ht="15.75" customHeight="1">
      <c r="E987" s="323"/>
    </row>
    <row r="988" ht="15.75" customHeight="1">
      <c r="E988" s="323"/>
    </row>
    <row r="989" ht="15.75" customHeight="1">
      <c r="E989" s="323"/>
    </row>
    <row r="990" ht="15.75" customHeight="1">
      <c r="E990" s="323"/>
    </row>
    <row r="991" ht="15.75" customHeight="1">
      <c r="E991" s="323"/>
    </row>
    <row r="992" ht="15.75" customHeight="1">
      <c r="E992" s="323"/>
    </row>
    <row r="993" ht="15.75" customHeight="1">
      <c r="E993" s="323"/>
    </row>
    <row r="994" ht="15.75" customHeight="1">
      <c r="E994" s="323"/>
    </row>
    <row r="995" ht="15.75" customHeight="1">
      <c r="E995" s="323"/>
    </row>
    <row r="996" ht="15.75" customHeight="1">
      <c r="E996" s="323"/>
    </row>
    <row r="997" ht="15.75" customHeight="1">
      <c r="E997" s="323"/>
    </row>
    <row r="998" ht="15.75" customHeight="1">
      <c r="E998" s="323"/>
    </row>
    <row r="999" ht="15.75" customHeight="1">
      <c r="E999" s="323"/>
    </row>
    <row r="1000" ht="15.75" customHeight="1">
      <c r="E1000" s="323"/>
    </row>
  </sheetData>
  <mergeCells count="11">
    <mergeCell ref="A10:K10"/>
    <mergeCell ref="A11:K11"/>
    <mergeCell ref="A12:K12"/>
    <mergeCell ref="A805:H805"/>
    <mergeCell ref="A2:K2"/>
    <mergeCell ref="A4:K4"/>
    <mergeCell ref="A5:K5"/>
    <mergeCell ref="A6:K6"/>
    <mergeCell ref="A7:K7"/>
    <mergeCell ref="A8:K8"/>
    <mergeCell ref="A9:K9"/>
  </mergeCells>
  <hyperlinks>
    <hyperlink r:id="rId1" ref="E15"/>
    <hyperlink r:id="rId2" ref="E16"/>
    <hyperlink r:id="rId3" ref="E17"/>
    <hyperlink r:id="rId4" ref="E18"/>
    <hyperlink r:id="rId5" ref="E19"/>
    <hyperlink r:id="rId6" ref="E20"/>
    <hyperlink r:id="rId7" ref="E21"/>
    <hyperlink r:id="rId8" ref="E22"/>
    <hyperlink r:id="rId9" ref="E23"/>
    <hyperlink r:id="rId10" ref="B50"/>
    <hyperlink r:id="rId11" ref="E51"/>
    <hyperlink r:id="rId12" ref="E55"/>
    <hyperlink r:id="rId13" ref="E56"/>
    <hyperlink r:id="rId14" ref="B57"/>
    <hyperlink r:id="rId15" ref="E57"/>
    <hyperlink r:id="rId16" ref="E58"/>
    <hyperlink r:id="rId17" ref="B103"/>
    <hyperlink r:id="rId18" ref="E104"/>
    <hyperlink r:id="rId19" ref="E105"/>
    <hyperlink r:id="rId20" ref="E106"/>
    <hyperlink r:id="rId21" ref="E107"/>
    <hyperlink r:id="rId22" ref="E108"/>
    <hyperlink r:id="rId23" ref="E109"/>
    <hyperlink r:id="rId24" ref="E110"/>
    <hyperlink r:id="rId25" ref="E112"/>
    <hyperlink r:id="rId26" ref="E113"/>
    <hyperlink r:id="rId27" location="page=127" ref="E114"/>
    <hyperlink r:id="rId28" ref="E138"/>
    <hyperlink r:id="rId29" ref="E139"/>
    <hyperlink r:id="rId30" ref="E140"/>
    <hyperlink r:id="rId31" ref="E141"/>
    <hyperlink r:id="rId32" ref="E143"/>
    <hyperlink r:id="rId33" ref="E144"/>
    <hyperlink r:id="rId34" ref="E145"/>
    <hyperlink r:id="rId35" ref="E146"/>
    <hyperlink r:id="rId36" ref="E147"/>
    <hyperlink r:id="rId37" ref="E148"/>
    <hyperlink r:id="rId38" ref="E149"/>
    <hyperlink r:id="rId39" ref="E150"/>
    <hyperlink r:id="rId40" ref="E151"/>
    <hyperlink r:id="rId41" ref="E152"/>
    <hyperlink r:id="rId42" ref="E153"/>
    <hyperlink r:id="rId43" ref="E154"/>
    <hyperlink r:id="rId44" ref="E155"/>
    <hyperlink r:id="rId45" ref="E156"/>
    <hyperlink r:id="rId46" ref="E157"/>
    <hyperlink r:id="rId47" location="page=127" ref="E158"/>
    <hyperlink r:id="rId48" ref="B159"/>
    <hyperlink r:id="rId49" ref="E160"/>
    <hyperlink r:id="rId50" ref="E161"/>
    <hyperlink r:id="rId51" ref="B162"/>
    <hyperlink r:id="rId52" ref="E165"/>
    <hyperlink r:id="rId53" ref="E166"/>
    <hyperlink r:id="rId54" ref="E170"/>
    <hyperlink r:id="rId55" ref="E171"/>
    <hyperlink r:id="rId56" ref="E172"/>
    <hyperlink r:id="rId57" ref="E173"/>
    <hyperlink r:id="rId58" ref="E174"/>
    <hyperlink r:id="rId59" ref="E175"/>
    <hyperlink r:id="rId60" ref="E176"/>
    <hyperlink r:id="rId61" ref="E177"/>
    <hyperlink r:id="rId62" ref="E178"/>
    <hyperlink r:id="rId63" ref="E179"/>
    <hyperlink r:id="rId64" ref="E180"/>
    <hyperlink r:id="rId65" location="v=onepage&amp;q&amp;f=false" ref="E181"/>
    <hyperlink r:id="rId66" ref="E182"/>
    <hyperlink r:id="rId67" ref="E183"/>
    <hyperlink r:id="rId68" ref="B184"/>
    <hyperlink r:id="rId69" ref="E196"/>
    <hyperlink r:id="rId70" ref="E197"/>
    <hyperlink r:id="rId71" ref="E198"/>
    <hyperlink r:id="rId72" ref="E201"/>
    <hyperlink r:id="rId73" ref="E203"/>
    <hyperlink r:id="rId74" ref="E205"/>
    <hyperlink r:id="rId75" ref="E206"/>
    <hyperlink r:id="rId76" ref="E207"/>
    <hyperlink r:id="rId77" ref="E208"/>
    <hyperlink r:id="rId78" ref="E209"/>
    <hyperlink r:id="rId79" ref="F209"/>
    <hyperlink r:id="rId80" ref="E211"/>
    <hyperlink r:id="rId81" ref="E212"/>
    <hyperlink r:id="rId82" ref="E213"/>
    <hyperlink r:id="rId83" ref="E214"/>
    <hyperlink r:id="rId84" ref="E215"/>
    <hyperlink r:id="rId85" ref="E217"/>
    <hyperlink r:id="rId86" ref="E218"/>
    <hyperlink r:id="rId87" ref="E222"/>
    <hyperlink r:id="rId88" ref="E223"/>
    <hyperlink r:id="rId89" ref="E225"/>
    <hyperlink r:id="rId90" ref="E226"/>
    <hyperlink r:id="rId91" ref="E227"/>
    <hyperlink r:id="rId92" ref="E228"/>
    <hyperlink r:id="rId93" ref="E229"/>
    <hyperlink r:id="rId94" ref="E230"/>
    <hyperlink r:id="rId95" ref="E231"/>
    <hyperlink r:id="rId96" ref="E232"/>
    <hyperlink r:id="rId97" ref="E233"/>
    <hyperlink r:id="rId98" ref="E234"/>
    <hyperlink r:id="rId99" ref="E235"/>
    <hyperlink r:id="rId100" ref="E236"/>
    <hyperlink r:id="rId101" ref="E237"/>
    <hyperlink r:id="rId102" ref="E238"/>
    <hyperlink r:id="rId103" ref="E240"/>
    <hyperlink r:id="rId104" ref="E241"/>
    <hyperlink r:id="rId105" ref="E242"/>
    <hyperlink r:id="rId106" ref="E245"/>
    <hyperlink r:id="rId107" ref="E246"/>
    <hyperlink r:id="rId108" ref="E247"/>
    <hyperlink r:id="rId109" ref="E248"/>
    <hyperlink r:id="rId110" ref="E251"/>
    <hyperlink r:id="rId111" ref="E252"/>
    <hyperlink r:id="rId112" ref="E253"/>
    <hyperlink r:id="rId113" ref="E256"/>
    <hyperlink r:id="rId114" ref="E257"/>
    <hyperlink r:id="rId115" ref="E260"/>
    <hyperlink r:id="rId116" ref="E263"/>
    <hyperlink r:id="rId117" ref="E264"/>
    <hyperlink r:id="rId118" ref="E265"/>
    <hyperlink r:id="rId119" ref="E266"/>
    <hyperlink r:id="rId120" ref="E267"/>
    <hyperlink r:id="rId121" ref="E268"/>
    <hyperlink r:id="rId122" ref="E269"/>
    <hyperlink r:id="rId123" ref="E270"/>
    <hyperlink r:id="rId124" ref="E271"/>
    <hyperlink r:id="rId125" ref="E272"/>
    <hyperlink r:id="rId126" ref="E273"/>
    <hyperlink r:id="rId127" ref="E274"/>
    <hyperlink r:id="rId128" ref="E275"/>
    <hyperlink r:id="rId129" ref="E276"/>
    <hyperlink r:id="rId130" ref="E277"/>
    <hyperlink r:id="rId131" ref="E278"/>
    <hyperlink r:id="rId132" ref="E279"/>
    <hyperlink r:id="rId133" ref="E280"/>
    <hyperlink r:id="rId134" ref="E281"/>
    <hyperlink r:id="rId135" ref="E282"/>
    <hyperlink r:id="rId136" ref="E283"/>
    <hyperlink r:id="rId137" ref="E284"/>
    <hyperlink r:id="rId138" ref="E285"/>
    <hyperlink r:id="rId139" ref="E286"/>
    <hyperlink r:id="rId140" ref="E287"/>
    <hyperlink r:id="rId141" ref="E288"/>
    <hyperlink r:id="rId142" ref="E289"/>
    <hyperlink r:id="rId143" ref="E290"/>
    <hyperlink r:id="rId144" ref="E291"/>
    <hyperlink r:id="rId145" ref="E292"/>
    <hyperlink r:id="rId146" ref="E293"/>
    <hyperlink r:id="rId147" ref="E294"/>
    <hyperlink r:id="rId148" ref="E295"/>
    <hyperlink r:id="rId149" ref="E296"/>
    <hyperlink r:id="rId150" ref="E297"/>
    <hyperlink r:id="rId151" ref="E298"/>
    <hyperlink r:id="rId152" ref="E299"/>
    <hyperlink r:id="rId153" ref="E300"/>
    <hyperlink r:id="rId154" ref="E301"/>
    <hyperlink r:id="rId155" ref="E302"/>
    <hyperlink r:id="rId156" ref="E303"/>
    <hyperlink r:id="rId157" ref="E304"/>
    <hyperlink r:id="rId158" ref="E305"/>
    <hyperlink r:id="rId159" ref="E306"/>
    <hyperlink r:id="rId160" ref="E307"/>
    <hyperlink r:id="rId161" ref="E308"/>
    <hyperlink r:id="rId162" ref="E309"/>
    <hyperlink r:id="rId163" ref="E310"/>
    <hyperlink r:id="rId164" ref="E312"/>
    <hyperlink r:id="rId165" ref="E313"/>
    <hyperlink r:id="rId166" ref="E314"/>
    <hyperlink r:id="rId167" ref="E315"/>
    <hyperlink r:id="rId168" ref="E316"/>
    <hyperlink r:id="rId169" ref="E317"/>
    <hyperlink r:id="rId170" ref="E318"/>
    <hyperlink r:id="rId171" ref="E319"/>
    <hyperlink r:id="rId172" ref="E320"/>
    <hyperlink r:id="rId173" ref="E321"/>
    <hyperlink r:id="rId174" ref="E322"/>
    <hyperlink r:id="rId175" ref="E323"/>
    <hyperlink r:id="rId176" ref="E324"/>
    <hyperlink r:id="rId177" ref="E325"/>
    <hyperlink r:id="rId178" ref="E326"/>
    <hyperlink r:id="rId179" ref="E327"/>
    <hyperlink r:id="rId180" ref="E328"/>
    <hyperlink r:id="rId181" ref="D329"/>
    <hyperlink r:id="rId182" ref="E329"/>
    <hyperlink r:id="rId183" ref="D330"/>
    <hyperlink r:id="rId184" location="book-header" ref="E330"/>
    <hyperlink r:id="rId185" ref="E331"/>
    <hyperlink r:id="rId186" ref="E335"/>
    <hyperlink r:id="rId187" ref="F335"/>
    <hyperlink r:id="rId188" ref="E338"/>
    <hyperlink r:id="rId189" ref="E339"/>
    <hyperlink r:id="rId190" ref="E340"/>
    <hyperlink r:id="rId191" ref="E341"/>
    <hyperlink r:id="rId192" ref="E343"/>
    <hyperlink r:id="rId193" ref="E345"/>
    <hyperlink r:id="rId194" ref="F345"/>
    <hyperlink r:id="rId195" ref="E346"/>
    <hyperlink r:id="rId196" ref="F346"/>
    <hyperlink r:id="rId197" location="custom-3" ref="F347"/>
    <hyperlink r:id="rId198" ref="E348"/>
    <hyperlink r:id="rId199" location="custom-3" ref="F348"/>
    <hyperlink r:id="rId200" ref="E349"/>
    <hyperlink r:id="rId201" ref="E350"/>
    <hyperlink r:id="rId202" ref="E351"/>
    <hyperlink r:id="rId203" location="bib16" ref="E352"/>
    <hyperlink r:id="rId204" ref="E353"/>
    <hyperlink r:id="rId205" ref="E354"/>
    <hyperlink r:id="rId206" ref="E355"/>
    <hyperlink r:id="rId207" ref="E356"/>
    <hyperlink r:id="rId208" ref="E357"/>
    <hyperlink r:id="rId209" ref="E358"/>
    <hyperlink r:id="rId210" ref="D359"/>
    <hyperlink r:id="rId211" ref="F359"/>
    <hyperlink r:id="rId212" ref="B360"/>
    <hyperlink r:id="rId213" ref="E360"/>
    <hyperlink r:id="rId214" ref="F360"/>
    <hyperlink r:id="rId215" ref="E361"/>
    <hyperlink r:id="rId216" ref="E362"/>
    <hyperlink r:id="rId217" ref="E363"/>
    <hyperlink r:id="rId218" ref="B364"/>
    <hyperlink r:id="rId219" ref="E364"/>
    <hyperlink r:id="rId220" ref="E365"/>
    <hyperlink r:id="rId221" ref="E366"/>
    <hyperlink r:id="rId222" ref="E367"/>
    <hyperlink r:id="rId223" ref="E368"/>
    <hyperlink r:id="rId224" ref="E369"/>
    <hyperlink r:id="rId225" ref="E370"/>
    <hyperlink r:id="rId226" ref="E371"/>
    <hyperlink r:id="rId227" ref="E372"/>
    <hyperlink r:id="rId228" ref="E373"/>
    <hyperlink r:id="rId229" ref="E374"/>
    <hyperlink r:id="rId230" ref="E375"/>
    <hyperlink r:id="rId231" ref="E376"/>
    <hyperlink r:id="rId232" ref="E377"/>
    <hyperlink r:id="rId233" ref="E378"/>
    <hyperlink r:id="rId234" ref="E379"/>
    <hyperlink r:id="rId235" ref="E380"/>
    <hyperlink r:id="rId236" ref="E386"/>
    <hyperlink r:id="rId237" ref="E387"/>
    <hyperlink r:id="rId238" ref="E388"/>
    <hyperlink r:id="rId239" ref="E389"/>
    <hyperlink r:id="rId240" ref="E390"/>
    <hyperlink r:id="rId241" ref="E391"/>
    <hyperlink r:id="rId242" ref="E393"/>
    <hyperlink r:id="rId243" ref="E394"/>
    <hyperlink r:id="rId244" ref="E395"/>
    <hyperlink r:id="rId245" ref="E396"/>
    <hyperlink r:id="rId246" ref="E397"/>
    <hyperlink r:id="rId247" ref="E398"/>
    <hyperlink r:id="rId248" ref="E400"/>
    <hyperlink r:id="rId249" ref="E401"/>
    <hyperlink r:id="rId250" ref="E402"/>
    <hyperlink r:id="rId251" ref="E403"/>
    <hyperlink r:id="rId252" ref="E404"/>
    <hyperlink r:id="rId253" ref="E405"/>
    <hyperlink r:id="rId254" ref="E406"/>
    <hyperlink r:id="rId255" ref="E407"/>
    <hyperlink r:id="rId256" ref="E408"/>
    <hyperlink r:id="rId257" ref="E409"/>
    <hyperlink r:id="rId258" ref="E410"/>
    <hyperlink r:id="rId259" ref="E411"/>
    <hyperlink r:id="rId260" ref="E412"/>
    <hyperlink r:id="rId261" ref="E413"/>
    <hyperlink r:id="rId262" ref="E414"/>
    <hyperlink r:id="rId263" ref="E415"/>
    <hyperlink r:id="rId264" ref="E416"/>
    <hyperlink r:id="rId265" ref="E417"/>
    <hyperlink r:id="rId266" ref="E418"/>
    <hyperlink r:id="rId267" ref="E419"/>
    <hyperlink r:id="rId268" ref="E420"/>
    <hyperlink r:id="rId269" ref="E421"/>
    <hyperlink r:id="rId270" ref="E422"/>
    <hyperlink r:id="rId271" ref="E423"/>
    <hyperlink r:id="rId272" ref="E424"/>
    <hyperlink r:id="rId273" ref="E425"/>
    <hyperlink r:id="rId274" ref="E426"/>
    <hyperlink r:id="rId275" ref="E427"/>
    <hyperlink r:id="rId276" ref="E428"/>
    <hyperlink r:id="rId277" ref="E429"/>
    <hyperlink r:id="rId278" ref="E430"/>
    <hyperlink r:id="rId279" ref="F430"/>
    <hyperlink r:id="rId280" location="page=71 " ref="E431"/>
    <hyperlink r:id="rId281" location="page=71 " ref="F431"/>
    <hyperlink r:id="rId282" ref="E432"/>
    <hyperlink r:id="rId283" ref="F432"/>
    <hyperlink r:id="rId284" ref="E433"/>
    <hyperlink r:id="rId285" ref="F433"/>
    <hyperlink r:id="rId286" ref="E435"/>
    <hyperlink r:id="rId287" ref="F435"/>
    <hyperlink r:id="rId288" ref="E436"/>
    <hyperlink r:id="rId289" ref="E439"/>
    <hyperlink r:id="rId290" ref="E440"/>
    <hyperlink r:id="rId291" ref="E441"/>
    <hyperlink r:id="rId292" ref="E442"/>
    <hyperlink r:id="rId293" ref="E443"/>
    <hyperlink r:id="rId294" ref="E444"/>
    <hyperlink r:id="rId295" ref="E446"/>
    <hyperlink r:id="rId296" ref="E448"/>
    <hyperlink r:id="rId297" ref="E450"/>
    <hyperlink r:id="rId298" ref="E451"/>
    <hyperlink r:id="rId299" ref="E452"/>
    <hyperlink r:id="rId300" ref="E453"/>
    <hyperlink r:id="rId301" ref="E458"/>
    <hyperlink r:id="rId302" ref="E460"/>
    <hyperlink r:id="rId303" ref="E461"/>
    <hyperlink r:id="rId304" ref="E462"/>
    <hyperlink r:id="rId305" ref="E463"/>
    <hyperlink r:id="rId306" ref="E470"/>
    <hyperlink r:id="rId307" ref="E478"/>
    <hyperlink r:id="rId308" ref="E482"/>
    <hyperlink r:id="rId309" ref="E485"/>
    <hyperlink r:id="rId310" ref="E486"/>
    <hyperlink r:id="rId311" ref="E487"/>
    <hyperlink r:id="rId312" ref="E488"/>
    <hyperlink r:id="rId313" ref="E492"/>
    <hyperlink r:id="rId314" ref="E493"/>
    <hyperlink r:id="rId315" ref="E494"/>
    <hyperlink r:id="rId316" ref="E495"/>
    <hyperlink r:id="rId317" ref="E496"/>
    <hyperlink r:id="rId318" ref="E498"/>
    <hyperlink r:id="rId319" ref="E501"/>
    <hyperlink r:id="rId320" ref="E506"/>
    <hyperlink r:id="rId321" ref="E507"/>
    <hyperlink r:id="rId322" ref="E513"/>
    <hyperlink r:id="rId323" ref="E515"/>
    <hyperlink r:id="rId324" ref="E517"/>
    <hyperlink r:id="rId325" ref="E519"/>
    <hyperlink r:id="rId326" ref="E528"/>
    <hyperlink r:id="rId327" ref="E531"/>
    <hyperlink r:id="rId328" ref="E532"/>
    <hyperlink r:id="rId329" ref="E533"/>
    <hyperlink r:id="rId330" ref="E534"/>
    <hyperlink r:id="rId331" ref="E535"/>
    <hyperlink r:id="rId332" ref="E536"/>
    <hyperlink r:id="rId333" ref="E538"/>
    <hyperlink r:id="rId334" ref="E540"/>
    <hyperlink r:id="rId335" ref="E542"/>
    <hyperlink r:id="rId336" ref="E543"/>
    <hyperlink r:id="rId337" ref="E544"/>
    <hyperlink r:id="rId338" ref="E545"/>
    <hyperlink r:id="rId339" ref="E553"/>
    <hyperlink r:id="rId340" ref="E564"/>
    <hyperlink r:id="rId341" ref="E565"/>
    <hyperlink r:id="rId342" ref="E566"/>
    <hyperlink r:id="rId343" ref="E568"/>
    <hyperlink r:id="rId344" ref="E569"/>
    <hyperlink r:id="rId345" ref="E570"/>
    <hyperlink r:id="rId346" ref="E571"/>
    <hyperlink r:id="rId347" ref="E572"/>
    <hyperlink r:id="rId348" ref="E573"/>
    <hyperlink r:id="rId349" ref="E574"/>
    <hyperlink r:id="rId350" ref="E575"/>
    <hyperlink r:id="rId351" ref="E576"/>
    <hyperlink r:id="rId352" ref="E577"/>
    <hyperlink r:id="rId353" ref="E578"/>
    <hyperlink r:id="rId354" ref="E579"/>
    <hyperlink r:id="rId355" ref="E580"/>
    <hyperlink r:id="rId356" ref="E581"/>
    <hyperlink r:id="rId357" ref="E582"/>
    <hyperlink r:id="rId358" ref="E583"/>
    <hyperlink r:id="rId359" ref="E584"/>
    <hyperlink r:id="rId360" ref="E585"/>
    <hyperlink r:id="rId361" ref="E586"/>
    <hyperlink r:id="rId362" ref="E587"/>
    <hyperlink r:id="rId363" location="v=onepage&amp;q&amp;f=false" ref="E589"/>
    <hyperlink r:id="rId364" location="v=onepage&amp;q&amp;f=false" ref="E592"/>
    <hyperlink r:id="rId365" ref="E594"/>
    <hyperlink r:id="rId366" ref="E603"/>
    <hyperlink r:id="rId367" ref="E606"/>
    <hyperlink r:id="rId368" ref="E607"/>
  </hyperlinks>
  <printOptions/>
  <pageMargins bottom="1.0" footer="0.0" header="0.0" left="0.75" right="0.75" top="1.0"/>
  <pageSetup orientation="landscape"/>
  <drawing r:id="rId369"/>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28.57"/>
    <col customWidth="1" min="11" max="26" width="8.0"/>
  </cols>
  <sheetData>
    <row r="1">
      <c r="A1" s="104"/>
      <c r="B1" s="61"/>
      <c r="C1" s="61"/>
      <c r="D1" s="61"/>
      <c r="E1" s="61"/>
      <c r="F1" s="1"/>
      <c r="G1" s="1"/>
      <c r="H1" s="3"/>
      <c r="I1" s="3"/>
      <c r="J1" s="3"/>
      <c r="K1" s="3"/>
      <c r="L1" s="3"/>
      <c r="M1" s="3"/>
      <c r="N1" s="3"/>
      <c r="O1" s="3"/>
      <c r="P1" s="3"/>
      <c r="Q1" s="3"/>
      <c r="R1" s="3"/>
      <c r="S1" s="3"/>
      <c r="T1" s="3"/>
      <c r="U1" s="3"/>
      <c r="V1" s="3"/>
      <c r="W1" s="3"/>
      <c r="X1" s="3"/>
      <c r="Y1" s="3"/>
      <c r="Z1" s="3"/>
    </row>
    <row r="2" ht="14.25" customHeight="1">
      <c r="A2" s="280" t="s">
        <v>7493</v>
      </c>
      <c r="B2" s="103"/>
      <c r="C2" s="103"/>
      <c r="D2" s="103"/>
      <c r="E2" s="103"/>
      <c r="F2" s="103"/>
      <c r="G2" s="103"/>
      <c r="H2" s="103"/>
      <c r="I2" s="103"/>
      <c r="J2" s="107"/>
      <c r="K2" s="107"/>
      <c r="L2" s="107"/>
      <c r="M2" s="107"/>
      <c r="N2" s="107"/>
      <c r="O2" s="107"/>
      <c r="P2" s="107"/>
      <c r="Q2" s="107"/>
      <c r="R2" s="107"/>
      <c r="S2" s="107"/>
      <c r="T2" s="107"/>
      <c r="U2" s="107"/>
      <c r="V2" s="107"/>
      <c r="W2" s="107"/>
      <c r="X2" s="107"/>
      <c r="Y2" s="107"/>
      <c r="Z2" s="107"/>
    </row>
    <row r="3">
      <c r="A3" s="145"/>
      <c r="B3" s="145"/>
      <c r="C3" s="145"/>
      <c r="D3" s="145"/>
      <c r="E3" s="145"/>
      <c r="F3" s="145"/>
      <c r="G3" s="106"/>
      <c r="H3" s="107"/>
      <c r="I3" s="107"/>
      <c r="J3" s="107"/>
      <c r="K3" s="107"/>
      <c r="L3" s="107"/>
      <c r="M3" s="107"/>
      <c r="N3" s="107"/>
      <c r="O3" s="107"/>
      <c r="P3" s="107"/>
      <c r="Q3" s="107"/>
      <c r="R3" s="107"/>
      <c r="S3" s="107"/>
      <c r="T3" s="107"/>
      <c r="U3" s="107"/>
      <c r="V3" s="107"/>
      <c r="W3" s="107"/>
      <c r="X3" s="107"/>
      <c r="Y3" s="107"/>
      <c r="Z3" s="107"/>
    </row>
    <row r="4" ht="14.25" customHeight="1">
      <c r="A4" s="108" t="s">
        <v>7494</v>
      </c>
      <c r="B4" s="64"/>
      <c r="C4" s="64"/>
      <c r="D4" s="64"/>
      <c r="E4" s="64"/>
      <c r="F4" s="64"/>
      <c r="G4" s="64"/>
      <c r="H4" s="64"/>
      <c r="I4" s="65"/>
      <c r="J4" s="107"/>
      <c r="K4" s="107"/>
      <c r="L4" s="107"/>
      <c r="M4" s="107"/>
      <c r="N4" s="107"/>
      <c r="O4" s="107"/>
      <c r="P4" s="107"/>
      <c r="Q4" s="107"/>
      <c r="R4" s="107"/>
      <c r="S4" s="107"/>
      <c r="T4" s="107"/>
      <c r="U4" s="107"/>
      <c r="V4" s="107"/>
      <c r="W4" s="107"/>
      <c r="X4" s="107"/>
      <c r="Y4" s="107"/>
      <c r="Z4" s="107"/>
    </row>
    <row r="5" ht="27.0" customHeight="1">
      <c r="A5" s="108" t="s">
        <v>7495</v>
      </c>
      <c r="B5" s="64"/>
      <c r="C5" s="64"/>
      <c r="D5" s="64"/>
      <c r="E5" s="64"/>
      <c r="F5" s="64"/>
      <c r="G5" s="64"/>
      <c r="H5" s="64"/>
      <c r="I5" s="65"/>
      <c r="J5" s="107"/>
      <c r="K5" s="107"/>
      <c r="L5" s="107"/>
      <c r="M5" s="107"/>
      <c r="N5" s="107"/>
      <c r="O5" s="107"/>
      <c r="P5" s="107"/>
      <c r="Q5" s="107"/>
      <c r="R5" s="107"/>
      <c r="S5" s="107"/>
      <c r="T5" s="107"/>
      <c r="U5" s="107"/>
      <c r="V5" s="107"/>
      <c r="W5" s="107"/>
      <c r="X5" s="107"/>
      <c r="Y5" s="107"/>
      <c r="Z5" s="107"/>
    </row>
    <row r="6" ht="14.25" customHeight="1">
      <c r="A6" s="108" t="s">
        <v>7496</v>
      </c>
      <c r="B6" s="64"/>
      <c r="C6" s="64"/>
      <c r="D6" s="64"/>
      <c r="E6" s="64"/>
      <c r="F6" s="64"/>
      <c r="G6" s="64"/>
      <c r="H6" s="64"/>
      <c r="I6" s="65"/>
      <c r="J6" s="107"/>
      <c r="K6" s="107"/>
      <c r="L6" s="107"/>
      <c r="M6" s="107"/>
      <c r="N6" s="107"/>
      <c r="O6" s="107"/>
      <c r="P6" s="107"/>
      <c r="Q6" s="107"/>
      <c r="R6" s="107"/>
      <c r="S6" s="107"/>
      <c r="T6" s="107"/>
      <c r="U6" s="107"/>
      <c r="V6" s="107"/>
      <c r="W6" s="107"/>
      <c r="X6" s="107"/>
      <c r="Y6" s="107"/>
      <c r="Z6" s="107"/>
    </row>
    <row r="7" ht="17.25" customHeight="1">
      <c r="A7" s="108" t="s">
        <v>7497</v>
      </c>
      <c r="B7" s="64"/>
      <c r="C7" s="64"/>
      <c r="D7" s="64"/>
      <c r="E7" s="64"/>
      <c r="F7" s="64"/>
      <c r="G7" s="64"/>
      <c r="H7" s="64"/>
      <c r="I7" s="65"/>
      <c r="J7" s="107"/>
      <c r="K7" s="107"/>
      <c r="L7" s="107"/>
      <c r="M7" s="107"/>
      <c r="N7" s="107"/>
      <c r="O7" s="107"/>
      <c r="P7" s="107"/>
      <c r="Q7" s="107"/>
      <c r="R7" s="107"/>
      <c r="S7" s="107"/>
      <c r="T7" s="107"/>
      <c r="U7" s="107"/>
      <c r="V7" s="107"/>
      <c r="W7" s="107"/>
      <c r="X7" s="107"/>
      <c r="Y7" s="107"/>
      <c r="Z7" s="107"/>
    </row>
    <row r="8" ht="30.0" customHeight="1">
      <c r="A8" s="108" t="s">
        <v>7498</v>
      </c>
      <c r="B8" s="64"/>
      <c r="C8" s="64"/>
      <c r="D8" s="64"/>
      <c r="E8" s="64"/>
      <c r="F8" s="64"/>
      <c r="G8" s="64"/>
      <c r="H8" s="64"/>
      <c r="I8" s="65"/>
      <c r="J8" s="107"/>
      <c r="K8" s="107"/>
      <c r="L8" s="107"/>
      <c r="M8" s="107"/>
      <c r="N8" s="107"/>
      <c r="O8" s="107"/>
      <c r="P8" s="107"/>
      <c r="Q8" s="107"/>
      <c r="R8" s="107"/>
      <c r="S8" s="107"/>
      <c r="T8" s="107"/>
      <c r="U8" s="107"/>
      <c r="V8" s="107"/>
      <c r="W8" s="107"/>
      <c r="X8" s="107"/>
      <c r="Y8" s="107"/>
      <c r="Z8" s="107"/>
    </row>
    <row r="9" ht="15.0" customHeight="1">
      <c r="A9" s="108" t="s">
        <v>7499</v>
      </c>
      <c r="B9" s="64"/>
      <c r="C9" s="64"/>
      <c r="D9" s="64"/>
      <c r="E9" s="64"/>
      <c r="F9" s="64"/>
      <c r="G9" s="64"/>
      <c r="H9" s="64"/>
      <c r="I9" s="65"/>
      <c r="J9" s="107"/>
      <c r="K9" s="107"/>
      <c r="L9" s="107"/>
      <c r="M9" s="107"/>
      <c r="N9" s="107"/>
      <c r="O9" s="107"/>
      <c r="P9" s="107"/>
      <c r="Q9" s="107"/>
      <c r="R9" s="107"/>
      <c r="S9" s="107"/>
      <c r="T9" s="107"/>
      <c r="U9" s="107"/>
      <c r="V9" s="107"/>
      <c r="W9" s="107"/>
      <c r="X9" s="107"/>
      <c r="Y9" s="107"/>
      <c r="Z9" s="107"/>
    </row>
    <row r="10" ht="24.75" customHeight="1">
      <c r="A10" s="108" t="s">
        <v>7500</v>
      </c>
      <c r="B10" s="64"/>
      <c r="C10" s="64"/>
      <c r="D10" s="64"/>
      <c r="E10" s="64"/>
      <c r="F10" s="64"/>
      <c r="G10" s="64"/>
      <c r="H10" s="64"/>
      <c r="I10" s="65"/>
      <c r="J10" s="107"/>
      <c r="K10" s="107"/>
      <c r="L10" s="107"/>
      <c r="M10" s="107"/>
      <c r="N10" s="107"/>
      <c r="O10" s="107"/>
      <c r="P10" s="107"/>
      <c r="Q10" s="107"/>
      <c r="R10" s="107"/>
      <c r="S10" s="107"/>
      <c r="T10" s="107"/>
      <c r="U10" s="107"/>
      <c r="V10" s="107"/>
      <c r="W10" s="107"/>
      <c r="X10" s="107"/>
      <c r="Y10" s="107"/>
      <c r="Z10" s="107"/>
    </row>
    <row r="11" ht="14.25" customHeight="1">
      <c r="A11" s="108" t="s">
        <v>7501</v>
      </c>
      <c r="B11" s="64"/>
      <c r="C11" s="64"/>
      <c r="D11" s="64"/>
      <c r="E11" s="64"/>
      <c r="F11" s="64"/>
      <c r="G11" s="64"/>
      <c r="H11" s="64"/>
      <c r="I11" s="65"/>
      <c r="J11" s="107"/>
      <c r="K11" s="107"/>
      <c r="L11" s="107"/>
      <c r="M11" s="107"/>
      <c r="N11" s="107"/>
      <c r="O11" s="107"/>
      <c r="P11" s="107"/>
      <c r="Q11" s="107"/>
      <c r="R11" s="107"/>
      <c r="S11" s="107"/>
      <c r="T11" s="107"/>
      <c r="U11" s="107"/>
      <c r="V11" s="107"/>
      <c r="W11" s="107"/>
      <c r="X11" s="107"/>
      <c r="Y11" s="107"/>
      <c r="Z11" s="107"/>
    </row>
    <row r="12" ht="15.75" customHeight="1">
      <c r="A12" s="108" t="s">
        <v>7502</v>
      </c>
      <c r="B12" s="64"/>
      <c r="C12" s="64"/>
      <c r="D12" s="64"/>
      <c r="E12" s="64"/>
      <c r="F12" s="64"/>
      <c r="G12" s="64"/>
      <c r="H12" s="64"/>
      <c r="I12" s="65"/>
      <c r="J12" s="107"/>
      <c r="K12" s="107"/>
      <c r="L12" s="107"/>
      <c r="M12" s="107"/>
      <c r="N12" s="107"/>
      <c r="O12" s="107"/>
      <c r="P12" s="107"/>
      <c r="Q12" s="107"/>
      <c r="R12" s="107"/>
      <c r="S12" s="107"/>
      <c r="T12" s="107"/>
      <c r="U12" s="107"/>
      <c r="V12" s="107"/>
      <c r="W12" s="107"/>
      <c r="X12" s="107"/>
      <c r="Y12" s="107"/>
      <c r="Z12" s="107"/>
    </row>
    <row r="13" ht="213.0" customHeight="1">
      <c r="A13" s="67" t="s">
        <v>7503</v>
      </c>
      <c r="B13" s="64"/>
      <c r="C13" s="64"/>
      <c r="D13" s="64"/>
      <c r="E13" s="64"/>
      <c r="F13" s="64"/>
      <c r="G13" s="64"/>
      <c r="H13" s="64"/>
      <c r="I13" s="65"/>
      <c r="J13" s="107"/>
      <c r="K13" s="107"/>
      <c r="L13" s="107"/>
      <c r="M13" s="107"/>
      <c r="N13" s="107"/>
      <c r="O13" s="107"/>
      <c r="P13" s="107"/>
      <c r="Q13" s="107"/>
      <c r="R13" s="107"/>
      <c r="S13" s="107"/>
      <c r="T13" s="107"/>
      <c r="U13" s="107"/>
      <c r="V13" s="107"/>
      <c r="W13" s="107"/>
      <c r="X13" s="107"/>
      <c r="Y13" s="107"/>
      <c r="Z13" s="107"/>
    </row>
    <row r="14">
      <c r="A14" s="109"/>
      <c r="B14" s="110"/>
      <c r="C14" s="110"/>
      <c r="D14" s="110"/>
      <c r="E14" s="110"/>
      <c r="F14" s="109"/>
      <c r="G14" s="106"/>
      <c r="H14" s="107"/>
      <c r="I14" s="107"/>
      <c r="J14" s="107"/>
      <c r="K14" s="107"/>
      <c r="L14" s="107"/>
      <c r="M14" s="107"/>
      <c r="N14" s="107"/>
      <c r="O14" s="107"/>
      <c r="P14" s="107"/>
      <c r="Q14" s="107"/>
      <c r="R14" s="107"/>
      <c r="S14" s="107"/>
      <c r="T14" s="107"/>
      <c r="U14" s="107"/>
      <c r="V14" s="107"/>
      <c r="W14" s="107"/>
      <c r="X14" s="107"/>
      <c r="Y14" s="107"/>
      <c r="Z14" s="107"/>
    </row>
    <row r="15" ht="45.0" customHeight="1">
      <c r="A15" s="131" t="s">
        <v>7</v>
      </c>
      <c r="B15" s="132" t="s">
        <v>8</v>
      </c>
      <c r="C15" s="131" t="s">
        <v>7504</v>
      </c>
      <c r="D15" s="324" t="s">
        <v>7505</v>
      </c>
      <c r="E15" s="217" t="s">
        <v>7506</v>
      </c>
      <c r="F15" s="131" t="s">
        <v>7507</v>
      </c>
      <c r="G15" s="131" t="s">
        <v>7508</v>
      </c>
      <c r="H15" s="131" t="s">
        <v>7509</v>
      </c>
      <c r="I15" s="131" t="s">
        <v>221</v>
      </c>
      <c r="J15" s="113" t="s">
        <v>222</v>
      </c>
      <c r="K15" s="3"/>
      <c r="L15" s="3"/>
      <c r="M15" s="3"/>
      <c r="N15" s="3"/>
      <c r="O15" s="3"/>
      <c r="P15" s="3"/>
      <c r="Q15" s="3"/>
      <c r="R15" s="3"/>
      <c r="S15" s="3"/>
      <c r="T15" s="3"/>
      <c r="U15" s="3"/>
      <c r="V15" s="3"/>
      <c r="W15" s="3"/>
      <c r="X15" s="3"/>
      <c r="Y15" s="3"/>
      <c r="Z15" s="3"/>
    </row>
    <row r="16" ht="15.0" customHeight="1">
      <c r="A16" s="82" t="s">
        <v>79</v>
      </c>
      <c r="B16" s="82" t="s">
        <v>52</v>
      </c>
      <c r="C16" s="82" t="s">
        <v>7510</v>
      </c>
      <c r="D16" s="82" t="s">
        <v>2513</v>
      </c>
      <c r="E16" s="95" t="s">
        <v>7511</v>
      </c>
      <c r="F16" s="325">
        <v>45058.0</v>
      </c>
      <c r="G16" s="82">
        <v>50.0</v>
      </c>
      <c r="H16" s="326" t="s">
        <v>7512</v>
      </c>
      <c r="I16" s="288">
        <v>50.0</v>
      </c>
      <c r="J16" s="281" t="s">
        <v>79</v>
      </c>
    </row>
    <row r="17" ht="15.0" customHeight="1">
      <c r="A17" s="82" t="s">
        <v>79</v>
      </c>
      <c r="B17" s="82" t="s">
        <v>52</v>
      </c>
      <c r="C17" s="82" t="s">
        <v>7513</v>
      </c>
      <c r="D17" s="82" t="s">
        <v>2513</v>
      </c>
      <c r="E17" s="281" t="s">
        <v>7514</v>
      </c>
      <c r="F17" s="325" t="s">
        <v>7515</v>
      </c>
      <c r="G17" s="82">
        <v>50.0</v>
      </c>
      <c r="H17" s="326" t="s">
        <v>7516</v>
      </c>
      <c r="I17" s="288">
        <v>50.0</v>
      </c>
      <c r="J17" s="281" t="s">
        <v>79</v>
      </c>
    </row>
    <row r="18" ht="15.0" customHeight="1">
      <c r="A18" s="82" t="s">
        <v>79</v>
      </c>
      <c r="B18" s="82" t="s">
        <v>52</v>
      </c>
      <c r="C18" s="82" t="s">
        <v>7517</v>
      </c>
      <c r="D18" s="82" t="s">
        <v>2513</v>
      </c>
      <c r="E18" s="281" t="s">
        <v>7518</v>
      </c>
      <c r="F18" s="325" t="s">
        <v>7519</v>
      </c>
      <c r="G18" s="82">
        <v>50.0</v>
      </c>
      <c r="H18" s="326" t="s">
        <v>7520</v>
      </c>
      <c r="I18" s="288">
        <v>50.0</v>
      </c>
      <c r="J18" s="281" t="s">
        <v>79</v>
      </c>
    </row>
    <row r="19" ht="15.0" customHeight="1">
      <c r="A19" s="82" t="s">
        <v>79</v>
      </c>
      <c r="B19" s="82" t="s">
        <v>52</v>
      </c>
      <c r="C19" s="82" t="s">
        <v>7521</v>
      </c>
      <c r="D19" s="82" t="s">
        <v>2513</v>
      </c>
      <c r="E19" s="281" t="s">
        <v>7514</v>
      </c>
      <c r="F19" s="325" t="s">
        <v>7522</v>
      </c>
      <c r="G19" s="82">
        <v>50.0</v>
      </c>
      <c r="H19" s="326" t="s">
        <v>7516</v>
      </c>
      <c r="I19" s="288">
        <v>50.0</v>
      </c>
      <c r="J19" s="281" t="s">
        <v>79</v>
      </c>
    </row>
    <row r="20" ht="15.0" customHeight="1">
      <c r="A20" s="82" t="s">
        <v>79</v>
      </c>
      <c r="B20" s="82" t="s">
        <v>52</v>
      </c>
      <c r="C20" s="82" t="s">
        <v>7523</v>
      </c>
      <c r="D20" s="82" t="s">
        <v>2513</v>
      </c>
      <c r="E20" s="281" t="s">
        <v>7524</v>
      </c>
      <c r="F20" s="325" t="s">
        <v>7525</v>
      </c>
      <c r="G20" s="82">
        <v>50.0</v>
      </c>
      <c r="H20" s="326" t="s">
        <v>7516</v>
      </c>
      <c r="I20" s="288">
        <v>50.0</v>
      </c>
      <c r="J20" s="281" t="s">
        <v>79</v>
      </c>
    </row>
    <row r="21" ht="15.0" customHeight="1">
      <c r="A21" s="82" t="s">
        <v>7526</v>
      </c>
      <c r="B21" s="82" t="s">
        <v>52</v>
      </c>
      <c r="C21" s="82" t="s">
        <v>225</v>
      </c>
      <c r="D21" s="82" t="s">
        <v>7527</v>
      </c>
      <c r="E21" s="327" t="s">
        <v>7528</v>
      </c>
      <c r="F21" s="82" t="s">
        <v>7529</v>
      </c>
      <c r="G21" s="82">
        <v>300.0</v>
      </c>
      <c r="H21" s="326" t="s">
        <v>7530</v>
      </c>
      <c r="I21" s="290">
        <v>300.0</v>
      </c>
      <c r="J21" s="281" t="s">
        <v>51</v>
      </c>
    </row>
    <row r="22" ht="15.0" customHeight="1">
      <c r="A22" s="82" t="s">
        <v>7526</v>
      </c>
      <c r="B22" s="82" t="s">
        <v>52</v>
      </c>
      <c r="C22" s="82" t="s">
        <v>351</v>
      </c>
      <c r="D22" s="82" t="s">
        <v>7527</v>
      </c>
      <c r="E22" s="327" t="s">
        <v>7531</v>
      </c>
      <c r="F22" s="82" t="s">
        <v>7532</v>
      </c>
      <c r="G22" s="82">
        <v>300.0</v>
      </c>
      <c r="H22" s="326" t="s">
        <v>7533</v>
      </c>
      <c r="I22" s="290">
        <v>300.0</v>
      </c>
      <c r="J22" s="281" t="s">
        <v>51</v>
      </c>
    </row>
    <row r="23" ht="15.0" customHeight="1">
      <c r="A23" s="82" t="s">
        <v>7526</v>
      </c>
      <c r="B23" s="82" t="s">
        <v>52</v>
      </c>
      <c r="C23" s="82" t="s">
        <v>7534</v>
      </c>
      <c r="D23" s="82" t="s">
        <v>7527</v>
      </c>
      <c r="E23" s="327" t="s">
        <v>7535</v>
      </c>
      <c r="F23" s="82" t="s">
        <v>7536</v>
      </c>
      <c r="G23" s="82">
        <v>50.0</v>
      </c>
      <c r="H23" s="326" t="s">
        <v>7537</v>
      </c>
      <c r="I23" s="290">
        <v>50.0</v>
      </c>
      <c r="J23" s="281" t="s">
        <v>51</v>
      </c>
    </row>
    <row r="24" ht="15.0" customHeight="1">
      <c r="A24" s="82" t="s">
        <v>7526</v>
      </c>
      <c r="B24" s="82" t="s">
        <v>52</v>
      </c>
      <c r="C24" s="82" t="s">
        <v>7538</v>
      </c>
      <c r="D24" s="82" t="s">
        <v>7527</v>
      </c>
      <c r="E24" s="327" t="s">
        <v>7539</v>
      </c>
      <c r="F24" s="82" t="s">
        <v>7540</v>
      </c>
      <c r="G24" s="82">
        <v>50.0</v>
      </c>
      <c r="H24" s="326" t="s">
        <v>7537</v>
      </c>
      <c r="I24" s="290">
        <v>50.0</v>
      </c>
      <c r="J24" s="281" t="s">
        <v>51</v>
      </c>
    </row>
    <row r="25" ht="15.0" customHeight="1">
      <c r="A25" s="82" t="s">
        <v>7526</v>
      </c>
      <c r="B25" s="82" t="s">
        <v>52</v>
      </c>
      <c r="C25" s="82" t="s">
        <v>7541</v>
      </c>
      <c r="D25" s="82" t="s">
        <v>7527</v>
      </c>
      <c r="E25" s="327" t="s">
        <v>7542</v>
      </c>
      <c r="F25" s="82" t="s">
        <v>7543</v>
      </c>
      <c r="G25" s="82">
        <v>50.0</v>
      </c>
      <c r="H25" s="326" t="s">
        <v>7537</v>
      </c>
      <c r="I25" s="290">
        <v>50.0</v>
      </c>
      <c r="J25" s="281" t="s">
        <v>51</v>
      </c>
    </row>
    <row r="26" ht="15.0" customHeight="1">
      <c r="A26" s="82" t="s">
        <v>7526</v>
      </c>
      <c r="B26" s="82" t="s">
        <v>52</v>
      </c>
      <c r="C26" s="82" t="s">
        <v>7544</v>
      </c>
      <c r="D26" s="82" t="s">
        <v>7527</v>
      </c>
      <c r="E26" s="327" t="s">
        <v>7545</v>
      </c>
      <c r="F26" s="82" t="s">
        <v>7546</v>
      </c>
      <c r="G26" s="82">
        <v>50.0</v>
      </c>
      <c r="H26" s="326" t="s">
        <v>7537</v>
      </c>
      <c r="I26" s="290">
        <v>50.0</v>
      </c>
      <c r="J26" s="281" t="s">
        <v>51</v>
      </c>
    </row>
    <row r="27" ht="15.0" customHeight="1">
      <c r="A27" s="82" t="s">
        <v>7526</v>
      </c>
      <c r="B27" s="82" t="s">
        <v>52</v>
      </c>
      <c r="C27" s="82" t="s">
        <v>7547</v>
      </c>
      <c r="D27" s="82" t="s">
        <v>7527</v>
      </c>
      <c r="E27" s="327" t="s">
        <v>7542</v>
      </c>
      <c r="F27" s="82" t="s">
        <v>7548</v>
      </c>
      <c r="G27" s="82">
        <v>50.0</v>
      </c>
      <c r="H27" s="326" t="s">
        <v>7537</v>
      </c>
      <c r="I27" s="290">
        <v>50.0</v>
      </c>
      <c r="J27" s="281" t="s">
        <v>51</v>
      </c>
    </row>
    <row r="28" ht="15.0" customHeight="1">
      <c r="A28" s="82" t="s">
        <v>7526</v>
      </c>
      <c r="B28" s="82" t="s">
        <v>52</v>
      </c>
      <c r="C28" s="82" t="s">
        <v>7549</v>
      </c>
      <c r="D28" s="82" t="s">
        <v>7527</v>
      </c>
      <c r="E28" s="327" t="s">
        <v>7550</v>
      </c>
      <c r="F28" s="82" t="s">
        <v>7551</v>
      </c>
      <c r="G28" s="82">
        <v>50.0</v>
      </c>
      <c r="H28" s="326" t="s">
        <v>7537</v>
      </c>
      <c r="I28" s="290">
        <v>50.0</v>
      </c>
      <c r="J28" s="281" t="s">
        <v>51</v>
      </c>
    </row>
    <row r="29" ht="15.0" customHeight="1">
      <c r="A29" s="82" t="s">
        <v>7526</v>
      </c>
      <c r="B29" s="82" t="s">
        <v>52</v>
      </c>
      <c r="C29" s="82" t="s">
        <v>7552</v>
      </c>
      <c r="D29" s="82" t="s">
        <v>7527</v>
      </c>
      <c r="E29" s="327" t="s">
        <v>7542</v>
      </c>
      <c r="F29" s="82" t="s">
        <v>7553</v>
      </c>
      <c r="G29" s="82">
        <v>50.0</v>
      </c>
      <c r="H29" s="326" t="s">
        <v>7537</v>
      </c>
      <c r="I29" s="290">
        <v>50.0</v>
      </c>
      <c r="J29" s="281" t="s">
        <v>51</v>
      </c>
    </row>
    <row r="30" ht="15.0" customHeight="1">
      <c r="A30" s="82" t="s">
        <v>7526</v>
      </c>
      <c r="B30" s="82" t="s">
        <v>52</v>
      </c>
      <c r="C30" s="82" t="s">
        <v>7554</v>
      </c>
      <c r="D30" s="82" t="s">
        <v>7527</v>
      </c>
      <c r="E30" s="327" t="s">
        <v>7555</v>
      </c>
      <c r="F30" s="325" t="s">
        <v>7556</v>
      </c>
      <c r="G30" s="82">
        <v>50.0</v>
      </c>
      <c r="H30" s="326" t="s">
        <v>7537</v>
      </c>
      <c r="I30" s="290">
        <v>50.0</v>
      </c>
      <c r="J30" s="281" t="s">
        <v>51</v>
      </c>
    </row>
    <row r="31" ht="15.0" customHeight="1">
      <c r="A31" s="82" t="s">
        <v>7526</v>
      </c>
      <c r="B31" s="82" t="s">
        <v>52</v>
      </c>
      <c r="C31" s="82" t="s">
        <v>7557</v>
      </c>
      <c r="D31" s="82" t="s">
        <v>7527</v>
      </c>
      <c r="E31" s="327" t="s">
        <v>7558</v>
      </c>
      <c r="F31" s="82" t="s">
        <v>7559</v>
      </c>
      <c r="G31" s="82">
        <v>50.0</v>
      </c>
      <c r="H31" s="326" t="s">
        <v>7537</v>
      </c>
      <c r="I31" s="290">
        <v>50.0</v>
      </c>
      <c r="J31" s="281" t="s">
        <v>51</v>
      </c>
    </row>
    <row r="32" ht="15.0" customHeight="1">
      <c r="A32" s="82" t="s">
        <v>7526</v>
      </c>
      <c r="B32" s="82" t="s">
        <v>52</v>
      </c>
      <c r="C32" s="82" t="s">
        <v>7560</v>
      </c>
      <c r="D32" s="82" t="s">
        <v>7527</v>
      </c>
      <c r="E32" s="327" t="s">
        <v>7561</v>
      </c>
      <c r="F32" s="82" t="s">
        <v>7562</v>
      </c>
      <c r="G32" s="82">
        <v>50.0</v>
      </c>
      <c r="H32" s="326" t="s">
        <v>7537</v>
      </c>
      <c r="I32" s="290">
        <v>50.0</v>
      </c>
      <c r="J32" s="281" t="s">
        <v>51</v>
      </c>
    </row>
    <row r="33" ht="15.0" customHeight="1">
      <c r="A33" s="82" t="s">
        <v>7526</v>
      </c>
      <c r="B33" s="82" t="s">
        <v>52</v>
      </c>
      <c r="C33" s="82" t="s">
        <v>7563</v>
      </c>
      <c r="D33" s="82" t="s">
        <v>7527</v>
      </c>
      <c r="E33" s="327" t="s">
        <v>7564</v>
      </c>
      <c r="F33" s="82" t="s">
        <v>7565</v>
      </c>
      <c r="G33" s="82">
        <v>50.0</v>
      </c>
      <c r="H33" s="326" t="s">
        <v>7537</v>
      </c>
      <c r="I33" s="290">
        <v>50.0</v>
      </c>
      <c r="J33" s="281" t="s">
        <v>51</v>
      </c>
    </row>
    <row r="34" ht="15.0" customHeight="1">
      <c r="A34" s="82" t="s">
        <v>7526</v>
      </c>
      <c r="B34" s="82" t="s">
        <v>52</v>
      </c>
      <c r="C34" s="82" t="s">
        <v>7566</v>
      </c>
      <c r="D34" s="82" t="s">
        <v>7527</v>
      </c>
      <c r="E34" s="327" t="s">
        <v>7535</v>
      </c>
      <c r="F34" s="82" t="s">
        <v>7567</v>
      </c>
      <c r="G34" s="82">
        <v>50.0</v>
      </c>
      <c r="H34" s="326" t="s">
        <v>7537</v>
      </c>
      <c r="I34" s="290">
        <v>50.0</v>
      </c>
      <c r="J34" s="281" t="s">
        <v>51</v>
      </c>
    </row>
    <row r="35" ht="15.0" customHeight="1">
      <c r="A35" s="85" t="s">
        <v>7526</v>
      </c>
      <c r="B35" s="85" t="s">
        <v>52</v>
      </c>
      <c r="C35" s="82" t="s">
        <v>7568</v>
      </c>
      <c r="D35" s="82" t="s">
        <v>7527</v>
      </c>
      <c r="E35" s="327" t="s">
        <v>7550</v>
      </c>
      <c r="F35" s="82" t="s">
        <v>7569</v>
      </c>
      <c r="G35" s="82">
        <v>50.0</v>
      </c>
      <c r="H35" s="326" t="s">
        <v>7537</v>
      </c>
      <c r="I35" s="290">
        <v>50.0</v>
      </c>
      <c r="J35" s="281" t="s">
        <v>51</v>
      </c>
    </row>
    <row r="36" ht="15.0" customHeight="1">
      <c r="A36" s="85" t="s">
        <v>7526</v>
      </c>
      <c r="B36" s="85" t="s">
        <v>52</v>
      </c>
      <c r="C36" s="85" t="s">
        <v>7570</v>
      </c>
      <c r="D36" s="82" t="s">
        <v>7527</v>
      </c>
      <c r="E36" s="327" t="s">
        <v>7571</v>
      </c>
      <c r="F36" s="82" t="s">
        <v>7572</v>
      </c>
      <c r="G36" s="82">
        <v>50.0</v>
      </c>
      <c r="H36" s="326" t="s">
        <v>7537</v>
      </c>
      <c r="I36" s="290">
        <v>50.0</v>
      </c>
      <c r="J36" s="281" t="s">
        <v>51</v>
      </c>
    </row>
    <row r="37" ht="15.0" customHeight="1">
      <c r="A37" s="85" t="s">
        <v>7526</v>
      </c>
      <c r="B37" s="85" t="s">
        <v>52</v>
      </c>
      <c r="C37" s="85" t="s">
        <v>7573</v>
      </c>
      <c r="D37" s="82" t="s">
        <v>7527</v>
      </c>
      <c r="E37" s="327" t="s">
        <v>7574</v>
      </c>
      <c r="F37" s="82" t="s">
        <v>7575</v>
      </c>
      <c r="G37" s="82">
        <v>50.0</v>
      </c>
      <c r="H37" s="326" t="s">
        <v>7537</v>
      </c>
      <c r="I37" s="290">
        <v>50.0</v>
      </c>
      <c r="J37" s="281" t="s">
        <v>51</v>
      </c>
    </row>
    <row r="38" ht="15.0" customHeight="1">
      <c r="A38" s="85" t="s">
        <v>7526</v>
      </c>
      <c r="B38" s="85" t="s">
        <v>52</v>
      </c>
      <c r="C38" s="85" t="s">
        <v>7576</v>
      </c>
      <c r="D38" s="82" t="s">
        <v>7577</v>
      </c>
      <c r="E38" s="327" t="s">
        <v>7578</v>
      </c>
      <c r="F38" s="82" t="s">
        <v>7579</v>
      </c>
      <c r="G38" s="82">
        <v>50.0</v>
      </c>
      <c r="H38" s="326" t="s">
        <v>7537</v>
      </c>
      <c r="I38" s="290">
        <v>50.0</v>
      </c>
      <c r="J38" s="281" t="s">
        <v>51</v>
      </c>
    </row>
    <row r="39" ht="15.0" customHeight="1">
      <c r="A39" s="85" t="s">
        <v>7526</v>
      </c>
      <c r="B39" s="85" t="s">
        <v>52</v>
      </c>
      <c r="C39" s="85" t="s">
        <v>7580</v>
      </c>
      <c r="D39" s="85" t="s">
        <v>7581</v>
      </c>
      <c r="E39" s="327" t="s">
        <v>7582</v>
      </c>
      <c r="F39" s="85" t="s">
        <v>7583</v>
      </c>
      <c r="G39" s="82">
        <v>50.0</v>
      </c>
      <c r="H39" s="326" t="s">
        <v>7537</v>
      </c>
      <c r="I39" s="290">
        <v>50.0</v>
      </c>
      <c r="J39" s="281" t="s">
        <v>51</v>
      </c>
    </row>
    <row r="40" ht="15.0" customHeight="1">
      <c r="A40" s="85" t="s">
        <v>7526</v>
      </c>
      <c r="B40" s="85" t="s">
        <v>52</v>
      </c>
      <c r="C40" s="85" t="s">
        <v>400</v>
      </c>
      <c r="D40" s="85" t="s">
        <v>7527</v>
      </c>
      <c r="E40" s="327" t="s">
        <v>7584</v>
      </c>
      <c r="F40" s="85" t="s">
        <v>7585</v>
      </c>
      <c r="G40" s="82">
        <v>50.0</v>
      </c>
      <c r="H40" s="326" t="s">
        <v>7537</v>
      </c>
      <c r="I40" s="290">
        <v>50.0</v>
      </c>
      <c r="J40" s="281" t="s">
        <v>51</v>
      </c>
    </row>
    <row r="41" ht="15.0" customHeight="1">
      <c r="A41" s="85" t="s">
        <v>73</v>
      </c>
      <c r="B41" s="85" t="s">
        <v>52</v>
      </c>
      <c r="C41" s="82" t="s">
        <v>7586</v>
      </c>
      <c r="D41" s="82" t="s">
        <v>7416</v>
      </c>
      <c r="E41" s="327" t="s">
        <v>7535</v>
      </c>
      <c r="F41" s="325" t="s">
        <v>7587</v>
      </c>
      <c r="G41" s="152">
        <v>50.0</v>
      </c>
      <c r="H41" s="82"/>
      <c r="I41" s="293">
        <f t="shared" ref="I41:I54" si="1">G41</f>
        <v>50</v>
      </c>
      <c r="J41" s="281" t="s">
        <v>73</v>
      </c>
    </row>
    <row r="42" ht="15.0" customHeight="1">
      <c r="A42" s="85" t="s">
        <v>73</v>
      </c>
      <c r="B42" s="85" t="s">
        <v>52</v>
      </c>
      <c r="C42" s="85" t="s">
        <v>328</v>
      </c>
      <c r="D42" s="82" t="s">
        <v>1264</v>
      </c>
      <c r="E42" s="328" t="s">
        <v>7588</v>
      </c>
      <c r="F42" s="85" t="s">
        <v>7589</v>
      </c>
      <c r="G42" s="152">
        <v>50.0</v>
      </c>
      <c r="H42" s="82"/>
      <c r="I42" s="293">
        <f t="shared" si="1"/>
        <v>50</v>
      </c>
      <c r="J42" s="281" t="s">
        <v>73</v>
      </c>
    </row>
    <row r="43" ht="15.0" customHeight="1">
      <c r="A43" s="85" t="s">
        <v>73</v>
      </c>
      <c r="B43" s="85" t="s">
        <v>52</v>
      </c>
      <c r="C43" s="85" t="s">
        <v>7590</v>
      </c>
      <c r="D43" s="82" t="s">
        <v>1264</v>
      </c>
      <c r="E43" s="328" t="s">
        <v>7588</v>
      </c>
      <c r="F43" s="85" t="s">
        <v>7591</v>
      </c>
      <c r="G43" s="152">
        <v>50.0</v>
      </c>
      <c r="H43" s="82"/>
      <c r="I43" s="293">
        <f t="shared" si="1"/>
        <v>50</v>
      </c>
      <c r="J43" s="281" t="s">
        <v>73</v>
      </c>
    </row>
    <row r="44" ht="15.0" customHeight="1">
      <c r="A44" s="85" t="s">
        <v>73</v>
      </c>
      <c r="B44" s="85" t="s">
        <v>52</v>
      </c>
      <c r="C44" s="85" t="s">
        <v>328</v>
      </c>
      <c r="D44" s="82" t="s">
        <v>1264</v>
      </c>
      <c r="E44" s="328" t="s">
        <v>7588</v>
      </c>
      <c r="F44" s="85" t="s">
        <v>7592</v>
      </c>
      <c r="G44" s="152">
        <v>50.0</v>
      </c>
      <c r="H44" s="82"/>
      <c r="I44" s="293">
        <f t="shared" si="1"/>
        <v>50</v>
      </c>
      <c r="J44" s="281" t="s">
        <v>73</v>
      </c>
    </row>
    <row r="45" ht="15.0" customHeight="1">
      <c r="A45" s="85" t="s">
        <v>73</v>
      </c>
      <c r="B45" s="85" t="s">
        <v>52</v>
      </c>
      <c r="C45" s="85" t="s">
        <v>602</v>
      </c>
      <c r="D45" s="82" t="s">
        <v>1264</v>
      </c>
      <c r="E45" s="328" t="s">
        <v>7588</v>
      </c>
      <c r="F45" s="85" t="s">
        <v>7593</v>
      </c>
      <c r="G45" s="152">
        <v>50.0</v>
      </c>
      <c r="H45" s="82"/>
      <c r="I45" s="293">
        <f t="shared" si="1"/>
        <v>50</v>
      </c>
      <c r="J45" s="281" t="s">
        <v>73</v>
      </c>
    </row>
    <row r="46" ht="15.0" customHeight="1">
      <c r="A46" s="85" t="s">
        <v>73</v>
      </c>
      <c r="B46" s="85" t="s">
        <v>52</v>
      </c>
      <c r="C46" s="85" t="s">
        <v>7594</v>
      </c>
      <c r="D46" s="82" t="s">
        <v>1264</v>
      </c>
      <c r="E46" s="328" t="s">
        <v>7588</v>
      </c>
      <c r="F46" s="329" t="s">
        <v>7595</v>
      </c>
      <c r="G46" s="329">
        <v>50.0</v>
      </c>
      <c r="H46" s="82"/>
      <c r="I46" s="293">
        <f t="shared" si="1"/>
        <v>50</v>
      </c>
      <c r="J46" s="281" t="s">
        <v>73</v>
      </c>
    </row>
    <row r="47" ht="15.0" customHeight="1">
      <c r="A47" s="85" t="s">
        <v>73</v>
      </c>
      <c r="B47" s="85" t="s">
        <v>52</v>
      </c>
      <c r="C47" s="85" t="s">
        <v>7590</v>
      </c>
      <c r="D47" s="82" t="s">
        <v>1264</v>
      </c>
      <c r="E47" s="328" t="s">
        <v>7588</v>
      </c>
      <c r="F47" s="329" t="s">
        <v>7596</v>
      </c>
      <c r="G47" s="329">
        <v>50.0</v>
      </c>
      <c r="H47" s="82"/>
      <c r="I47" s="293">
        <f t="shared" si="1"/>
        <v>50</v>
      </c>
      <c r="J47" s="281" t="s">
        <v>73</v>
      </c>
    </row>
    <row r="48" ht="15.0" customHeight="1">
      <c r="A48" s="85" t="s">
        <v>73</v>
      </c>
      <c r="B48" s="82" t="s">
        <v>52</v>
      </c>
      <c r="C48" s="82" t="s">
        <v>7590</v>
      </c>
      <c r="D48" s="82" t="s">
        <v>1264</v>
      </c>
      <c r="E48" s="328" t="s">
        <v>7588</v>
      </c>
      <c r="F48" s="82" t="s">
        <v>7596</v>
      </c>
      <c r="G48" s="152">
        <v>50.0</v>
      </c>
      <c r="H48" s="82"/>
      <c r="I48" s="293">
        <f t="shared" si="1"/>
        <v>50</v>
      </c>
      <c r="J48" s="281" t="s">
        <v>73</v>
      </c>
    </row>
    <row r="49" ht="15.0" customHeight="1">
      <c r="A49" s="85" t="s">
        <v>73</v>
      </c>
      <c r="B49" s="82" t="s">
        <v>52</v>
      </c>
      <c r="C49" s="85" t="s">
        <v>328</v>
      </c>
      <c r="D49" s="82" t="s">
        <v>1264</v>
      </c>
      <c r="E49" s="328" t="s">
        <v>7588</v>
      </c>
      <c r="F49" s="329" t="s">
        <v>7597</v>
      </c>
      <c r="G49" s="152">
        <v>50.0</v>
      </c>
      <c r="H49" s="82"/>
      <c r="I49" s="293">
        <f t="shared" si="1"/>
        <v>50</v>
      </c>
      <c r="J49" s="281" t="s">
        <v>73</v>
      </c>
    </row>
    <row r="50" ht="15.0" customHeight="1">
      <c r="A50" s="85" t="s">
        <v>73</v>
      </c>
      <c r="B50" s="82" t="s">
        <v>52</v>
      </c>
      <c r="C50" s="82" t="s">
        <v>7594</v>
      </c>
      <c r="D50" s="82" t="s">
        <v>1264</v>
      </c>
      <c r="E50" s="328" t="s">
        <v>7588</v>
      </c>
      <c r="F50" s="325" t="s">
        <v>7598</v>
      </c>
      <c r="G50" s="152">
        <v>50.0</v>
      </c>
      <c r="H50" s="82"/>
      <c r="I50" s="293">
        <f t="shared" si="1"/>
        <v>50</v>
      </c>
      <c r="J50" s="281" t="s">
        <v>73</v>
      </c>
    </row>
    <row r="51" ht="15.0" customHeight="1">
      <c r="A51" s="85" t="s">
        <v>73</v>
      </c>
      <c r="B51" s="82" t="s">
        <v>52</v>
      </c>
      <c r="C51" s="82" t="s">
        <v>7590</v>
      </c>
      <c r="D51" s="82" t="s">
        <v>1264</v>
      </c>
      <c r="E51" s="328" t="s">
        <v>7588</v>
      </c>
      <c r="F51" s="325" t="s">
        <v>7599</v>
      </c>
      <c r="G51" s="82">
        <v>50.0</v>
      </c>
      <c r="H51" s="82"/>
      <c r="I51" s="82">
        <f t="shared" si="1"/>
        <v>50</v>
      </c>
      <c r="J51" s="281" t="s">
        <v>73</v>
      </c>
    </row>
    <row r="52" ht="15.0" customHeight="1">
      <c r="A52" s="85" t="s">
        <v>73</v>
      </c>
      <c r="B52" s="82" t="s">
        <v>52</v>
      </c>
      <c r="C52" s="82" t="s">
        <v>7600</v>
      </c>
      <c r="D52" s="82" t="s">
        <v>1264</v>
      </c>
      <c r="E52" s="328" t="s">
        <v>7588</v>
      </c>
      <c r="F52" s="325" t="s">
        <v>7601</v>
      </c>
      <c r="G52" s="82">
        <v>50.0</v>
      </c>
      <c r="H52" s="82"/>
      <c r="I52" s="82">
        <f t="shared" si="1"/>
        <v>50</v>
      </c>
      <c r="J52" s="281" t="s">
        <v>73</v>
      </c>
    </row>
    <row r="53" ht="15.0" customHeight="1">
      <c r="A53" s="85" t="s">
        <v>73</v>
      </c>
      <c r="B53" s="82" t="s">
        <v>52</v>
      </c>
      <c r="C53" s="85" t="s">
        <v>7594</v>
      </c>
      <c r="D53" s="82" t="s">
        <v>1264</v>
      </c>
      <c r="E53" s="328" t="s">
        <v>7588</v>
      </c>
      <c r="F53" s="329" t="s">
        <v>7602</v>
      </c>
      <c r="G53" s="329">
        <v>50.0</v>
      </c>
      <c r="H53" s="82"/>
      <c r="I53" s="152">
        <f t="shared" si="1"/>
        <v>50</v>
      </c>
      <c r="J53" s="281" t="s">
        <v>73</v>
      </c>
    </row>
    <row r="54" ht="15.0" customHeight="1">
      <c r="A54" s="85" t="s">
        <v>73</v>
      </c>
      <c r="B54" s="82" t="s">
        <v>52</v>
      </c>
      <c r="C54" s="85" t="s">
        <v>7590</v>
      </c>
      <c r="D54" s="82" t="s">
        <v>1264</v>
      </c>
      <c r="E54" s="328" t="s">
        <v>7588</v>
      </c>
      <c r="F54" s="85" t="s">
        <v>7603</v>
      </c>
      <c r="G54" s="152">
        <v>50.0</v>
      </c>
      <c r="H54" s="82"/>
      <c r="I54" s="152">
        <f t="shared" si="1"/>
        <v>50</v>
      </c>
      <c r="J54" s="281" t="s">
        <v>73</v>
      </c>
    </row>
    <row r="55" ht="15.0" customHeight="1">
      <c r="A55" s="85" t="s">
        <v>73</v>
      </c>
      <c r="B55" s="82" t="s">
        <v>52</v>
      </c>
      <c r="C55" s="82" t="s">
        <v>7600</v>
      </c>
      <c r="D55" s="82" t="s">
        <v>1264</v>
      </c>
      <c r="E55" s="328" t="s">
        <v>7588</v>
      </c>
      <c r="F55" s="325" t="s">
        <v>7604</v>
      </c>
      <c r="G55" s="82">
        <v>50.0</v>
      </c>
      <c r="H55" s="82"/>
      <c r="I55" s="82">
        <v>50.0</v>
      </c>
      <c r="J55" s="281" t="s">
        <v>73</v>
      </c>
    </row>
    <row r="56" ht="15.0" customHeight="1">
      <c r="A56" s="85" t="s">
        <v>73</v>
      </c>
      <c r="B56" s="82" t="s">
        <v>52</v>
      </c>
      <c r="C56" s="82" t="s">
        <v>7600</v>
      </c>
      <c r="D56" s="82" t="s">
        <v>1264</v>
      </c>
      <c r="E56" s="328" t="s">
        <v>7588</v>
      </c>
      <c r="F56" s="330" t="s">
        <v>7605</v>
      </c>
      <c r="G56" s="82">
        <v>50.0</v>
      </c>
      <c r="H56" s="82"/>
      <c r="I56" s="82">
        <v>50.0</v>
      </c>
      <c r="J56" s="281" t="s">
        <v>73</v>
      </c>
    </row>
    <row r="57" ht="15.0" customHeight="1">
      <c r="A57" s="85" t="s">
        <v>73</v>
      </c>
      <c r="B57" s="82" t="s">
        <v>52</v>
      </c>
      <c r="C57" s="82" t="s">
        <v>7594</v>
      </c>
      <c r="D57" s="82" t="s">
        <v>1264</v>
      </c>
      <c r="E57" s="328" t="s">
        <v>7588</v>
      </c>
      <c r="F57" s="325" t="s">
        <v>7606</v>
      </c>
      <c r="G57" s="82">
        <v>50.0</v>
      </c>
      <c r="H57" s="82"/>
      <c r="I57" s="82">
        <v>50.0</v>
      </c>
      <c r="J57" s="281" t="s">
        <v>73</v>
      </c>
    </row>
    <row r="58" ht="15.0" customHeight="1">
      <c r="A58" s="85" t="s">
        <v>73</v>
      </c>
      <c r="B58" s="82" t="s">
        <v>52</v>
      </c>
      <c r="C58" s="82" t="s">
        <v>7600</v>
      </c>
      <c r="D58" s="82" t="s">
        <v>1264</v>
      </c>
      <c r="E58" s="328" t="s">
        <v>7588</v>
      </c>
      <c r="F58" s="330" t="s">
        <v>7607</v>
      </c>
      <c r="G58" s="82">
        <v>50.0</v>
      </c>
      <c r="H58" s="82"/>
      <c r="I58" s="82">
        <v>50.0</v>
      </c>
      <c r="J58" s="281" t="s">
        <v>73</v>
      </c>
    </row>
    <row r="59" ht="15.0" customHeight="1">
      <c r="A59" s="85" t="s">
        <v>73</v>
      </c>
      <c r="B59" s="82" t="s">
        <v>52</v>
      </c>
      <c r="C59" s="85" t="s">
        <v>7608</v>
      </c>
      <c r="D59" s="82" t="s">
        <v>5213</v>
      </c>
      <c r="E59" s="327" t="s">
        <v>7609</v>
      </c>
      <c r="F59" s="329" t="s">
        <v>7610</v>
      </c>
      <c r="G59" s="152">
        <v>10.0</v>
      </c>
      <c r="H59" s="82"/>
      <c r="I59" s="293">
        <v>10.0</v>
      </c>
      <c r="J59" s="281" t="s">
        <v>73</v>
      </c>
    </row>
    <row r="60" ht="15.0" customHeight="1">
      <c r="A60" s="85" t="s">
        <v>73</v>
      </c>
      <c r="B60" s="82" t="s">
        <v>52</v>
      </c>
      <c r="C60" s="85" t="s">
        <v>7608</v>
      </c>
      <c r="D60" s="82" t="s">
        <v>5213</v>
      </c>
      <c r="E60" s="327" t="s">
        <v>7609</v>
      </c>
      <c r="F60" s="329" t="s">
        <v>7610</v>
      </c>
      <c r="G60" s="152">
        <v>10.0</v>
      </c>
      <c r="H60" s="82"/>
      <c r="I60" s="293">
        <v>10.0</v>
      </c>
      <c r="J60" s="281" t="s">
        <v>73</v>
      </c>
    </row>
    <row r="61" ht="15.0" customHeight="1">
      <c r="A61" s="82" t="s">
        <v>58</v>
      </c>
      <c r="B61" s="82" t="s">
        <v>52</v>
      </c>
      <c r="C61" s="85" t="s">
        <v>7611</v>
      </c>
      <c r="D61" s="78" t="s">
        <v>1264</v>
      </c>
      <c r="E61" s="327" t="s">
        <v>7612</v>
      </c>
      <c r="F61" s="82" t="s">
        <v>7613</v>
      </c>
      <c r="G61" s="83">
        <v>50.0</v>
      </c>
      <c r="H61" s="326" t="s">
        <v>7614</v>
      </c>
      <c r="I61" s="290">
        <v>50.0</v>
      </c>
      <c r="J61" s="281" t="s">
        <v>58</v>
      </c>
    </row>
    <row r="62" ht="15.0" customHeight="1">
      <c r="A62" s="82" t="s">
        <v>58</v>
      </c>
      <c r="B62" s="82" t="s">
        <v>52</v>
      </c>
      <c r="C62" s="85" t="s">
        <v>7615</v>
      </c>
      <c r="D62" s="78" t="s">
        <v>1264</v>
      </c>
      <c r="E62" s="331" t="s">
        <v>7616</v>
      </c>
      <c r="F62" s="78" t="s">
        <v>7617</v>
      </c>
      <c r="G62" s="82">
        <v>50.0</v>
      </c>
      <c r="H62" s="82" t="s">
        <v>7618</v>
      </c>
      <c r="I62" s="290">
        <v>50.0</v>
      </c>
      <c r="J62" s="281" t="s">
        <v>58</v>
      </c>
    </row>
    <row r="63" ht="15.0" customHeight="1">
      <c r="A63" s="82" t="s">
        <v>58</v>
      </c>
      <c r="B63" s="82" t="s">
        <v>52</v>
      </c>
      <c r="C63" s="82" t="s">
        <v>7619</v>
      </c>
      <c r="D63" s="82" t="s">
        <v>1264</v>
      </c>
      <c r="E63" s="327" t="s">
        <v>7620</v>
      </c>
      <c r="F63" s="82" t="s">
        <v>7621</v>
      </c>
      <c r="G63" s="83">
        <v>50.0</v>
      </c>
      <c r="H63" s="326" t="s">
        <v>7622</v>
      </c>
      <c r="I63" s="290">
        <v>50.0</v>
      </c>
      <c r="J63" s="281" t="s">
        <v>58</v>
      </c>
    </row>
    <row r="64" ht="15.0" customHeight="1">
      <c r="A64" s="82" t="s">
        <v>58</v>
      </c>
      <c r="B64" s="82" t="s">
        <v>52</v>
      </c>
      <c r="C64" s="85" t="s">
        <v>7623</v>
      </c>
      <c r="D64" s="82" t="s">
        <v>1264</v>
      </c>
      <c r="E64" s="327" t="s">
        <v>7624</v>
      </c>
      <c r="F64" s="85" t="s">
        <v>7625</v>
      </c>
      <c r="G64" s="98">
        <v>300.0</v>
      </c>
      <c r="H64" s="326" t="s">
        <v>7626</v>
      </c>
      <c r="I64" s="290">
        <v>300.0</v>
      </c>
      <c r="J64" s="281" t="s">
        <v>58</v>
      </c>
    </row>
    <row r="65" ht="15.0" customHeight="1">
      <c r="A65" s="82" t="s">
        <v>1764</v>
      </c>
      <c r="B65" s="82" t="s">
        <v>52</v>
      </c>
      <c r="C65" s="82" t="s">
        <v>7627</v>
      </c>
      <c r="D65" s="82" t="s">
        <v>7628</v>
      </c>
      <c r="E65" s="82"/>
      <c r="F65" s="82" t="s">
        <v>7629</v>
      </c>
      <c r="G65" s="82">
        <v>10.0</v>
      </c>
      <c r="H65" s="326"/>
      <c r="I65" s="281">
        <v>10.0</v>
      </c>
      <c r="J65" s="281" t="s">
        <v>1764</v>
      </c>
    </row>
    <row r="66" ht="15.0" customHeight="1">
      <c r="A66" s="82" t="s">
        <v>1764</v>
      </c>
      <c r="B66" s="82" t="s">
        <v>52</v>
      </c>
      <c r="C66" s="85" t="s">
        <v>7630</v>
      </c>
      <c r="D66" s="78" t="s">
        <v>7631</v>
      </c>
      <c r="E66" s="78"/>
      <c r="F66" s="78" t="s">
        <v>7632</v>
      </c>
      <c r="G66" s="99">
        <v>10.0</v>
      </c>
      <c r="H66" s="332"/>
      <c r="I66" s="281">
        <v>10.0</v>
      </c>
      <c r="J66" s="281" t="s">
        <v>1764</v>
      </c>
    </row>
    <row r="67" ht="15.0" customHeight="1">
      <c r="A67" s="82" t="s">
        <v>1764</v>
      </c>
      <c r="B67" s="82" t="s">
        <v>52</v>
      </c>
      <c r="C67" s="85" t="s">
        <v>7633</v>
      </c>
      <c r="D67" s="82" t="s">
        <v>1264</v>
      </c>
      <c r="E67" s="82"/>
      <c r="F67" s="82" t="s">
        <v>7634</v>
      </c>
      <c r="G67" s="83" t="s">
        <v>7635</v>
      </c>
      <c r="H67" s="274"/>
      <c r="I67" s="281">
        <v>50.0</v>
      </c>
      <c r="J67" s="281" t="s">
        <v>1764</v>
      </c>
    </row>
    <row r="68" ht="15.0" customHeight="1">
      <c r="A68" s="82" t="s">
        <v>1764</v>
      </c>
      <c r="B68" s="82" t="s">
        <v>52</v>
      </c>
      <c r="C68" s="85" t="s">
        <v>7636</v>
      </c>
      <c r="D68" s="82" t="s">
        <v>5227</v>
      </c>
      <c r="E68" s="327" t="s">
        <v>7637</v>
      </c>
      <c r="F68" s="82"/>
      <c r="G68" s="83" t="s">
        <v>7638</v>
      </c>
      <c r="H68" s="274">
        <v>6.0</v>
      </c>
      <c r="I68" s="281">
        <v>75.0</v>
      </c>
      <c r="J68" s="281" t="s">
        <v>1764</v>
      </c>
    </row>
    <row r="69" ht="15.0" customHeight="1">
      <c r="A69" s="82" t="s">
        <v>1764</v>
      </c>
      <c r="B69" s="82" t="s">
        <v>52</v>
      </c>
      <c r="C69" s="85" t="s">
        <v>7639</v>
      </c>
      <c r="D69" s="82" t="s">
        <v>7640</v>
      </c>
      <c r="E69" s="82"/>
      <c r="F69" s="82" t="s">
        <v>7641</v>
      </c>
      <c r="G69" s="83">
        <v>10.0</v>
      </c>
      <c r="H69" s="274"/>
      <c r="I69" s="281">
        <v>10.0</v>
      </c>
      <c r="J69" s="281" t="s">
        <v>1764</v>
      </c>
    </row>
    <row r="70" ht="15.0" customHeight="1">
      <c r="A70" s="82" t="s">
        <v>1764</v>
      </c>
      <c r="B70" s="82" t="s">
        <v>52</v>
      </c>
      <c r="C70" s="85" t="s">
        <v>7642</v>
      </c>
      <c r="D70" s="82" t="s">
        <v>1256</v>
      </c>
      <c r="E70" s="82"/>
      <c r="F70" s="82" t="s">
        <v>7643</v>
      </c>
      <c r="G70" s="83" t="s">
        <v>7635</v>
      </c>
      <c r="H70" s="274"/>
      <c r="I70" s="281">
        <v>50.0</v>
      </c>
      <c r="J70" s="281" t="s">
        <v>1764</v>
      </c>
    </row>
    <row r="71" ht="15.0" customHeight="1">
      <c r="A71" s="82" t="s">
        <v>1764</v>
      </c>
      <c r="B71" s="82" t="s">
        <v>52</v>
      </c>
      <c r="C71" s="85" t="s">
        <v>7644</v>
      </c>
      <c r="D71" s="82" t="s">
        <v>7645</v>
      </c>
      <c r="E71" s="82"/>
      <c r="F71" s="82" t="s">
        <v>7646</v>
      </c>
      <c r="G71" s="83">
        <v>10.0</v>
      </c>
      <c r="H71" s="274"/>
      <c r="I71" s="281">
        <v>10.0</v>
      </c>
      <c r="J71" s="281" t="s">
        <v>1764</v>
      </c>
    </row>
    <row r="72" ht="15.0" customHeight="1">
      <c r="A72" s="82" t="s">
        <v>1764</v>
      </c>
      <c r="B72" s="82" t="s">
        <v>52</v>
      </c>
      <c r="C72" s="85" t="s">
        <v>7647</v>
      </c>
      <c r="D72" s="82" t="s">
        <v>7648</v>
      </c>
      <c r="E72" s="82"/>
      <c r="F72" s="82" t="s">
        <v>7649</v>
      </c>
      <c r="G72" s="83">
        <v>10.0</v>
      </c>
      <c r="H72" s="274"/>
      <c r="I72" s="281">
        <v>10.0</v>
      </c>
      <c r="J72" s="281" t="s">
        <v>1764</v>
      </c>
    </row>
    <row r="73" ht="15.0" customHeight="1">
      <c r="A73" s="82" t="s">
        <v>1764</v>
      </c>
      <c r="B73" s="82" t="s">
        <v>52</v>
      </c>
      <c r="C73" s="82" t="s">
        <v>7650</v>
      </c>
      <c r="D73" s="82" t="s">
        <v>5972</v>
      </c>
      <c r="E73" s="327" t="s">
        <v>7651</v>
      </c>
      <c r="F73" s="82" t="s">
        <v>7652</v>
      </c>
      <c r="G73" s="82">
        <v>50.0</v>
      </c>
      <c r="H73" s="326">
        <v>2.0</v>
      </c>
      <c r="I73" s="281">
        <f>1.5*50</f>
        <v>75</v>
      </c>
      <c r="J73" s="281" t="s">
        <v>1764</v>
      </c>
    </row>
    <row r="74" ht="15.0" customHeight="1">
      <c r="A74" s="82" t="s">
        <v>7653</v>
      </c>
      <c r="B74" s="82" t="s">
        <v>52</v>
      </c>
      <c r="C74" s="82" t="s">
        <v>400</v>
      </c>
      <c r="D74" s="82" t="s">
        <v>1833</v>
      </c>
      <c r="E74" s="82" t="s">
        <v>7654</v>
      </c>
      <c r="F74" s="325">
        <v>45179.0</v>
      </c>
      <c r="G74" s="99">
        <v>50.0</v>
      </c>
      <c r="H74" s="99" t="s">
        <v>7655</v>
      </c>
      <c r="I74" s="99">
        <v>50.0</v>
      </c>
      <c r="J74" s="281" t="s">
        <v>90</v>
      </c>
    </row>
    <row r="75" ht="15.0" customHeight="1">
      <c r="A75" s="85" t="s">
        <v>7653</v>
      </c>
      <c r="B75" s="85" t="s">
        <v>52</v>
      </c>
      <c r="C75" s="85" t="s">
        <v>7656</v>
      </c>
      <c r="D75" s="78" t="s">
        <v>1184</v>
      </c>
      <c r="E75" s="78" t="s">
        <v>7657</v>
      </c>
      <c r="F75" s="333">
        <v>45251.0</v>
      </c>
      <c r="G75" s="99">
        <v>50.0</v>
      </c>
      <c r="H75" s="99" t="s">
        <v>7655</v>
      </c>
      <c r="I75" s="99">
        <v>50.0</v>
      </c>
      <c r="J75" s="281" t="s">
        <v>90</v>
      </c>
    </row>
    <row r="76" ht="15.0" customHeight="1">
      <c r="A76" s="82" t="s">
        <v>7653</v>
      </c>
      <c r="B76" s="82" t="s">
        <v>52</v>
      </c>
      <c r="C76" s="82" t="s">
        <v>400</v>
      </c>
      <c r="D76" s="82" t="s">
        <v>1833</v>
      </c>
      <c r="E76" s="82" t="s">
        <v>7654</v>
      </c>
      <c r="F76" s="325">
        <v>45236.0</v>
      </c>
      <c r="G76" s="99">
        <v>50.0</v>
      </c>
      <c r="H76" s="99" t="s">
        <v>7655</v>
      </c>
      <c r="I76" s="99">
        <v>50.0</v>
      </c>
      <c r="J76" s="281" t="s">
        <v>90</v>
      </c>
    </row>
    <row r="77" ht="15.0" customHeight="1">
      <c r="A77" s="82" t="s">
        <v>7653</v>
      </c>
      <c r="B77" s="82" t="s">
        <v>52</v>
      </c>
      <c r="C77" s="85" t="s">
        <v>500</v>
      </c>
      <c r="D77" s="82" t="s">
        <v>1184</v>
      </c>
      <c r="E77" s="82" t="s">
        <v>7658</v>
      </c>
      <c r="F77" s="325">
        <v>45288.0</v>
      </c>
      <c r="G77" s="99">
        <v>50.0</v>
      </c>
      <c r="H77" s="99" t="s">
        <v>7655</v>
      </c>
      <c r="I77" s="281">
        <v>50.0</v>
      </c>
      <c r="J77" s="281" t="s">
        <v>90</v>
      </c>
    </row>
    <row r="78" ht="15.0" customHeight="1">
      <c r="A78" s="82" t="s">
        <v>7659</v>
      </c>
      <c r="B78" s="100" t="s">
        <v>52</v>
      </c>
      <c r="C78" s="100" t="s">
        <v>7660</v>
      </c>
      <c r="D78" s="82" t="s">
        <v>7527</v>
      </c>
      <c r="E78" s="327" t="s">
        <v>7661</v>
      </c>
      <c r="F78" s="100" t="s">
        <v>7662</v>
      </c>
      <c r="G78" s="304">
        <v>50.0</v>
      </c>
      <c r="H78" s="100">
        <v>12.0</v>
      </c>
      <c r="I78" s="304">
        <f t="shared" ref="I78:I80" si="2">50*2*3</f>
        <v>300</v>
      </c>
      <c r="J78" s="281" t="s">
        <v>60</v>
      </c>
    </row>
    <row r="79" ht="15.0" customHeight="1">
      <c r="A79" s="82" t="s">
        <v>7659</v>
      </c>
      <c r="B79" s="100" t="s">
        <v>52</v>
      </c>
      <c r="C79" s="100" t="s">
        <v>262</v>
      </c>
      <c r="D79" s="82" t="s">
        <v>7527</v>
      </c>
      <c r="E79" s="327" t="s">
        <v>7663</v>
      </c>
      <c r="F79" s="100" t="s">
        <v>7664</v>
      </c>
      <c r="G79" s="304">
        <v>50.0</v>
      </c>
      <c r="H79" s="100">
        <v>12.0</v>
      </c>
      <c r="I79" s="304">
        <f t="shared" si="2"/>
        <v>300</v>
      </c>
      <c r="J79" s="281" t="s">
        <v>60</v>
      </c>
    </row>
    <row r="80" ht="15.0" customHeight="1">
      <c r="A80" s="82" t="s">
        <v>7659</v>
      </c>
      <c r="B80" s="100" t="s">
        <v>52</v>
      </c>
      <c r="C80" s="100" t="s">
        <v>262</v>
      </c>
      <c r="D80" s="82" t="s">
        <v>7527</v>
      </c>
      <c r="E80" s="327" t="s">
        <v>7665</v>
      </c>
      <c r="F80" s="100" t="s">
        <v>7664</v>
      </c>
      <c r="G80" s="304">
        <v>50.0</v>
      </c>
      <c r="H80" s="100">
        <v>12.0</v>
      </c>
      <c r="I80" s="304">
        <f t="shared" si="2"/>
        <v>300</v>
      </c>
      <c r="J80" s="281" t="s">
        <v>60</v>
      </c>
    </row>
    <row r="81" ht="15.0" customHeight="1">
      <c r="A81" s="82" t="s">
        <v>7659</v>
      </c>
      <c r="B81" s="82" t="s">
        <v>52</v>
      </c>
      <c r="C81" s="82" t="s">
        <v>7666</v>
      </c>
      <c r="D81" s="82" t="s">
        <v>7527</v>
      </c>
      <c r="E81" s="327" t="s">
        <v>7667</v>
      </c>
      <c r="F81" s="325" t="s">
        <v>7668</v>
      </c>
      <c r="G81" s="82">
        <v>50.0</v>
      </c>
      <c r="H81" s="326" t="s">
        <v>7537</v>
      </c>
      <c r="I81" s="290">
        <v>50.0</v>
      </c>
      <c r="J81" s="281" t="s">
        <v>60</v>
      </c>
    </row>
    <row r="82" ht="15.0" customHeight="1">
      <c r="A82" s="82" t="s">
        <v>7659</v>
      </c>
      <c r="B82" s="82" t="s">
        <v>52</v>
      </c>
      <c r="C82" s="82" t="s">
        <v>7669</v>
      </c>
      <c r="D82" s="82" t="s">
        <v>7527</v>
      </c>
      <c r="E82" s="327" t="s">
        <v>7667</v>
      </c>
      <c r="F82" s="82" t="s">
        <v>7670</v>
      </c>
      <c r="G82" s="82">
        <v>50.0</v>
      </c>
      <c r="H82" s="326" t="s">
        <v>7537</v>
      </c>
      <c r="I82" s="290">
        <v>50.0</v>
      </c>
      <c r="J82" s="281" t="s">
        <v>60</v>
      </c>
    </row>
    <row r="83" ht="15.0" customHeight="1">
      <c r="A83" s="82" t="s">
        <v>7659</v>
      </c>
      <c r="B83" s="82" t="s">
        <v>52</v>
      </c>
      <c r="C83" s="82" t="s">
        <v>7671</v>
      </c>
      <c r="D83" s="82" t="s">
        <v>7527</v>
      </c>
      <c r="E83" s="327" t="s">
        <v>7672</v>
      </c>
      <c r="F83" s="82" t="s">
        <v>7673</v>
      </c>
      <c r="G83" s="82">
        <v>50.0</v>
      </c>
      <c r="H83" s="326" t="s">
        <v>7537</v>
      </c>
      <c r="I83" s="290">
        <v>50.0</v>
      </c>
      <c r="J83" s="281" t="s">
        <v>60</v>
      </c>
    </row>
    <row r="84" ht="15.0" customHeight="1">
      <c r="A84" s="82" t="s">
        <v>7659</v>
      </c>
      <c r="B84" s="82" t="s">
        <v>52</v>
      </c>
      <c r="C84" s="82" t="s">
        <v>7674</v>
      </c>
      <c r="D84" s="82" t="s">
        <v>7527</v>
      </c>
      <c r="E84" s="327" t="s">
        <v>7675</v>
      </c>
      <c r="F84" s="82" t="s">
        <v>7676</v>
      </c>
      <c r="G84" s="82">
        <v>50.0</v>
      </c>
      <c r="H84" s="326" t="s">
        <v>7537</v>
      </c>
      <c r="I84" s="290">
        <v>50.0</v>
      </c>
      <c r="J84" s="281" t="s">
        <v>60</v>
      </c>
    </row>
    <row r="85" ht="15.0" customHeight="1">
      <c r="A85" s="82" t="s">
        <v>7659</v>
      </c>
      <c r="B85" s="82" t="s">
        <v>52</v>
      </c>
      <c r="C85" s="82" t="s">
        <v>7677</v>
      </c>
      <c r="D85" s="82" t="s">
        <v>7527</v>
      </c>
      <c r="E85" s="327" t="s">
        <v>7672</v>
      </c>
      <c r="F85" s="82" t="s">
        <v>7678</v>
      </c>
      <c r="G85" s="82">
        <v>50.0</v>
      </c>
      <c r="H85" s="326" t="s">
        <v>7537</v>
      </c>
      <c r="I85" s="290">
        <v>50.0</v>
      </c>
      <c r="J85" s="281" t="s">
        <v>60</v>
      </c>
    </row>
    <row r="86" ht="15.0" customHeight="1">
      <c r="A86" s="82" t="s">
        <v>7659</v>
      </c>
      <c r="B86" s="82" t="s">
        <v>52</v>
      </c>
      <c r="C86" s="82" t="s">
        <v>7679</v>
      </c>
      <c r="D86" s="82" t="s">
        <v>7527</v>
      </c>
      <c r="E86" s="327" t="s">
        <v>7667</v>
      </c>
      <c r="F86" s="82" t="s">
        <v>7680</v>
      </c>
      <c r="G86" s="82">
        <v>50.0</v>
      </c>
      <c r="H86" s="326" t="s">
        <v>7537</v>
      </c>
      <c r="I86" s="290">
        <v>50.0</v>
      </c>
      <c r="J86" s="281" t="s">
        <v>60</v>
      </c>
    </row>
    <row r="87" ht="15.0" customHeight="1">
      <c r="A87" s="82" t="s">
        <v>7659</v>
      </c>
      <c r="B87" s="82" t="s">
        <v>52</v>
      </c>
      <c r="C87" s="82" t="s">
        <v>7681</v>
      </c>
      <c r="D87" s="82" t="s">
        <v>7527</v>
      </c>
      <c r="E87" s="327" t="s">
        <v>7672</v>
      </c>
      <c r="F87" s="82" t="s">
        <v>7682</v>
      </c>
      <c r="G87" s="82">
        <v>50.0</v>
      </c>
      <c r="H87" s="326" t="s">
        <v>7537</v>
      </c>
      <c r="I87" s="290" t="s">
        <v>7683</v>
      </c>
      <c r="J87" s="281" t="s">
        <v>60</v>
      </c>
    </row>
    <row r="88" ht="15.0" customHeight="1">
      <c r="A88" s="82" t="s">
        <v>7659</v>
      </c>
      <c r="B88" s="82" t="s">
        <v>52</v>
      </c>
      <c r="C88" s="82" t="s">
        <v>7684</v>
      </c>
      <c r="D88" s="82" t="s">
        <v>7527</v>
      </c>
      <c r="E88" s="327" t="s">
        <v>7564</v>
      </c>
      <c r="F88" s="82" t="s">
        <v>7685</v>
      </c>
      <c r="G88" s="82">
        <v>50.0</v>
      </c>
      <c r="H88" s="326" t="s">
        <v>7537</v>
      </c>
      <c r="I88" s="290">
        <v>50.0</v>
      </c>
      <c r="J88" s="281" t="s">
        <v>60</v>
      </c>
    </row>
    <row r="89" ht="15.0" customHeight="1">
      <c r="A89" s="82" t="s">
        <v>7659</v>
      </c>
      <c r="B89" s="82" t="s">
        <v>52</v>
      </c>
      <c r="C89" s="82" t="s">
        <v>7686</v>
      </c>
      <c r="D89" s="82" t="s">
        <v>7527</v>
      </c>
      <c r="E89" s="327" t="s">
        <v>7550</v>
      </c>
      <c r="F89" s="82" t="s">
        <v>7687</v>
      </c>
      <c r="G89" s="82">
        <v>50.0</v>
      </c>
      <c r="H89" s="326" t="s">
        <v>7537</v>
      </c>
      <c r="I89" s="290">
        <v>50.0</v>
      </c>
      <c r="J89" s="281" t="s">
        <v>60</v>
      </c>
    </row>
    <row r="90" ht="15.0" customHeight="1">
      <c r="A90" s="82" t="s">
        <v>7659</v>
      </c>
      <c r="B90" s="82" t="s">
        <v>52</v>
      </c>
      <c r="C90" s="82" t="s">
        <v>7688</v>
      </c>
      <c r="D90" s="82" t="s">
        <v>7527</v>
      </c>
      <c r="E90" s="327" t="s">
        <v>7550</v>
      </c>
      <c r="F90" s="82" t="s">
        <v>7689</v>
      </c>
      <c r="G90" s="82">
        <v>50.0</v>
      </c>
      <c r="H90" s="326" t="s">
        <v>7537</v>
      </c>
      <c r="I90" s="290">
        <v>50.0</v>
      </c>
      <c r="J90" s="281" t="s">
        <v>60</v>
      </c>
    </row>
    <row r="91" ht="15.0" customHeight="1">
      <c r="A91" s="82" t="s">
        <v>7659</v>
      </c>
      <c r="B91" s="82" t="s">
        <v>52</v>
      </c>
      <c r="C91" s="82" t="s">
        <v>7690</v>
      </c>
      <c r="D91" s="82" t="s">
        <v>7527</v>
      </c>
      <c r="E91" s="327" t="s">
        <v>7550</v>
      </c>
      <c r="F91" s="82" t="s">
        <v>7691</v>
      </c>
      <c r="G91" s="82">
        <v>50.0</v>
      </c>
      <c r="H91" s="326" t="s">
        <v>7537</v>
      </c>
      <c r="I91" s="290">
        <v>50.0</v>
      </c>
      <c r="J91" s="281" t="s">
        <v>60</v>
      </c>
    </row>
    <row r="92" ht="15.0" customHeight="1">
      <c r="A92" s="82" t="s">
        <v>7659</v>
      </c>
      <c r="B92" s="82" t="s">
        <v>52</v>
      </c>
      <c r="C92" s="82" t="s">
        <v>7692</v>
      </c>
      <c r="D92" s="82" t="s">
        <v>7527</v>
      </c>
      <c r="E92" s="327" t="s">
        <v>7672</v>
      </c>
      <c r="F92" s="82" t="s">
        <v>7693</v>
      </c>
      <c r="G92" s="82">
        <v>50.0</v>
      </c>
      <c r="H92" s="326" t="s">
        <v>7537</v>
      </c>
      <c r="I92" s="290">
        <v>50.0</v>
      </c>
      <c r="J92" s="281" t="s">
        <v>60</v>
      </c>
    </row>
    <row r="93" ht="15.0" customHeight="1">
      <c r="A93" s="82" t="s">
        <v>7659</v>
      </c>
      <c r="B93" s="82" t="s">
        <v>52</v>
      </c>
      <c r="C93" s="82" t="s">
        <v>7694</v>
      </c>
      <c r="D93" s="82" t="s">
        <v>7527</v>
      </c>
      <c r="E93" s="327" t="s">
        <v>7695</v>
      </c>
      <c r="F93" s="325" t="s">
        <v>7696</v>
      </c>
      <c r="G93" s="82">
        <v>50.0</v>
      </c>
      <c r="H93" s="326" t="s">
        <v>7537</v>
      </c>
      <c r="I93" s="290">
        <v>50.0</v>
      </c>
      <c r="J93" s="281" t="s">
        <v>60</v>
      </c>
    </row>
    <row r="94" ht="15.0" customHeight="1">
      <c r="A94" s="82" t="s">
        <v>7659</v>
      </c>
      <c r="B94" s="82" t="s">
        <v>52</v>
      </c>
      <c r="C94" s="82" t="s">
        <v>7697</v>
      </c>
      <c r="D94" s="82" t="s">
        <v>7527</v>
      </c>
      <c r="E94" s="327" t="s">
        <v>7574</v>
      </c>
      <c r="F94" s="82" t="s">
        <v>7698</v>
      </c>
      <c r="G94" s="82">
        <v>50.0</v>
      </c>
      <c r="H94" s="326" t="s">
        <v>7537</v>
      </c>
      <c r="I94" s="290">
        <v>50.0</v>
      </c>
      <c r="J94" s="281" t="s">
        <v>60</v>
      </c>
    </row>
    <row r="95" ht="15.0" customHeight="1">
      <c r="A95" s="82" t="s">
        <v>7659</v>
      </c>
      <c r="B95" s="82" t="s">
        <v>52</v>
      </c>
      <c r="C95" s="82" t="s">
        <v>7699</v>
      </c>
      <c r="D95" s="82" t="s">
        <v>7527</v>
      </c>
      <c r="E95" s="327" t="s">
        <v>7700</v>
      </c>
      <c r="F95" s="82" t="s">
        <v>7701</v>
      </c>
      <c r="G95" s="82">
        <v>50.0</v>
      </c>
      <c r="H95" s="326" t="s">
        <v>7537</v>
      </c>
      <c r="I95" s="290">
        <v>50.0</v>
      </c>
      <c r="J95" s="281" t="s">
        <v>60</v>
      </c>
    </row>
    <row r="96" ht="15.0" customHeight="1">
      <c r="A96" s="82" t="s">
        <v>7659</v>
      </c>
      <c r="B96" s="82" t="s">
        <v>52</v>
      </c>
      <c r="C96" s="82" t="s">
        <v>7702</v>
      </c>
      <c r="D96" s="82" t="s">
        <v>7527</v>
      </c>
      <c r="E96" s="327" t="s">
        <v>7700</v>
      </c>
      <c r="F96" s="82" t="s">
        <v>7703</v>
      </c>
      <c r="G96" s="82">
        <v>50.0</v>
      </c>
      <c r="H96" s="326" t="s">
        <v>7537</v>
      </c>
      <c r="I96" s="290">
        <v>50.0</v>
      </c>
      <c r="J96" s="281" t="s">
        <v>60</v>
      </c>
    </row>
    <row r="97" ht="15.0" customHeight="1">
      <c r="A97" s="82" t="s">
        <v>7704</v>
      </c>
      <c r="B97" s="82" t="s">
        <v>52</v>
      </c>
      <c r="C97" s="100" t="s">
        <v>7705</v>
      </c>
      <c r="D97" s="281" t="s">
        <v>1264</v>
      </c>
      <c r="E97" s="328" t="s">
        <v>7706</v>
      </c>
      <c r="F97" s="325">
        <v>44928.0</v>
      </c>
      <c r="G97" s="152">
        <v>50.0</v>
      </c>
      <c r="H97" s="334" t="s">
        <v>257</v>
      </c>
      <c r="I97" s="92">
        <v>50.0</v>
      </c>
      <c r="J97" s="281" t="s">
        <v>82</v>
      </c>
    </row>
    <row r="98" ht="15.0" customHeight="1">
      <c r="A98" s="82" t="s">
        <v>7704</v>
      </c>
      <c r="B98" s="82" t="s">
        <v>52</v>
      </c>
      <c r="C98" s="100" t="s">
        <v>7707</v>
      </c>
      <c r="D98" s="281" t="s">
        <v>1264</v>
      </c>
      <c r="E98" s="327" t="s">
        <v>7564</v>
      </c>
      <c r="F98" s="325">
        <v>44928.0</v>
      </c>
      <c r="G98" s="152">
        <v>50.0</v>
      </c>
      <c r="H98" s="334" t="s">
        <v>257</v>
      </c>
      <c r="I98" s="92">
        <v>50.0</v>
      </c>
      <c r="J98" s="281" t="s">
        <v>82</v>
      </c>
    </row>
    <row r="99" ht="15.0" customHeight="1">
      <c r="A99" s="82" t="s">
        <v>7704</v>
      </c>
      <c r="B99" s="82" t="s">
        <v>52</v>
      </c>
      <c r="C99" s="100" t="s">
        <v>7708</v>
      </c>
      <c r="D99" s="281" t="s">
        <v>1264</v>
      </c>
      <c r="E99" s="328" t="s">
        <v>7709</v>
      </c>
      <c r="F99" s="325">
        <v>44944.0</v>
      </c>
      <c r="G99" s="152">
        <v>50.0</v>
      </c>
      <c r="H99" s="334" t="s">
        <v>257</v>
      </c>
      <c r="I99" s="92">
        <v>50.0</v>
      </c>
      <c r="J99" s="281" t="s">
        <v>82</v>
      </c>
    </row>
    <row r="100" ht="15.0" customHeight="1">
      <c r="A100" s="82" t="s">
        <v>7704</v>
      </c>
      <c r="B100" s="82" t="s">
        <v>52</v>
      </c>
      <c r="C100" s="100" t="s">
        <v>7710</v>
      </c>
      <c r="D100" s="281" t="s">
        <v>1264</v>
      </c>
      <c r="E100" s="327" t="s">
        <v>7711</v>
      </c>
      <c r="F100" s="325">
        <v>44963.0</v>
      </c>
      <c r="G100" s="152">
        <v>50.0</v>
      </c>
      <c r="H100" s="334" t="s">
        <v>257</v>
      </c>
      <c r="I100" s="92">
        <v>50.0</v>
      </c>
      <c r="J100" s="281" t="s">
        <v>82</v>
      </c>
    </row>
    <row r="101" ht="15.0" customHeight="1">
      <c r="A101" s="82" t="s">
        <v>7704</v>
      </c>
      <c r="B101" s="82" t="s">
        <v>52</v>
      </c>
      <c r="C101" s="100" t="s">
        <v>252</v>
      </c>
      <c r="D101" s="281" t="s">
        <v>1264</v>
      </c>
      <c r="E101" s="327" t="s">
        <v>7712</v>
      </c>
      <c r="F101" s="325">
        <v>44983.0</v>
      </c>
      <c r="G101" s="152">
        <v>50.0</v>
      </c>
      <c r="H101" s="334" t="s">
        <v>257</v>
      </c>
      <c r="I101" s="92">
        <v>50.0</v>
      </c>
      <c r="J101" s="281" t="s">
        <v>82</v>
      </c>
    </row>
    <row r="102" ht="15.0" customHeight="1">
      <c r="A102" s="82" t="s">
        <v>7704</v>
      </c>
      <c r="B102" s="82" t="s">
        <v>52</v>
      </c>
      <c r="C102" s="100" t="s">
        <v>7705</v>
      </c>
      <c r="D102" s="281" t="s">
        <v>1264</v>
      </c>
      <c r="E102" s="328" t="s">
        <v>7706</v>
      </c>
      <c r="F102" s="325">
        <v>44993.0</v>
      </c>
      <c r="G102" s="152">
        <v>50.0</v>
      </c>
      <c r="H102" s="334" t="s">
        <v>257</v>
      </c>
      <c r="I102" s="92">
        <v>50.0</v>
      </c>
      <c r="J102" s="281" t="s">
        <v>82</v>
      </c>
    </row>
    <row r="103" ht="15.0" customHeight="1">
      <c r="A103" s="82" t="s">
        <v>7704</v>
      </c>
      <c r="B103" s="82" t="s">
        <v>52</v>
      </c>
      <c r="C103" s="100" t="s">
        <v>7713</v>
      </c>
      <c r="D103" s="281" t="s">
        <v>1264</v>
      </c>
      <c r="E103" s="327" t="s">
        <v>7539</v>
      </c>
      <c r="F103" s="325">
        <v>44994.0</v>
      </c>
      <c r="G103" s="152">
        <v>50.0</v>
      </c>
      <c r="H103" s="334" t="s">
        <v>257</v>
      </c>
      <c r="I103" s="92">
        <v>50.0</v>
      </c>
      <c r="J103" s="281" t="s">
        <v>82</v>
      </c>
    </row>
    <row r="104" ht="15.0" customHeight="1">
      <c r="A104" s="82" t="s">
        <v>7704</v>
      </c>
      <c r="B104" s="82" t="s">
        <v>52</v>
      </c>
      <c r="C104" s="100" t="s">
        <v>7714</v>
      </c>
      <c r="D104" s="281" t="s">
        <v>1264</v>
      </c>
      <c r="E104" s="327" t="s">
        <v>7715</v>
      </c>
      <c r="F104" s="325">
        <v>45003.0</v>
      </c>
      <c r="G104" s="152">
        <v>50.0</v>
      </c>
      <c r="H104" s="334" t="s">
        <v>257</v>
      </c>
      <c r="I104" s="92">
        <v>50.0</v>
      </c>
      <c r="J104" s="281" t="s">
        <v>82</v>
      </c>
    </row>
    <row r="105" ht="15.0" customHeight="1">
      <c r="A105" s="82" t="s">
        <v>7704</v>
      </c>
      <c r="B105" s="82" t="s">
        <v>52</v>
      </c>
      <c r="C105" s="100" t="s">
        <v>252</v>
      </c>
      <c r="D105" s="281" t="s">
        <v>1264</v>
      </c>
      <c r="E105" s="327" t="s">
        <v>7712</v>
      </c>
      <c r="F105" s="325">
        <v>45015.0</v>
      </c>
      <c r="G105" s="152">
        <v>50.0</v>
      </c>
      <c r="H105" s="334" t="s">
        <v>257</v>
      </c>
      <c r="I105" s="92">
        <v>50.0</v>
      </c>
      <c r="J105" s="281" t="s">
        <v>82</v>
      </c>
    </row>
    <row r="106" ht="15.0" customHeight="1">
      <c r="A106" s="82" t="s">
        <v>7704</v>
      </c>
      <c r="B106" s="82" t="s">
        <v>52</v>
      </c>
      <c r="C106" s="100" t="s">
        <v>7716</v>
      </c>
      <c r="D106" s="281" t="s">
        <v>1264</v>
      </c>
      <c r="E106" s="327" t="s">
        <v>7717</v>
      </c>
      <c r="F106" s="325">
        <v>45021.0</v>
      </c>
      <c r="G106" s="152">
        <v>50.0</v>
      </c>
      <c r="H106" s="334" t="s">
        <v>257</v>
      </c>
      <c r="I106" s="92">
        <v>50.0</v>
      </c>
      <c r="J106" s="281" t="s">
        <v>82</v>
      </c>
    </row>
    <row r="107" ht="15.0" customHeight="1">
      <c r="A107" s="82" t="s">
        <v>7704</v>
      </c>
      <c r="B107" s="82" t="s">
        <v>52</v>
      </c>
      <c r="C107" s="100" t="s">
        <v>7713</v>
      </c>
      <c r="D107" s="281" t="s">
        <v>1264</v>
      </c>
      <c r="E107" s="327" t="s">
        <v>7539</v>
      </c>
      <c r="F107" s="325">
        <v>45035.0</v>
      </c>
      <c r="G107" s="152">
        <v>50.0</v>
      </c>
      <c r="H107" s="334" t="s">
        <v>257</v>
      </c>
      <c r="I107" s="92">
        <v>50.0</v>
      </c>
      <c r="J107" s="281" t="s">
        <v>82</v>
      </c>
    </row>
    <row r="108" ht="15.0" customHeight="1">
      <c r="A108" s="82" t="s">
        <v>7704</v>
      </c>
      <c r="B108" s="82" t="s">
        <v>52</v>
      </c>
      <c r="C108" s="100" t="s">
        <v>7713</v>
      </c>
      <c r="D108" s="281" t="s">
        <v>1264</v>
      </c>
      <c r="E108" s="327" t="s">
        <v>7539</v>
      </c>
      <c r="F108" s="325">
        <v>45054.0</v>
      </c>
      <c r="G108" s="152">
        <v>50.0</v>
      </c>
      <c r="H108" s="334" t="s">
        <v>257</v>
      </c>
      <c r="I108" s="92">
        <v>50.0</v>
      </c>
      <c r="J108" s="281" t="s">
        <v>82</v>
      </c>
    </row>
    <row r="109" ht="15.0" customHeight="1">
      <c r="A109" s="82" t="s">
        <v>7704</v>
      </c>
      <c r="B109" s="82" t="s">
        <v>52</v>
      </c>
      <c r="C109" s="100" t="s">
        <v>7713</v>
      </c>
      <c r="D109" s="281" t="s">
        <v>1264</v>
      </c>
      <c r="E109" s="327" t="s">
        <v>7539</v>
      </c>
      <c r="F109" s="325">
        <v>45068.0</v>
      </c>
      <c r="G109" s="152">
        <v>50.0</v>
      </c>
      <c r="H109" s="334" t="s">
        <v>257</v>
      </c>
      <c r="I109" s="92">
        <v>50.0</v>
      </c>
      <c r="J109" s="281" t="s">
        <v>82</v>
      </c>
    </row>
    <row r="110" ht="15.0" customHeight="1">
      <c r="A110" s="82" t="s">
        <v>7704</v>
      </c>
      <c r="B110" s="82" t="s">
        <v>52</v>
      </c>
      <c r="C110" s="100" t="s">
        <v>7710</v>
      </c>
      <c r="D110" s="281" t="s">
        <v>1264</v>
      </c>
      <c r="E110" s="327" t="s">
        <v>7711</v>
      </c>
      <c r="F110" s="325">
        <v>45090.0</v>
      </c>
      <c r="G110" s="152">
        <v>50.0</v>
      </c>
      <c r="H110" s="334" t="s">
        <v>257</v>
      </c>
      <c r="I110" s="92">
        <v>50.0</v>
      </c>
      <c r="J110" s="281" t="s">
        <v>82</v>
      </c>
    </row>
    <row r="111" ht="15.0" customHeight="1">
      <c r="A111" s="82" t="s">
        <v>7704</v>
      </c>
      <c r="B111" s="82" t="s">
        <v>52</v>
      </c>
      <c r="C111" s="100" t="s">
        <v>7716</v>
      </c>
      <c r="D111" s="281" t="s">
        <v>1264</v>
      </c>
      <c r="E111" s="327" t="s">
        <v>7717</v>
      </c>
      <c r="F111" s="325">
        <v>45099.0</v>
      </c>
      <c r="G111" s="152">
        <v>50.0</v>
      </c>
      <c r="H111" s="334" t="s">
        <v>257</v>
      </c>
      <c r="I111" s="92">
        <v>50.0</v>
      </c>
      <c r="J111" s="281" t="s">
        <v>82</v>
      </c>
    </row>
    <row r="112" ht="15.0" customHeight="1">
      <c r="A112" s="82" t="s">
        <v>7704</v>
      </c>
      <c r="B112" s="82" t="s">
        <v>52</v>
      </c>
      <c r="C112" s="100" t="s">
        <v>7716</v>
      </c>
      <c r="D112" s="281" t="s">
        <v>1264</v>
      </c>
      <c r="E112" s="327" t="s">
        <v>7717</v>
      </c>
      <c r="F112" s="325">
        <v>45118.0</v>
      </c>
      <c r="G112" s="152">
        <v>50.0</v>
      </c>
      <c r="H112" s="334" t="s">
        <v>257</v>
      </c>
      <c r="I112" s="92">
        <v>50.0</v>
      </c>
      <c r="J112" s="281" t="s">
        <v>82</v>
      </c>
    </row>
    <row r="113" ht="15.0" customHeight="1">
      <c r="A113" s="82" t="s">
        <v>7704</v>
      </c>
      <c r="B113" s="82" t="s">
        <v>52</v>
      </c>
      <c r="C113" s="100" t="s">
        <v>7718</v>
      </c>
      <c r="D113" s="281" t="s">
        <v>1264</v>
      </c>
      <c r="E113" s="327" t="s">
        <v>7719</v>
      </c>
      <c r="F113" s="325">
        <v>45162.0</v>
      </c>
      <c r="G113" s="152">
        <v>50.0</v>
      </c>
      <c r="H113" s="334" t="s">
        <v>257</v>
      </c>
      <c r="I113" s="92">
        <v>50.0</v>
      </c>
      <c r="J113" s="281" t="s">
        <v>82</v>
      </c>
    </row>
    <row r="114" ht="15.0" customHeight="1">
      <c r="A114" s="82" t="s">
        <v>7704</v>
      </c>
      <c r="B114" s="82" t="s">
        <v>52</v>
      </c>
      <c r="C114" s="100" t="s">
        <v>7713</v>
      </c>
      <c r="D114" s="281" t="s">
        <v>1264</v>
      </c>
      <c r="E114" s="327" t="s">
        <v>7539</v>
      </c>
      <c r="F114" s="325">
        <v>45162.0</v>
      </c>
      <c r="G114" s="152">
        <v>50.0</v>
      </c>
      <c r="H114" s="334" t="s">
        <v>257</v>
      </c>
      <c r="I114" s="92">
        <v>50.0</v>
      </c>
      <c r="J114" s="281" t="s">
        <v>82</v>
      </c>
    </row>
    <row r="115" ht="15.0" customHeight="1">
      <c r="A115" s="82" t="s">
        <v>7704</v>
      </c>
      <c r="B115" s="82" t="s">
        <v>52</v>
      </c>
      <c r="C115" s="100" t="s">
        <v>7716</v>
      </c>
      <c r="D115" s="281" t="s">
        <v>1264</v>
      </c>
      <c r="E115" s="327" t="s">
        <v>7717</v>
      </c>
      <c r="F115" s="325">
        <v>45169.0</v>
      </c>
      <c r="G115" s="152">
        <v>50.0</v>
      </c>
      <c r="H115" s="334" t="s">
        <v>257</v>
      </c>
      <c r="I115" s="92">
        <v>50.0</v>
      </c>
      <c r="J115" s="281" t="s">
        <v>82</v>
      </c>
    </row>
    <row r="116" ht="15.0" customHeight="1">
      <c r="A116" s="82" t="s">
        <v>7704</v>
      </c>
      <c r="B116" s="82" t="s">
        <v>52</v>
      </c>
      <c r="C116" s="100" t="s">
        <v>7716</v>
      </c>
      <c r="D116" s="281" t="s">
        <v>1264</v>
      </c>
      <c r="E116" s="327" t="s">
        <v>7717</v>
      </c>
      <c r="F116" s="325">
        <v>45180.0</v>
      </c>
      <c r="G116" s="152">
        <v>50.0</v>
      </c>
      <c r="H116" s="334" t="s">
        <v>257</v>
      </c>
      <c r="I116" s="92">
        <v>50.0</v>
      </c>
      <c r="J116" s="281" t="s">
        <v>82</v>
      </c>
    </row>
    <row r="117" ht="15.0" customHeight="1">
      <c r="A117" s="82" t="s">
        <v>7704</v>
      </c>
      <c r="B117" s="82" t="s">
        <v>52</v>
      </c>
      <c r="C117" s="100" t="s">
        <v>7716</v>
      </c>
      <c r="D117" s="281" t="s">
        <v>1264</v>
      </c>
      <c r="E117" s="327" t="s">
        <v>7717</v>
      </c>
      <c r="F117" s="325">
        <v>45218.0</v>
      </c>
      <c r="G117" s="152">
        <v>50.0</v>
      </c>
      <c r="H117" s="334" t="s">
        <v>257</v>
      </c>
      <c r="I117" s="92">
        <v>50.0</v>
      </c>
      <c r="J117" s="281" t="s">
        <v>82</v>
      </c>
    </row>
    <row r="118" ht="15.0" customHeight="1">
      <c r="A118" s="82" t="s">
        <v>7704</v>
      </c>
      <c r="B118" s="82" t="s">
        <v>52</v>
      </c>
      <c r="C118" s="100" t="s">
        <v>7716</v>
      </c>
      <c r="D118" s="281" t="s">
        <v>1264</v>
      </c>
      <c r="E118" s="327" t="s">
        <v>7717</v>
      </c>
      <c r="F118" s="325">
        <v>45260.0</v>
      </c>
      <c r="G118" s="152">
        <v>50.0</v>
      </c>
      <c r="H118" s="334" t="s">
        <v>257</v>
      </c>
      <c r="I118" s="92">
        <v>50.0</v>
      </c>
      <c r="J118" s="281" t="s">
        <v>82</v>
      </c>
    </row>
    <row r="119" ht="15.0" customHeight="1">
      <c r="A119" s="82" t="s">
        <v>7720</v>
      </c>
      <c r="B119" s="82" t="s">
        <v>52</v>
      </c>
      <c r="C119" s="82" t="s">
        <v>5223</v>
      </c>
      <c r="D119" s="82" t="s">
        <v>7721</v>
      </c>
      <c r="E119" s="79" t="s">
        <v>7722</v>
      </c>
      <c r="F119" s="82"/>
      <c r="G119" s="82">
        <v>50.0</v>
      </c>
      <c r="H119" s="326" t="s">
        <v>7723</v>
      </c>
      <c r="I119" s="288">
        <f>G119</f>
        <v>50</v>
      </c>
      <c r="J119" s="281" t="s">
        <v>59</v>
      </c>
    </row>
    <row r="120" ht="15.0" customHeight="1">
      <c r="A120" s="82" t="s">
        <v>7720</v>
      </c>
      <c r="B120" s="82" t="s">
        <v>52</v>
      </c>
      <c r="C120" s="82" t="s">
        <v>7724</v>
      </c>
      <c r="D120" s="82" t="s">
        <v>1264</v>
      </c>
      <c r="E120" s="79" t="s">
        <v>7725</v>
      </c>
      <c r="F120" s="325">
        <v>44981.0</v>
      </c>
      <c r="G120" s="82">
        <v>10.0</v>
      </c>
      <c r="H120" s="326"/>
      <c r="I120" s="288">
        <f t="shared" ref="I120:I122" si="3">G120*5</f>
        <v>50</v>
      </c>
      <c r="J120" s="281" t="s">
        <v>59</v>
      </c>
    </row>
    <row r="121" ht="15.0" customHeight="1">
      <c r="A121" s="82" t="s">
        <v>7720</v>
      </c>
      <c r="B121" s="82" t="s">
        <v>52</v>
      </c>
      <c r="C121" s="82" t="s">
        <v>7726</v>
      </c>
      <c r="D121" s="82" t="s">
        <v>1264</v>
      </c>
      <c r="E121" s="79" t="s">
        <v>7727</v>
      </c>
      <c r="F121" s="325">
        <v>45030.0</v>
      </c>
      <c r="G121" s="82">
        <v>10.0</v>
      </c>
      <c r="H121" s="326"/>
      <c r="I121" s="288">
        <f t="shared" si="3"/>
        <v>50</v>
      </c>
      <c r="J121" s="281" t="s">
        <v>59</v>
      </c>
    </row>
    <row r="122" ht="15.0" customHeight="1">
      <c r="A122" s="82" t="s">
        <v>7720</v>
      </c>
      <c r="B122" s="82" t="s">
        <v>52</v>
      </c>
      <c r="C122" s="82" t="s">
        <v>7728</v>
      </c>
      <c r="D122" s="82" t="s">
        <v>1264</v>
      </c>
      <c r="E122" s="79" t="s">
        <v>7729</v>
      </c>
      <c r="F122" s="325">
        <v>45076.0</v>
      </c>
      <c r="G122" s="82">
        <v>10.0</v>
      </c>
      <c r="H122" s="326"/>
      <c r="I122" s="288">
        <f t="shared" si="3"/>
        <v>50</v>
      </c>
      <c r="J122" s="281" t="s">
        <v>59</v>
      </c>
    </row>
    <row r="123" ht="15.0" customHeight="1">
      <c r="A123" s="82" t="s">
        <v>7730</v>
      </c>
      <c r="B123" s="85" t="s">
        <v>52</v>
      </c>
      <c r="C123" s="85" t="s">
        <v>7656</v>
      </c>
      <c r="D123" s="78" t="s">
        <v>1184</v>
      </c>
      <c r="E123" s="153" t="s">
        <v>7657</v>
      </c>
      <c r="F123" s="333">
        <v>45251.0</v>
      </c>
      <c r="G123" s="99">
        <v>50.0</v>
      </c>
      <c r="H123" s="99" t="s">
        <v>7655</v>
      </c>
      <c r="I123" s="99">
        <v>50.0</v>
      </c>
      <c r="J123" s="281" t="s">
        <v>91</v>
      </c>
    </row>
    <row r="124" ht="15.0" customHeight="1">
      <c r="A124" s="82" t="s">
        <v>7730</v>
      </c>
      <c r="B124" s="85" t="s">
        <v>52</v>
      </c>
      <c r="C124" s="85" t="s">
        <v>500</v>
      </c>
      <c r="D124" s="82" t="s">
        <v>1184</v>
      </c>
      <c r="E124" s="82" t="s">
        <v>7658</v>
      </c>
      <c r="F124" s="325">
        <v>45288.0</v>
      </c>
      <c r="G124" s="99">
        <v>50.0</v>
      </c>
      <c r="H124" s="99" t="s">
        <v>7655</v>
      </c>
      <c r="I124" s="281">
        <v>50.0</v>
      </c>
      <c r="J124" s="281" t="s">
        <v>91</v>
      </c>
    </row>
    <row r="125" ht="15.0" customHeight="1">
      <c r="A125" s="82" t="s">
        <v>7731</v>
      </c>
      <c r="B125" s="82" t="s">
        <v>52</v>
      </c>
      <c r="C125" s="85" t="s">
        <v>7732</v>
      </c>
      <c r="D125" s="78" t="s">
        <v>1264</v>
      </c>
      <c r="E125" s="331" t="s">
        <v>7733</v>
      </c>
      <c r="F125" s="78" t="s">
        <v>7734</v>
      </c>
      <c r="G125" s="99">
        <v>50.0</v>
      </c>
      <c r="H125" s="185"/>
      <c r="I125" s="335">
        <v>50.0</v>
      </c>
      <c r="J125" s="281" t="s">
        <v>81</v>
      </c>
    </row>
    <row r="126" ht="15.0" customHeight="1">
      <c r="A126" s="82" t="s">
        <v>7731</v>
      </c>
      <c r="B126" s="82" t="s">
        <v>52</v>
      </c>
      <c r="C126" s="85" t="s">
        <v>7735</v>
      </c>
      <c r="D126" s="78"/>
      <c r="E126" s="331" t="s">
        <v>7733</v>
      </c>
      <c r="F126" s="78">
        <v>2023.0</v>
      </c>
      <c r="G126" s="99">
        <v>50.0</v>
      </c>
      <c r="H126" s="185"/>
      <c r="I126" s="335">
        <v>50.0</v>
      </c>
      <c r="J126" s="281" t="s">
        <v>81</v>
      </c>
    </row>
    <row r="127" ht="15.0" customHeight="1">
      <c r="A127" s="157" t="s">
        <v>7731</v>
      </c>
      <c r="B127" s="100" t="s">
        <v>52</v>
      </c>
      <c r="C127" s="157" t="s">
        <v>7736</v>
      </c>
      <c r="D127" s="100" t="s">
        <v>1264</v>
      </c>
      <c r="E127" s="100" t="s">
        <v>7733</v>
      </c>
      <c r="F127" s="336">
        <v>45170.0</v>
      </c>
      <c r="G127" s="156">
        <v>50.0</v>
      </c>
      <c r="H127" s="151"/>
      <c r="I127" s="337">
        <v>50.0</v>
      </c>
      <c r="J127" s="281" t="s">
        <v>81</v>
      </c>
    </row>
    <row r="128" ht="15.0" customHeight="1">
      <c r="A128" s="85" t="s">
        <v>7731</v>
      </c>
      <c r="B128" s="82" t="s">
        <v>52</v>
      </c>
      <c r="C128" s="85" t="s">
        <v>7737</v>
      </c>
      <c r="D128" s="82" t="s">
        <v>1264</v>
      </c>
      <c r="E128" s="82" t="s">
        <v>7733</v>
      </c>
      <c r="F128" s="338">
        <v>45170.0</v>
      </c>
      <c r="G128" s="83">
        <v>50.0</v>
      </c>
      <c r="H128" s="92"/>
      <c r="I128" s="335">
        <v>50.0</v>
      </c>
      <c r="J128" s="281" t="s">
        <v>81</v>
      </c>
    </row>
    <row r="129" ht="15.0" customHeight="1">
      <c r="A129" s="85" t="s">
        <v>7731</v>
      </c>
      <c r="B129" s="82" t="s">
        <v>52</v>
      </c>
      <c r="C129" s="85" t="s">
        <v>7738</v>
      </c>
      <c r="D129" s="82" t="s">
        <v>1264</v>
      </c>
      <c r="E129" s="82" t="s">
        <v>7733</v>
      </c>
      <c r="F129" s="82">
        <v>2023.0</v>
      </c>
      <c r="G129" s="83">
        <v>50.0</v>
      </c>
      <c r="H129" s="92"/>
      <c r="I129" s="335">
        <v>50.0</v>
      </c>
      <c r="J129" s="281" t="s">
        <v>81</v>
      </c>
    </row>
    <row r="130" ht="15.0" customHeight="1">
      <c r="A130" s="85" t="s">
        <v>7731</v>
      </c>
      <c r="B130" s="82" t="s">
        <v>52</v>
      </c>
      <c r="C130" s="85" t="s">
        <v>7739</v>
      </c>
      <c r="D130" s="82" t="s">
        <v>1264</v>
      </c>
      <c r="E130" s="82" t="s">
        <v>7733</v>
      </c>
      <c r="F130" s="82">
        <v>2023.0</v>
      </c>
      <c r="G130" s="83">
        <v>50.0</v>
      </c>
      <c r="H130" s="92"/>
      <c r="I130" s="335">
        <v>50.0</v>
      </c>
      <c r="J130" s="281" t="s">
        <v>81</v>
      </c>
    </row>
    <row r="131" ht="15.0" customHeight="1">
      <c r="A131" s="85" t="s">
        <v>7731</v>
      </c>
      <c r="B131" s="82"/>
      <c r="C131" s="85" t="s">
        <v>7740</v>
      </c>
      <c r="D131" s="82" t="s">
        <v>1264</v>
      </c>
      <c r="E131" s="82" t="s">
        <v>7741</v>
      </c>
      <c r="F131" s="82">
        <v>2023.0</v>
      </c>
      <c r="G131" s="83">
        <v>50.0</v>
      </c>
      <c r="H131" s="92"/>
      <c r="I131" s="335">
        <v>50.0</v>
      </c>
      <c r="J131" s="281" t="s">
        <v>81</v>
      </c>
    </row>
    <row r="132" ht="15.0" customHeight="1">
      <c r="A132" s="85" t="s">
        <v>7731</v>
      </c>
      <c r="B132" s="82" t="s">
        <v>52</v>
      </c>
      <c r="C132" s="85" t="s">
        <v>7742</v>
      </c>
      <c r="D132" s="82" t="s">
        <v>1264</v>
      </c>
      <c r="E132" s="82" t="s">
        <v>7733</v>
      </c>
      <c r="F132" s="82">
        <v>2023.0</v>
      </c>
      <c r="G132" s="83">
        <v>50.0</v>
      </c>
      <c r="H132" s="92"/>
      <c r="I132" s="335">
        <v>50.0</v>
      </c>
      <c r="J132" s="281" t="s">
        <v>81</v>
      </c>
    </row>
    <row r="133" ht="15.0" customHeight="1">
      <c r="A133" s="85" t="s">
        <v>7731</v>
      </c>
      <c r="B133" s="82" t="s">
        <v>52</v>
      </c>
      <c r="C133" s="85" t="s">
        <v>7743</v>
      </c>
      <c r="D133" s="82" t="s">
        <v>1264</v>
      </c>
      <c r="E133" s="82" t="s">
        <v>7733</v>
      </c>
      <c r="F133" s="82">
        <v>2023.0</v>
      </c>
      <c r="G133" s="83">
        <v>50.0</v>
      </c>
      <c r="H133" s="92"/>
      <c r="I133" s="335">
        <v>50.0</v>
      </c>
      <c r="J133" s="281" t="s">
        <v>81</v>
      </c>
    </row>
    <row r="134" ht="15.0" customHeight="1">
      <c r="A134" s="82" t="s">
        <v>7731</v>
      </c>
      <c r="B134" s="82" t="s">
        <v>52</v>
      </c>
      <c r="C134" s="85" t="s">
        <v>7744</v>
      </c>
      <c r="D134" s="78" t="s">
        <v>1264</v>
      </c>
      <c r="E134" s="78" t="s">
        <v>7745</v>
      </c>
      <c r="F134" s="78" t="s">
        <v>7746</v>
      </c>
      <c r="G134" s="99">
        <v>50.0</v>
      </c>
      <c r="H134" s="185"/>
      <c r="I134" s="335">
        <v>50.0</v>
      </c>
      <c r="J134" s="281" t="s">
        <v>81</v>
      </c>
    </row>
    <row r="135" ht="15.0" customHeight="1">
      <c r="A135" s="82" t="s">
        <v>7731</v>
      </c>
      <c r="B135" s="82" t="s">
        <v>52</v>
      </c>
      <c r="C135" s="85" t="s">
        <v>7747</v>
      </c>
      <c r="D135" s="82" t="s">
        <v>1264</v>
      </c>
      <c r="E135" s="85" t="s">
        <v>7745</v>
      </c>
      <c r="F135" s="85" t="s">
        <v>7748</v>
      </c>
      <c r="G135" s="98">
        <v>50.0</v>
      </c>
      <c r="H135" s="91"/>
      <c r="I135" s="335">
        <v>50.0</v>
      </c>
      <c r="J135" s="281" t="s">
        <v>81</v>
      </c>
    </row>
    <row r="136" ht="15.0" customHeight="1">
      <c r="A136" s="82" t="s">
        <v>7731</v>
      </c>
      <c r="B136" s="82" t="s">
        <v>52</v>
      </c>
      <c r="C136" s="85" t="s">
        <v>7749</v>
      </c>
      <c r="D136" s="78" t="s">
        <v>1264</v>
      </c>
      <c r="E136" s="85" t="s">
        <v>7745</v>
      </c>
      <c r="F136" s="85" t="s">
        <v>7750</v>
      </c>
      <c r="G136" s="98">
        <v>50.0</v>
      </c>
      <c r="H136" s="91"/>
      <c r="I136" s="335">
        <v>50.0</v>
      </c>
      <c r="J136" s="281" t="s">
        <v>81</v>
      </c>
    </row>
    <row r="137" ht="15.0" customHeight="1">
      <c r="A137" s="82" t="s">
        <v>7731</v>
      </c>
      <c r="B137" s="82" t="s">
        <v>52</v>
      </c>
      <c r="C137" s="85" t="s">
        <v>7751</v>
      </c>
      <c r="D137" s="78" t="s">
        <v>1264</v>
      </c>
      <c r="E137" s="85" t="s">
        <v>7733</v>
      </c>
      <c r="F137" s="85" t="s">
        <v>7752</v>
      </c>
      <c r="G137" s="85">
        <v>50.0</v>
      </c>
      <c r="H137" s="339"/>
      <c r="I137" s="335">
        <v>50.0</v>
      </c>
      <c r="J137" s="281" t="s">
        <v>81</v>
      </c>
    </row>
    <row r="138" ht="15.0" customHeight="1">
      <c r="A138" s="82" t="s">
        <v>7731</v>
      </c>
      <c r="B138" s="82" t="s">
        <v>52</v>
      </c>
      <c r="C138" s="85" t="s">
        <v>7753</v>
      </c>
      <c r="D138" s="78" t="s">
        <v>1264</v>
      </c>
      <c r="E138" s="85" t="s">
        <v>7733</v>
      </c>
      <c r="F138" s="340">
        <v>45139.0</v>
      </c>
      <c r="G138" s="85">
        <v>50.0</v>
      </c>
      <c r="H138" s="339"/>
      <c r="I138" s="335">
        <v>50.0</v>
      </c>
      <c r="J138" s="281" t="s">
        <v>81</v>
      </c>
    </row>
    <row r="139" ht="15.0" customHeight="1">
      <c r="A139" s="82" t="s">
        <v>7731</v>
      </c>
      <c r="B139" s="82" t="s">
        <v>52</v>
      </c>
      <c r="C139" s="85" t="s">
        <v>7754</v>
      </c>
      <c r="D139" s="78" t="s">
        <v>1264</v>
      </c>
      <c r="E139" s="85" t="s">
        <v>7733</v>
      </c>
      <c r="F139" s="85">
        <v>2023.0</v>
      </c>
      <c r="G139" s="85">
        <v>50.0</v>
      </c>
      <c r="H139" s="339"/>
      <c r="I139" s="335">
        <v>50.0</v>
      </c>
      <c r="J139" s="281" t="s">
        <v>81</v>
      </c>
    </row>
    <row r="140" ht="15.0" customHeight="1">
      <c r="A140" s="82" t="s">
        <v>7731</v>
      </c>
      <c r="B140" s="82" t="s">
        <v>52</v>
      </c>
      <c r="C140" s="85" t="s">
        <v>7755</v>
      </c>
      <c r="D140" s="78" t="s">
        <v>1264</v>
      </c>
      <c r="E140" s="85" t="s">
        <v>7733</v>
      </c>
      <c r="F140" s="85" t="s">
        <v>7756</v>
      </c>
      <c r="G140" s="85">
        <v>50.0</v>
      </c>
      <c r="H140" s="339"/>
      <c r="I140" s="335">
        <v>50.0</v>
      </c>
      <c r="J140" s="281" t="s">
        <v>81</v>
      </c>
    </row>
    <row r="141" ht="15.0" customHeight="1">
      <c r="A141" s="82" t="s">
        <v>7731</v>
      </c>
      <c r="B141" s="82" t="s">
        <v>52</v>
      </c>
      <c r="C141" s="335" t="s">
        <v>7757</v>
      </c>
      <c r="D141" s="335" t="s">
        <v>1264</v>
      </c>
      <c r="E141" s="335" t="s">
        <v>7733</v>
      </c>
      <c r="F141" s="335" t="s">
        <v>7758</v>
      </c>
      <c r="G141" s="85">
        <v>50.0</v>
      </c>
      <c r="H141" s="339"/>
      <c r="I141" s="335">
        <v>50.0</v>
      </c>
      <c r="J141" s="281" t="s">
        <v>81</v>
      </c>
    </row>
    <row r="142" ht="15.0" customHeight="1">
      <c r="A142" s="82" t="s">
        <v>7731</v>
      </c>
      <c r="B142" s="82" t="s">
        <v>52</v>
      </c>
      <c r="C142" s="85" t="s">
        <v>7759</v>
      </c>
      <c r="D142" s="335" t="s">
        <v>259</v>
      </c>
      <c r="E142" s="85" t="s">
        <v>7733</v>
      </c>
      <c r="F142" s="85">
        <v>2023.0</v>
      </c>
      <c r="G142" s="85">
        <v>50.0</v>
      </c>
      <c r="H142" s="339"/>
      <c r="I142" s="335">
        <v>50.0</v>
      </c>
      <c r="J142" s="281" t="s">
        <v>81</v>
      </c>
    </row>
    <row r="143" ht="15.0" customHeight="1">
      <c r="A143" s="82" t="s">
        <v>7731</v>
      </c>
      <c r="B143" s="82" t="s">
        <v>52</v>
      </c>
      <c r="C143" s="85" t="s">
        <v>7760</v>
      </c>
      <c r="D143" s="78" t="s">
        <v>1264</v>
      </c>
      <c r="E143" s="85" t="s">
        <v>7745</v>
      </c>
      <c r="F143" s="85" t="s">
        <v>7632</v>
      </c>
      <c r="G143" s="85">
        <v>50.0</v>
      </c>
      <c r="H143" s="339"/>
      <c r="I143" s="335">
        <v>50.0</v>
      </c>
      <c r="J143" s="281" t="s">
        <v>81</v>
      </c>
    </row>
    <row r="144" ht="15.0" customHeight="1">
      <c r="A144" s="82" t="s">
        <v>7731</v>
      </c>
      <c r="B144" s="82" t="s">
        <v>52</v>
      </c>
      <c r="C144" s="335" t="s">
        <v>7761</v>
      </c>
      <c r="D144" s="335" t="s">
        <v>259</v>
      </c>
      <c r="E144" s="335" t="s">
        <v>7741</v>
      </c>
      <c r="F144" s="335">
        <v>2023.0</v>
      </c>
      <c r="G144" s="85">
        <v>50.0</v>
      </c>
      <c r="H144" s="339"/>
      <c r="I144" s="335">
        <v>50.0</v>
      </c>
      <c r="J144" s="281" t="s">
        <v>81</v>
      </c>
    </row>
    <row r="145" ht="15.0" customHeight="1">
      <c r="A145" s="82" t="s">
        <v>7731</v>
      </c>
      <c r="B145" s="82" t="s">
        <v>52</v>
      </c>
      <c r="C145" s="82" t="s">
        <v>7762</v>
      </c>
      <c r="D145" s="335" t="s">
        <v>1264</v>
      </c>
      <c r="E145" s="335" t="s">
        <v>7733</v>
      </c>
      <c r="F145" s="335">
        <v>2023.0</v>
      </c>
      <c r="G145" s="85">
        <v>50.0</v>
      </c>
      <c r="H145" s="339"/>
      <c r="I145" s="335">
        <v>50.0</v>
      </c>
      <c r="J145" s="281" t="s">
        <v>81</v>
      </c>
    </row>
    <row r="146" ht="15.0" customHeight="1">
      <c r="A146" s="82" t="s">
        <v>7731</v>
      </c>
      <c r="B146" s="82" t="s">
        <v>52</v>
      </c>
      <c r="C146" s="82" t="s">
        <v>7763</v>
      </c>
      <c r="D146" s="335" t="s">
        <v>1264</v>
      </c>
      <c r="E146" s="335" t="s">
        <v>7733</v>
      </c>
      <c r="F146" s="335">
        <v>2023.0</v>
      </c>
      <c r="G146" s="85">
        <v>50.0</v>
      </c>
      <c r="H146" s="339"/>
      <c r="I146" s="335">
        <v>50.0</v>
      </c>
      <c r="J146" s="281" t="s">
        <v>81</v>
      </c>
    </row>
    <row r="147" ht="15.0" customHeight="1">
      <c r="A147" s="82" t="s">
        <v>7731</v>
      </c>
      <c r="B147" s="82" t="s">
        <v>52</v>
      </c>
      <c r="C147" s="85" t="s">
        <v>7764</v>
      </c>
      <c r="D147" s="78" t="s">
        <v>1264</v>
      </c>
      <c r="E147" s="85" t="s">
        <v>7745</v>
      </c>
      <c r="F147" s="340">
        <v>45139.0</v>
      </c>
      <c r="G147" s="85">
        <v>50.0</v>
      </c>
      <c r="H147" s="339"/>
      <c r="I147" s="335">
        <v>50.0</v>
      </c>
      <c r="J147" s="281" t="s">
        <v>81</v>
      </c>
    </row>
    <row r="148" ht="15.0" customHeight="1">
      <c r="A148" s="82" t="s">
        <v>7731</v>
      </c>
      <c r="B148" s="82" t="s">
        <v>52</v>
      </c>
      <c r="C148" s="85" t="s">
        <v>7765</v>
      </c>
      <c r="D148" s="78" t="s">
        <v>1264</v>
      </c>
      <c r="E148" s="85" t="s">
        <v>7745</v>
      </c>
      <c r="F148" s="85" t="s">
        <v>7766</v>
      </c>
      <c r="G148" s="85">
        <v>50.0</v>
      </c>
      <c r="H148" s="339"/>
      <c r="I148" s="335">
        <v>50.0</v>
      </c>
      <c r="J148" s="281" t="s">
        <v>81</v>
      </c>
    </row>
    <row r="149" ht="15.0" customHeight="1">
      <c r="A149" s="82" t="s">
        <v>7731</v>
      </c>
      <c r="B149" s="82" t="s">
        <v>52</v>
      </c>
      <c r="C149" s="82" t="s">
        <v>7767</v>
      </c>
      <c r="D149" s="82" t="s">
        <v>1264</v>
      </c>
      <c r="E149" s="327" t="s">
        <v>7768</v>
      </c>
      <c r="F149" s="82" t="s">
        <v>7746</v>
      </c>
      <c r="G149" s="82">
        <v>100.0</v>
      </c>
      <c r="H149" s="82"/>
      <c r="I149" s="335">
        <v>50.0</v>
      </c>
      <c r="J149" s="281" t="s">
        <v>81</v>
      </c>
    </row>
    <row r="150" ht="15.0" customHeight="1">
      <c r="A150" s="82" t="s">
        <v>7731</v>
      </c>
      <c r="B150" s="82" t="s">
        <v>52</v>
      </c>
      <c r="C150" s="85" t="s">
        <v>7769</v>
      </c>
      <c r="D150" s="82" t="s">
        <v>1264</v>
      </c>
      <c r="E150" s="85" t="s">
        <v>7745</v>
      </c>
      <c r="F150" s="340">
        <v>45261.0</v>
      </c>
      <c r="G150" s="85">
        <v>50.0</v>
      </c>
      <c r="H150" s="339"/>
      <c r="I150" s="335">
        <v>50.0</v>
      </c>
      <c r="J150" s="281" t="s">
        <v>81</v>
      </c>
    </row>
    <row r="151" ht="15.0" customHeight="1">
      <c r="A151" s="82" t="s">
        <v>7731</v>
      </c>
      <c r="B151" s="82" t="s">
        <v>52</v>
      </c>
      <c r="C151" s="335" t="s">
        <v>7770</v>
      </c>
      <c r="D151" s="78" t="s">
        <v>1264</v>
      </c>
      <c r="E151" s="85" t="s">
        <v>7745</v>
      </c>
      <c r="F151" s="341">
        <v>45142.0</v>
      </c>
      <c r="G151" s="85">
        <v>50.0</v>
      </c>
      <c r="H151" s="339"/>
      <c r="I151" s="335">
        <v>50.0</v>
      </c>
      <c r="J151" s="281" t="s">
        <v>81</v>
      </c>
    </row>
    <row r="152" ht="15.0" customHeight="1">
      <c r="A152" s="82" t="s">
        <v>7771</v>
      </c>
      <c r="B152" s="82" t="s">
        <v>52</v>
      </c>
      <c r="C152" s="82" t="s">
        <v>7772</v>
      </c>
      <c r="D152" s="82" t="s">
        <v>7773</v>
      </c>
      <c r="E152" s="95" t="s">
        <v>7550</v>
      </c>
      <c r="F152" s="82" t="s">
        <v>7774</v>
      </c>
      <c r="G152" s="82">
        <v>50.0</v>
      </c>
      <c r="H152" s="82" t="s">
        <v>7655</v>
      </c>
      <c r="I152" s="288">
        <v>50.0</v>
      </c>
      <c r="J152" s="281" t="s">
        <v>515</v>
      </c>
    </row>
    <row r="153" ht="15.0" customHeight="1">
      <c r="A153" s="82" t="s">
        <v>7771</v>
      </c>
      <c r="B153" s="82" t="s">
        <v>52</v>
      </c>
      <c r="C153" s="82" t="s">
        <v>7775</v>
      </c>
      <c r="D153" s="82" t="s">
        <v>7776</v>
      </c>
      <c r="E153" s="95" t="s">
        <v>7564</v>
      </c>
      <c r="F153" s="82" t="s">
        <v>7777</v>
      </c>
      <c r="G153" s="82">
        <v>50.0</v>
      </c>
      <c r="H153" s="82" t="s">
        <v>7655</v>
      </c>
      <c r="I153" s="288">
        <v>50.0</v>
      </c>
      <c r="J153" s="281" t="s">
        <v>515</v>
      </c>
    </row>
    <row r="154" ht="15.0" customHeight="1">
      <c r="A154" s="82" t="s">
        <v>7771</v>
      </c>
      <c r="B154" s="82" t="s">
        <v>52</v>
      </c>
      <c r="C154" s="82" t="s">
        <v>7778</v>
      </c>
      <c r="D154" s="82" t="s">
        <v>7779</v>
      </c>
      <c r="E154" s="87" t="s">
        <v>7780</v>
      </c>
      <c r="F154" s="82" t="s">
        <v>7781</v>
      </c>
      <c r="G154" s="82">
        <v>50.0</v>
      </c>
      <c r="H154" s="82" t="s">
        <v>7655</v>
      </c>
      <c r="I154" s="288">
        <v>50.0</v>
      </c>
      <c r="J154" s="281" t="s">
        <v>515</v>
      </c>
    </row>
    <row r="155" ht="15.0" customHeight="1">
      <c r="A155" s="82" t="s">
        <v>7771</v>
      </c>
      <c r="B155" s="82" t="s">
        <v>52</v>
      </c>
      <c r="C155" s="82" t="s">
        <v>7782</v>
      </c>
      <c r="D155" s="82" t="s">
        <v>7783</v>
      </c>
      <c r="E155" s="95" t="s">
        <v>7550</v>
      </c>
      <c r="F155" s="82" t="s">
        <v>7784</v>
      </c>
      <c r="G155" s="82">
        <v>50.0</v>
      </c>
      <c r="H155" s="82" t="s">
        <v>7655</v>
      </c>
      <c r="I155" s="288">
        <v>50.0</v>
      </c>
      <c r="J155" s="281" t="s">
        <v>515</v>
      </c>
    </row>
    <row r="156" ht="15.0" customHeight="1">
      <c r="A156" s="82" t="s">
        <v>7771</v>
      </c>
      <c r="B156" s="82" t="s">
        <v>52</v>
      </c>
      <c r="C156" s="82" t="s">
        <v>7785</v>
      </c>
      <c r="D156" s="82" t="s">
        <v>7783</v>
      </c>
      <c r="E156" s="95" t="s">
        <v>7550</v>
      </c>
      <c r="F156" s="82" t="s">
        <v>7592</v>
      </c>
      <c r="G156" s="82">
        <v>50.0</v>
      </c>
      <c r="H156" s="82" t="s">
        <v>7655</v>
      </c>
      <c r="I156" s="288">
        <v>50.0</v>
      </c>
      <c r="J156" s="281" t="s">
        <v>515</v>
      </c>
    </row>
    <row r="157" ht="15.0" customHeight="1">
      <c r="A157" s="82" t="s">
        <v>7771</v>
      </c>
      <c r="B157" s="82" t="s">
        <v>52</v>
      </c>
      <c r="C157" s="82" t="s">
        <v>7786</v>
      </c>
      <c r="D157" s="82" t="s">
        <v>7779</v>
      </c>
      <c r="E157" s="87" t="s">
        <v>7780</v>
      </c>
      <c r="F157" s="82" t="s">
        <v>7787</v>
      </c>
      <c r="G157" s="82">
        <v>50.0</v>
      </c>
      <c r="H157" s="82" t="s">
        <v>7655</v>
      </c>
      <c r="I157" s="288">
        <v>50.0</v>
      </c>
      <c r="J157" s="281" t="s">
        <v>515</v>
      </c>
    </row>
    <row r="158" ht="15.0" customHeight="1">
      <c r="A158" s="82" t="s">
        <v>7771</v>
      </c>
      <c r="B158" s="82" t="s">
        <v>52</v>
      </c>
      <c r="C158" s="82" t="s">
        <v>7788</v>
      </c>
      <c r="D158" s="82" t="s">
        <v>7779</v>
      </c>
      <c r="E158" s="87" t="s">
        <v>7780</v>
      </c>
      <c r="F158" s="82" t="s">
        <v>7789</v>
      </c>
      <c r="G158" s="82">
        <v>50.0</v>
      </c>
      <c r="H158" s="82" t="s">
        <v>7655</v>
      </c>
      <c r="I158" s="288">
        <v>50.0</v>
      </c>
      <c r="J158" s="281" t="s">
        <v>515</v>
      </c>
    </row>
    <row r="159" ht="15.0" customHeight="1">
      <c r="A159" s="82" t="s">
        <v>7771</v>
      </c>
      <c r="B159" s="82" t="s">
        <v>52</v>
      </c>
      <c r="C159" s="82" t="s">
        <v>7790</v>
      </c>
      <c r="D159" s="82" t="s">
        <v>7779</v>
      </c>
      <c r="E159" s="87" t="s">
        <v>7780</v>
      </c>
      <c r="F159" s="82" t="s">
        <v>7791</v>
      </c>
      <c r="G159" s="82">
        <v>50.0</v>
      </c>
      <c r="H159" s="82" t="s">
        <v>7655</v>
      </c>
      <c r="I159" s="288">
        <v>50.0</v>
      </c>
      <c r="J159" s="281" t="s">
        <v>515</v>
      </c>
    </row>
    <row r="160" ht="15.0" customHeight="1">
      <c r="A160" s="82" t="s">
        <v>7771</v>
      </c>
      <c r="B160" s="82" t="s">
        <v>52</v>
      </c>
      <c r="C160" s="82" t="s">
        <v>7792</v>
      </c>
      <c r="D160" s="82" t="s">
        <v>7776</v>
      </c>
      <c r="E160" s="95" t="s">
        <v>7564</v>
      </c>
      <c r="F160" s="82" t="s">
        <v>7793</v>
      </c>
      <c r="G160" s="82">
        <v>50.0</v>
      </c>
      <c r="H160" s="82" t="s">
        <v>7655</v>
      </c>
      <c r="I160" s="288">
        <v>50.0</v>
      </c>
      <c r="J160" s="281" t="s">
        <v>515</v>
      </c>
    </row>
    <row r="161" ht="15.0" customHeight="1">
      <c r="A161" s="82" t="s">
        <v>7771</v>
      </c>
      <c r="B161" s="82" t="s">
        <v>52</v>
      </c>
      <c r="C161" s="82" t="s">
        <v>7794</v>
      </c>
      <c r="D161" s="82" t="s">
        <v>7783</v>
      </c>
      <c r="E161" s="95" t="s">
        <v>7550</v>
      </c>
      <c r="F161" s="82" t="s">
        <v>7795</v>
      </c>
      <c r="G161" s="82">
        <v>50.0</v>
      </c>
      <c r="H161" s="82" t="s">
        <v>7655</v>
      </c>
      <c r="I161" s="288">
        <v>50.0</v>
      </c>
      <c r="J161" s="281" t="s">
        <v>515</v>
      </c>
    </row>
    <row r="162" ht="15.0" customHeight="1">
      <c r="A162" s="82" t="s">
        <v>7771</v>
      </c>
      <c r="B162" s="82" t="s">
        <v>52</v>
      </c>
      <c r="C162" s="82" t="s">
        <v>7785</v>
      </c>
      <c r="D162" s="82" t="s">
        <v>7783</v>
      </c>
      <c r="E162" s="95" t="s">
        <v>7550</v>
      </c>
      <c r="F162" s="82" t="s">
        <v>7592</v>
      </c>
      <c r="G162" s="82">
        <v>50.0</v>
      </c>
      <c r="H162" s="82" t="s">
        <v>7655</v>
      </c>
      <c r="I162" s="288">
        <v>50.0</v>
      </c>
      <c r="J162" s="281" t="s">
        <v>515</v>
      </c>
    </row>
    <row r="163" ht="15.0" customHeight="1">
      <c r="A163" s="82" t="s">
        <v>7771</v>
      </c>
      <c r="B163" s="82" t="s">
        <v>52</v>
      </c>
      <c r="C163" s="82" t="s">
        <v>7796</v>
      </c>
      <c r="D163" s="82" t="s">
        <v>7779</v>
      </c>
      <c r="E163" s="87" t="s">
        <v>7780</v>
      </c>
      <c r="F163" s="82" t="s">
        <v>7797</v>
      </c>
      <c r="G163" s="82">
        <v>50.0</v>
      </c>
      <c r="H163" s="82" t="s">
        <v>7655</v>
      </c>
      <c r="I163" s="288">
        <v>50.0</v>
      </c>
      <c r="J163" s="281" t="s">
        <v>515</v>
      </c>
    </row>
    <row r="164" ht="15.0" customHeight="1">
      <c r="A164" s="82" t="s">
        <v>7771</v>
      </c>
      <c r="B164" s="82" t="s">
        <v>52</v>
      </c>
      <c r="C164" s="82" t="s">
        <v>7798</v>
      </c>
      <c r="D164" s="82" t="s">
        <v>7783</v>
      </c>
      <c r="E164" s="95" t="s">
        <v>7550</v>
      </c>
      <c r="F164" s="85" t="s">
        <v>7797</v>
      </c>
      <c r="G164" s="82">
        <v>50.0</v>
      </c>
      <c r="H164" s="82" t="s">
        <v>7655</v>
      </c>
      <c r="I164" s="288">
        <v>50.0</v>
      </c>
      <c r="J164" s="281" t="s">
        <v>515</v>
      </c>
    </row>
    <row r="165" ht="15.0" customHeight="1">
      <c r="A165" s="82" t="s">
        <v>7771</v>
      </c>
      <c r="B165" s="82" t="s">
        <v>52</v>
      </c>
      <c r="C165" s="82" t="s">
        <v>7799</v>
      </c>
      <c r="D165" s="82" t="s">
        <v>7779</v>
      </c>
      <c r="E165" s="87" t="s">
        <v>7780</v>
      </c>
      <c r="F165" s="85" t="s">
        <v>7800</v>
      </c>
      <c r="G165" s="82">
        <v>50.0</v>
      </c>
      <c r="H165" s="82" t="s">
        <v>7655</v>
      </c>
      <c r="I165" s="288">
        <v>50.0</v>
      </c>
      <c r="J165" s="281" t="s">
        <v>515</v>
      </c>
    </row>
    <row r="166" ht="15.0" customHeight="1">
      <c r="A166" s="82" t="s">
        <v>7771</v>
      </c>
      <c r="B166" s="82" t="s">
        <v>52</v>
      </c>
      <c r="C166" s="82" t="s">
        <v>7801</v>
      </c>
      <c r="D166" s="82" t="s">
        <v>7773</v>
      </c>
      <c r="E166" s="95" t="s">
        <v>7550</v>
      </c>
      <c r="F166" s="82" t="s">
        <v>7802</v>
      </c>
      <c r="G166" s="82">
        <v>50.0</v>
      </c>
      <c r="H166" s="82" t="s">
        <v>7655</v>
      </c>
      <c r="I166" s="288">
        <v>50.0</v>
      </c>
      <c r="J166" s="281" t="s">
        <v>515</v>
      </c>
    </row>
    <row r="167" ht="15.0" customHeight="1">
      <c r="A167" s="82" t="s">
        <v>7771</v>
      </c>
      <c r="B167" s="82" t="s">
        <v>52</v>
      </c>
      <c r="C167" s="82" t="s">
        <v>7803</v>
      </c>
      <c r="D167" s="82" t="s">
        <v>7804</v>
      </c>
      <c r="E167" s="327" t="s">
        <v>7805</v>
      </c>
      <c r="F167" s="85" t="s">
        <v>7806</v>
      </c>
      <c r="G167" s="82">
        <v>50.0</v>
      </c>
      <c r="H167" s="82" t="s">
        <v>7655</v>
      </c>
      <c r="I167" s="288">
        <v>50.0</v>
      </c>
      <c r="J167" s="281" t="s">
        <v>515</v>
      </c>
    </row>
    <row r="168" ht="15.0" customHeight="1">
      <c r="A168" s="82" t="s">
        <v>7771</v>
      </c>
      <c r="B168" s="82" t="s">
        <v>52</v>
      </c>
      <c r="C168" s="82" t="s">
        <v>7807</v>
      </c>
      <c r="D168" s="82" t="s">
        <v>7783</v>
      </c>
      <c r="E168" s="95" t="s">
        <v>7550</v>
      </c>
      <c r="F168" s="85" t="s">
        <v>7808</v>
      </c>
      <c r="G168" s="82">
        <v>50.0</v>
      </c>
      <c r="H168" s="82" t="s">
        <v>7655</v>
      </c>
      <c r="I168" s="288">
        <v>50.0</v>
      </c>
      <c r="J168" s="281" t="s">
        <v>515</v>
      </c>
    </row>
    <row r="169" ht="15.0" customHeight="1">
      <c r="A169" s="82" t="s">
        <v>7771</v>
      </c>
      <c r="B169" s="82" t="s">
        <v>52</v>
      </c>
      <c r="C169" s="82" t="s">
        <v>7809</v>
      </c>
      <c r="D169" s="82" t="s">
        <v>7783</v>
      </c>
      <c r="E169" s="95" t="s">
        <v>7550</v>
      </c>
      <c r="F169" s="85" t="s">
        <v>7810</v>
      </c>
      <c r="G169" s="82">
        <v>50.0</v>
      </c>
      <c r="H169" s="82" t="s">
        <v>7655</v>
      </c>
      <c r="I169" s="288">
        <v>50.0</v>
      </c>
      <c r="J169" s="281" t="s">
        <v>515</v>
      </c>
    </row>
    <row r="170" ht="15.0" customHeight="1">
      <c r="A170" s="82" t="s">
        <v>7771</v>
      </c>
      <c r="B170" s="82" t="s">
        <v>52</v>
      </c>
      <c r="C170" s="82" t="s">
        <v>7811</v>
      </c>
      <c r="D170" s="82" t="s">
        <v>7779</v>
      </c>
      <c r="E170" s="327" t="s">
        <v>7812</v>
      </c>
      <c r="F170" s="85" t="s">
        <v>7813</v>
      </c>
      <c r="G170" s="82">
        <v>50.0</v>
      </c>
      <c r="H170" s="82" t="s">
        <v>7655</v>
      </c>
      <c r="I170" s="288">
        <v>50.0</v>
      </c>
      <c r="J170" s="281" t="s">
        <v>515</v>
      </c>
    </row>
    <row r="171" ht="15.0" customHeight="1">
      <c r="A171" s="82" t="s">
        <v>7771</v>
      </c>
      <c r="B171" s="82" t="s">
        <v>52</v>
      </c>
      <c r="C171" s="82" t="s">
        <v>7814</v>
      </c>
      <c r="D171" s="82" t="s">
        <v>7815</v>
      </c>
      <c r="E171" s="327" t="s">
        <v>7816</v>
      </c>
      <c r="F171" s="85" t="s">
        <v>7817</v>
      </c>
      <c r="G171" s="82">
        <v>50.0</v>
      </c>
      <c r="H171" s="82" t="s">
        <v>7655</v>
      </c>
      <c r="I171" s="288">
        <v>50.0</v>
      </c>
      <c r="J171" s="281" t="s">
        <v>515</v>
      </c>
    </row>
    <row r="172" ht="15.0" customHeight="1">
      <c r="A172" s="82" t="s">
        <v>7771</v>
      </c>
      <c r="B172" s="82" t="s">
        <v>52</v>
      </c>
      <c r="C172" s="82" t="s">
        <v>7818</v>
      </c>
      <c r="D172" s="82" t="s">
        <v>7815</v>
      </c>
      <c r="E172" s="327" t="s">
        <v>620</v>
      </c>
      <c r="F172" s="85" t="s">
        <v>7819</v>
      </c>
      <c r="G172" s="82">
        <v>50.0</v>
      </c>
      <c r="H172" s="82" t="s">
        <v>7655</v>
      </c>
      <c r="I172" s="288">
        <v>50.0</v>
      </c>
      <c r="J172" s="281" t="s">
        <v>515</v>
      </c>
    </row>
    <row r="173" ht="15.0" customHeight="1">
      <c r="A173" s="82" t="s">
        <v>7771</v>
      </c>
      <c r="B173" s="82" t="s">
        <v>52</v>
      </c>
      <c r="C173" s="82" t="s">
        <v>7820</v>
      </c>
      <c r="D173" s="82" t="s">
        <v>7815</v>
      </c>
      <c r="E173" s="327" t="s">
        <v>7574</v>
      </c>
      <c r="F173" s="85" t="s">
        <v>7821</v>
      </c>
      <c r="G173" s="82">
        <v>50.0</v>
      </c>
      <c r="H173" s="82" t="s">
        <v>7655</v>
      </c>
      <c r="I173" s="288">
        <v>50.0</v>
      </c>
      <c r="J173" s="281" t="s">
        <v>515</v>
      </c>
    </row>
    <row r="174" ht="15.0" customHeight="1">
      <c r="A174" s="82" t="s">
        <v>7771</v>
      </c>
      <c r="B174" s="82" t="s">
        <v>52</v>
      </c>
      <c r="C174" s="82" t="s">
        <v>7822</v>
      </c>
      <c r="D174" s="82" t="s">
        <v>7776</v>
      </c>
      <c r="E174" s="95" t="s">
        <v>7564</v>
      </c>
      <c r="F174" s="85" t="s">
        <v>7823</v>
      </c>
      <c r="G174" s="82">
        <v>50.0</v>
      </c>
      <c r="H174" s="82" t="s">
        <v>7655</v>
      </c>
      <c r="I174" s="288">
        <v>50.0</v>
      </c>
      <c r="J174" s="281" t="s">
        <v>515</v>
      </c>
    </row>
    <row r="175" ht="15.0" customHeight="1">
      <c r="A175" s="82" t="s">
        <v>7771</v>
      </c>
      <c r="B175" s="82" t="s">
        <v>52</v>
      </c>
      <c r="C175" s="82" t="s">
        <v>7824</v>
      </c>
      <c r="D175" s="82" t="s">
        <v>7779</v>
      </c>
      <c r="E175" s="87" t="s">
        <v>7780</v>
      </c>
      <c r="F175" s="85" t="s">
        <v>7823</v>
      </c>
      <c r="G175" s="82">
        <v>50.0</v>
      </c>
      <c r="H175" s="82" t="s">
        <v>7655</v>
      </c>
      <c r="I175" s="288">
        <v>50.0</v>
      </c>
      <c r="J175" s="281" t="s">
        <v>515</v>
      </c>
    </row>
    <row r="176" ht="15.0" customHeight="1">
      <c r="A176" s="85" t="s">
        <v>533</v>
      </c>
      <c r="B176" s="85" t="s">
        <v>52</v>
      </c>
      <c r="C176" s="85" t="s">
        <v>7825</v>
      </c>
      <c r="D176" s="82" t="s">
        <v>1256</v>
      </c>
      <c r="E176" s="87" t="s">
        <v>7826</v>
      </c>
      <c r="F176" s="82" t="s">
        <v>7827</v>
      </c>
      <c r="G176" s="152">
        <v>50.0</v>
      </c>
      <c r="H176" s="82">
        <v>24.0</v>
      </c>
      <c r="I176" s="293">
        <f t="shared" ref="I176:I190" si="4">G176</f>
        <v>50</v>
      </c>
      <c r="J176" s="281" t="s">
        <v>533</v>
      </c>
    </row>
    <row r="177" ht="15.0" customHeight="1">
      <c r="A177" s="85" t="s">
        <v>533</v>
      </c>
      <c r="B177" s="85" t="s">
        <v>52</v>
      </c>
      <c r="C177" s="85" t="s">
        <v>7828</v>
      </c>
      <c r="D177" s="82" t="s">
        <v>1256</v>
      </c>
      <c r="E177" s="87" t="s">
        <v>7826</v>
      </c>
      <c r="F177" s="82" t="s">
        <v>7829</v>
      </c>
      <c r="G177" s="152">
        <v>50.0</v>
      </c>
      <c r="H177" s="82">
        <v>24.0</v>
      </c>
      <c r="I177" s="293">
        <f t="shared" si="4"/>
        <v>50</v>
      </c>
      <c r="J177" s="281" t="s">
        <v>533</v>
      </c>
    </row>
    <row r="178" ht="15.0" customHeight="1">
      <c r="A178" s="85" t="s">
        <v>533</v>
      </c>
      <c r="B178" s="85" t="s">
        <v>52</v>
      </c>
      <c r="C178" s="85" t="s">
        <v>7830</v>
      </c>
      <c r="D178" s="82" t="s">
        <v>1256</v>
      </c>
      <c r="E178" s="342" t="s">
        <v>7831</v>
      </c>
      <c r="F178" s="82" t="s">
        <v>7832</v>
      </c>
      <c r="G178" s="152">
        <v>50.0</v>
      </c>
      <c r="H178" s="82">
        <v>24.0</v>
      </c>
      <c r="I178" s="293">
        <f t="shared" si="4"/>
        <v>50</v>
      </c>
      <c r="J178" s="281" t="s">
        <v>533</v>
      </c>
    </row>
    <row r="179" ht="15.0" customHeight="1">
      <c r="A179" s="85" t="s">
        <v>533</v>
      </c>
      <c r="B179" s="85" t="s">
        <v>52</v>
      </c>
      <c r="C179" s="85" t="s">
        <v>7833</v>
      </c>
      <c r="D179" s="82" t="s">
        <v>1256</v>
      </c>
      <c r="E179" s="95" t="s">
        <v>620</v>
      </c>
      <c r="F179" s="82" t="s">
        <v>7834</v>
      </c>
      <c r="G179" s="152">
        <v>50.0</v>
      </c>
      <c r="H179" s="82">
        <v>24.0</v>
      </c>
      <c r="I179" s="293">
        <f t="shared" si="4"/>
        <v>50</v>
      </c>
      <c r="J179" s="281" t="s">
        <v>533</v>
      </c>
    </row>
    <row r="180" ht="15.0" customHeight="1">
      <c r="A180" s="85" t="s">
        <v>533</v>
      </c>
      <c r="B180" s="85" t="s">
        <v>52</v>
      </c>
      <c r="C180" s="85" t="s">
        <v>7835</v>
      </c>
      <c r="D180" s="82" t="s">
        <v>1256</v>
      </c>
      <c r="E180" s="87" t="s">
        <v>7826</v>
      </c>
      <c r="F180" s="82" t="s">
        <v>7836</v>
      </c>
      <c r="G180" s="152">
        <v>50.0</v>
      </c>
      <c r="H180" s="82">
        <v>24.0</v>
      </c>
      <c r="I180" s="293">
        <f t="shared" si="4"/>
        <v>50</v>
      </c>
      <c r="J180" s="281" t="s">
        <v>533</v>
      </c>
    </row>
    <row r="181" ht="15.0" customHeight="1">
      <c r="A181" s="85" t="s">
        <v>533</v>
      </c>
      <c r="B181" s="85" t="s">
        <v>52</v>
      </c>
      <c r="C181" s="85" t="s">
        <v>7837</v>
      </c>
      <c r="D181" s="82" t="s">
        <v>1256</v>
      </c>
      <c r="E181" s="342" t="s">
        <v>7838</v>
      </c>
      <c r="F181" s="152" t="s">
        <v>7839</v>
      </c>
      <c r="G181" s="329">
        <v>50.0</v>
      </c>
      <c r="H181" s="82">
        <v>24.0</v>
      </c>
      <c r="I181" s="293">
        <f t="shared" si="4"/>
        <v>50</v>
      </c>
      <c r="J181" s="281" t="s">
        <v>533</v>
      </c>
    </row>
    <row r="182" ht="15.0" customHeight="1">
      <c r="A182" s="85" t="s">
        <v>533</v>
      </c>
      <c r="B182" s="85" t="s">
        <v>52</v>
      </c>
      <c r="C182" s="85" t="s">
        <v>7837</v>
      </c>
      <c r="D182" s="82" t="s">
        <v>1256</v>
      </c>
      <c r="E182" s="342" t="s">
        <v>7838</v>
      </c>
      <c r="F182" s="152" t="s">
        <v>7840</v>
      </c>
      <c r="G182" s="329">
        <v>50.0</v>
      </c>
      <c r="H182" s="82">
        <v>24.0</v>
      </c>
      <c r="I182" s="293">
        <f t="shared" si="4"/>
        <v>50</v>
      </c>
      <c r="J182" s="281" t="s">
        <v>533</v>
      </c>
    </row>
    <row r="183" ht="15.0" customHeight="1">
      <c r="A183" s="82" t="s">
        <v>533</v>
      </c>
      <c r="B183" s="82" t="s">
        <v>52</v>
      </c>
      <c r="C183" s="82" t="s">
        <v>7841</v>
      </c>
      <c r="D183" s="82" t="s">
        <v>1256</v>
      </c>
      <c r="E183" s="342" t="s">
        <v>7826</v>
      </c>
      <c r="F183" s="82" t="s">
        <v>7842</v>
      </c>
      <c r="G183" s="152">
        <v>50.0</v>
      </c>
      <c r="H183" s="82">
        <v>24.0</v>
      </c>
      <c r="I183" s="293">
        <f t="shared" si="4"/>
        <v>50</v>
      </c>
      <c r="J183" s="281" t="s">
        <v>533</v>
      </c>
    </row>
    <row r="184" ht="15.0" customHeight="1">
      <c r="A184" s="82" t="s">
        <v>533</v>
      </c>
      <c r="B184" s="82" t="s">
        <v>52</v>
      </c>
      <c r="C184" s="85" t="s">
        <v>7843</v>
      </c>
      <c r="D184" s="82" t="s">
        <v>1256</v>
      </c>
      <c r="E184" s="342" t="s">
        <v>7838</v>
      </c>
      <c r="F184" s="152" t="s">
        <v>7844</v>
      </c>
      <c r="G184" s="152">
        <v>50.0</v>
      </c>
      <c r="H184" s="82">
        <v>24.0</v>
      </c>
      <c r="I184" s="293">
        <f t="shared" si="4"/>
        <v>50</v>
      </c>
      <c r="J184" s="281" t="s">
        <v>533</v>
      </c>
    </row>
    <row r="185" ht="15.0" customHeight="1">
      <c r="A185" s="82" t="s">
        <v>533</v>
      </c>
      <c r="B185" s="82" t="s">
        <v>52</v>
      </c>
      <c r="C185" s="82" t="s">
        <v>7845</v>
      </c>
      <c r="D185" s="82" t="s">
        <v>1256</v>
      </c>
      <c r="E185" s="342" t="s">
        <v>620</v>
      </c>
      <c r="F185" s="325" t="s">
        <v>7846</v>
      </c>
      <c r="G185" s="152">
        <v>50.0</v>
      </c>
      <c r="H185" s="82">
        <v>24.0</v>
      </c>
      <c r="I185" s="293">
        <f t="shared" si="4"/>
        <v>50</v>
      </c>
      <c r="J185" s="281" t="s">
        <v>533</v>
      </c>
    </row>
    <row r="186" ht="15.0" customHeight="1">
      <c r="A186" s="82" t="s">
        <v>533</v>
      </c>
      <c r="B186" s="82" t="s">
        <v>52</v>
      </c>
      <c r="C186" s="82" t="s">
        <v>7847</v>
      </c>
      <c r="D186" s="82" t="s">
        <v>1256</v>
      </c>
      <c r="E186" s="342" t="s">
        <v>7838</v>
      </c>
      <c r="F186" s="325" t="s">
        <v>7848</v>
      </c>
      <c r="G186" s="152">
        <v>50.0</v>
      </c>
      <c r="H186" s="82">
        <v>24.0</v>
      </c>
      <c r="I186" s="293">
        <f t="shared" si="4"/>
        <v>50</v>
      </c>
      <c r="J186" s="281" t="s">
        <v>533</v>
      </c>
    </row>
    <row r="187" ht="15.0" customHeight="1">
      <c r="A187" s="82" t="s">
        <v>533</v>
      </c>
      <c r="B187" s="82" t="s">
        <v>52</v>
      </c>
      <c r="C187" s="82" t="s">
        <v>7849</v>
      </c>
      <c r="D187" s="82" t="s">
        <v>1264</v>
      </c>
      <c r="E187" s="87" t="s">
        <v>7700</v>
      </c>
      <c r="F187" s="325" t="s">
        <v>7850</v>
      </c>
      <c r="G187" s="82">
        <v>50.0</v>
      </c>
      <c r="H187" s="82">
        <v>6.0</v>
      </c>
      <c r="I187" s="82">
        <f t="shared" si="4"/>
        <v>50</v>
      </c>
      <c r="J187" s="281" t="s">
        <v>533</v>
      </c>
    </row>
    <row r="188" ht="15.0" customHeight="1">
      <c r="A188" s="82" t="s">
        <v>533</v>
      </c>
      <c r="B188" s="82" t="s">
        <v>52</v>
      </c>
      <c r="C188" s="82" t="s">
        <v>7851</v>
      </c>
      <c r="D188" s="82" t="s">
        <v>1264</v>
      </c>
      <c r="E188" s="95" t="s">
        <v>7852</v>
      </c>
      <c r="F188" s="325" t="s">
        <v>7853</v>
      </c>
      <c r="G188" s="82">
        <v>50.0</v>
      </c>
      <c r="H188" s="82">
        <v>4.0</v>
      </c>
      <c r="I188" s="82">
        <f t="shared" si="4"/>
        <v>50</v>
      </c>
      <c r="J188" s="281" t="s">
        <v>533</v>
      </c>
    </row>
    <row r="189" ht="15.0" customHeight="1">
      <c r="A189" s="82" t="s">
        <v>533</v>
      </c>
      <c r="B189" s="82" t="s">
        <v>52</v>
      </c>
      <c r="C189" s="85" t="s">
        <v>7854</v>
      </c>
      <c r="D189" s="82" t="s">
        <v>1256</v>
      </c>
      <c r="E189" s="342" t="s">
        <v>7838</v>
      </c>
      <c r="F189" s="152" t="s">
        <v>7855</v>
      </c>
      <c r="G189" s="329">
        <v>50.0</v>
      </c>
      <c r="H189" s="82">
        <v>24.0</v>
      </c>
      <c r="I189" s="152">
        <f t="shared" si="4"/>
        <v>50</v>
      </c>
      <c r="J189" s="281" t="s">
        <v>533</v>
      </c>
    </row>
    <row r="190" ht="15.0" customHeight="1">
      <c r="A190" s="82" t="s">
        <v>533</v>
      </c>
      <c r="B190" s="82" t="s">
        <v>52</v>
      </c>
      <c r="C190" s="85" t="s">
        <v>7856</v>
      </c>
      <c r="D190" s="82" t="s">
        <v>1256</v>
      </c>
      <c r="E190" s="342" t="s">
        <v>7831</v>
      </c>
      <c r="F190" s="82" t="s">
        <v>7857</v>
      </c>
      <c r="G190" s="152">
        <v>50.0</v>
      </c>
      <c r="H190" s="82">
        <v>24.0</v>
      </c>
      <c r="I190" s="152">
        <f t="shared" si="4"/>
        <v>50</v>
      </c>
      <c r="J190" s="281" t="s">
        <v>533</v>
      </c>
    </row>
    <row r="191" ht="15.0" customHeight="1">
      <c r="A191" s="82" t="s">
        <v>533</v>
      </c>
      <c r="B191" s="82" t="s">
        <v>52</v>
      </c>
      <c r="C191" s="82" t="s">
        <v>7858</v>
      </c>
      <c r="D191" s="82" t="s">
        <v>1256</v>
      </c>
      <c r="E191" s="327" t="s">
        <v>7539</v>
      </c>
      <c r="F191" s="325" t="s">
        <v>7859</v>
      </c>
      <c r="G191" s="82">
        <v>50.0</v>
      </c>
      <c r="H191" s="82">
        <v>24.0</v>
      </c>
      <c r="I191" s="82">
        <v>50.0</v>
      </c>
      <c r="J191" s="281" t="s">
        <v>533</v>
      </c>
    </row>
    <row r="192" ht="15.0" customHeight="1">
      <c r="A192" s="82" t="s">
        <v>533</v>
      </c>
      <c r="B192" s="82" t="s">
        <v>52</v>
      </c>
      <c r="C192" s="82" t="s">
        <v>7860</v>
      </c>
      <c r="D192" s="82" t="s">
        <v>1256</v>
      </c>
      <c r="E192" s="343" t="s">
        <v>7564</v>
      </c>
      <c r="F192" s="330" t="s">
        <v>7821</v>
      </c>
      <c r="G192" s="82">
        <v>50.0</v>
      </c>
      <c r="H192" s="82">
        <v>24.0</v>
      </c>
      <c r="I192" s="82">
        <v>50.0</v>
      </c>
      <c r="J192" s="281" t="s">
        <v>533</v>
      </c>
    </row>
    <row r="193" ht="15.0" customHeight="1">
      <c r="A193" s="82" t="s">
        <v>533</v>
      </c>
      <c r="B193" s="82" t="s">
        <v>52</v>
      </c>
      <c r="C193" s="82" t="s">
        <v>7861</v>
      </c>
      <c r="D193" s="82" t="s">
        <v>1264</v>
      </c>
      <c r="E193" s="327" t="s">
        <v>7862</v>
      </c>
      <c r="F193" s="325" t="s">
        <v>7863</v>
      </c>
      <c r="G193" s="82">
        <v>50.0</v>
      </c>
      <c r="H193" s="82">
        <v>12.0</v>
      </c>
      <c r="I193" s="82">
        <v>50.0</v>
      </c>
      <c r="J193" s="281" t="s">
        <v>533</v>
      </c>
    </row>
    <row r="194" ht="15.0" customHeight="1">
      <c r="A194" s="82" t="s">
        <v>533</v>
      </c>
      <c r="B194" s="82" t="s">
        <v>52</v>
      </c>
      <c r="C194" s="82" t="s">
        <v>7864</v>
      </c>
      <c r="D194" s="82" t="s">
        <v>1256</v>
      </c>
      <c r="E194" s="343" t="s">
        <v>7564</v>
      </c>
      <c r="F194" s="330" t="s">
        <v>7865</v>
      </c>
      <c r="G194" s="82">
        <v>50.0</v>
      </c>
      <c r="H194" s="82">
        <v>24.0</v>
      </c>
      <c r="I194" s="82">
        <v>50.0</v>
      </c>
      <c r="J194" s="281" t="s">
        <v>533</v>
      </c>
    </row>
    <row r="195" ht="15.0" customHeight="1">
      <c r="A195" s="82" t="s">
        <v>533</v>
      </c>
      <c r="B195" s="82" t="s">
        <v>52</v>
      </c>
      <c r="C195" s="85" t="s">
        <v>7866</v>
      </c>
      <c r="D195" s="82" t="s">
        <v>1256</v>
      </c>
      <c r="E195" s="342" t="s">
        <v>7838</v>
      </c>
      <c r="F195" s="152" t="s">
        <v>7823</v>
      </c>
      <c r="G195" s="152">
        <v>50.0</v>
      </c>
      <c r="H195" s="82">
        <v>24.0</v>
      </c>
      <c r="I195" s="293">
        <f t="shared" ref="I195:I196" si="5">G195</f>
        <v>50</v>
      </c>
      <c r="J195" s="281" t="s">
        <v>533</v>
      </c>
    </row>
    <row r="196" ht="15.0" customHeight="1">
      <c r="A196" s="82" t="s">
        <v>533</v>
      </c>
      <c r="B196" s="82" t="s">
        <v>52</v>
      </c>
      <c r="C196" s="82" t="s">
        <v>7867</v>
      </c>
      <c r="D196" s="82" t="s">
        <v>1256</v>
      </c>
      <c r="E196" s="342" t="s">
        <v>620</v>
      </c>
      <c r="F196" s="325" t="s">
        <v>7868</v>
      </c>
      <c r="G196" s="152">
        <v>50.0</v>
      </c>
      <c r="H196" s="82">
        <v>24.0</v>
      </c>
      <c r="I196" s="293">
        <f t="shared" si="5"/>
        <v>50</v>
      </c>
      <c r="J196" s="281" t="s">
        <v>533</v>
      </c>
    </row>
    <row r="197" ht="15.0" customHeight="1">
      <c r="A197" s="82" t="s">
        <v>65</v>
      </c>
      <c r="B197" s="82" t="s">
        <v>7869</v>
      </c>
      <c r="C197" s="82" t="s">
        <v>7870</v>
      </c>
      <c r="D197" s="82" t="s">
        <v>7871</v>
      </c>
      <c r="E197" s="327" t="s">
        <v>7872</v>
      </c>
      <c r="F197" s="100" t="s">
        <v>7873</v>
      </c>
      <c r="G197" s="82">
        <v>75.0</v>
      </c>
      <c r="H197" s="326" t="s">
        <v>7874</v>
      </c>
      <c r="I197" s="288">
        <v>75.0</v>
      </c>
      <c r="J197" s="281" t="s">
        <v>65</v>
      </c>
    </row>
    <row r="198" ht="15.0" customHeight="1">
      <c r="A198" s="82" t="s">
        <v>65</v>
      </c>
      <c r="B198" s="82" t="s">
        <v>52</v>
      </c>
      <c r="C198" s="82" t="s">
        <v>7875</v>
      </c>
      <c r="D198" s="78" t="s">
        <v>1417</v>
      </c>
      <c r="E198" s="327" t="s">
        <v>7876</v>
      </c>
      <c r="F198" s="100" t="s">
        <v>7877</v>
      </c>
      <c r="G198" s="99">
        <v>50.0</v>
      </c>
      <c r="H198" s="332" t="s">
        <v>7622</v>
      </c>
      <c r="I198" s="281">
        <v>50.0</v>
      </c>
      <c r="J198" s="281" t="s">
        <v>65</v>
      </c>
    </row>
    <row r="199" ht="15.0" customHeight="1">
      <c r="A199" s="82" t="s">
        <v>65</v>
      </c>
      <c r="B199" s="82" t="s">
        <v>52</v>
      </c>
      <c r="C199" s="82" t="s">
        <v>7875</v>
      </c>
      <c r="D199" s="78" t="s">
        <v>1417</v>
      </c>
      <c r="E199" s="327" t="s">
        <v>7876</v>
      </c>
      <c r="F199" s="100" t="s">
        <v>7878</v>
      </c>
      <c r="G199" s="99">
        <v>50.0</v>
      </c>
      <c r="H199" s="332" t="s">
        <v>7622</v>
      </c>
      <c r="I199" s="281">
        <v>50.0</v>
      </c>
      <c r="J199" s="281" t="s">
        <v>65</v>
      </c>
    </row>
    <row r="200" ht="15.0" customHeight="1">
      <c r="A200" s="82" t="s">
        <v>65</v>
      </c>
      <c r="B200" s="82" t="s">
        <v>52</v>
      </c>
      <c r="C200" s="82" t="s">
        <v>7879</v>
      </c>
      <c r="D200" s="82" t="s">
        <v>7880</v>
      </c>
      <c r="E200" s="327" t="s">
        <v>7881</v>
      </c>
      <c r="F200" s="100" t="s">
        <v>7853</v>
      </c>
      <c r="G200" s="83">
        <v>50.0</v>
      </c>
      <c r="H200" s="274" t="s">
        <v>7882</v>
      </c>
      <c r="I200" s="281">
        <v>50.0</v>
      </c>
      <c r="J200" s="281" t="s">
        <v>65</v>
      </c>
    </row>
    <row r="201" ht="15.0" customHeight="1">
      <c r="A201" s="85" t="s">
        <v>65</v>
      </c>
      <c r="B201" s="85" t="s">
        <v>52</v>
      </c>
      <c r="C201" s="85" t="s">
        <v>7883</v>
      </c>
      <c r="D201" s="85" t="s">
        <v>7884</v>
      </c>
      <c r="E201" s="327" t="s">
        <v>7885</v>
      </c>
      <c r="F201" s="85" t="s">
        <v>7832</v>
      </c>
      <c r="G201" s="98">
        <v>10.0</v>
      </c>
      <c r="H201" s="344" t="s">
        <v>7886</v>
      </c>
      <c r="I201" s="281">
        <v>10.0</v>
      </c>
      <c r="J201" s="281" t="s">
        <v>65</v>
      </c>
    </row>
    <row r="202" ht="15.0" customHeight="1">
      <c r="A202" s="82" t="s">
        <v>7887</v>
      </c>
      <c r="B202" s="82" t="s">
        <v>94</v>
      </c>
      <c r="C202" s="82" t="s">
        <v>5253</v>
      </c>
      <c r="D202" s="82" t="s">
        <v>7888</v>
      </c>
      <c r="E202" s="327" t="s">
        <v>7889</v>
      </c>
      <c r="F202" s="82"/>
      <c r="G202" s="82">
        <v>50.0</v>
      </c>
      <c r="H202" s="326"/>
      <c r="I202" s="281">
        <v>50.0</v>
      </c>
      <c r="J202" s="281" t="s">
        <v>5258</v>
      </c>
    </row>
    <row r="203" ht="15.0" customHeight="1">
      <c r="A203" s="85" t="s">
        <v>7890</v>
      </c>
      <c r="B203" s="85" t="s">
        <v>94</v>
      </c>
      <c r="C203" s="291" t="s">
        <v>7891</v>
      </c>
      <c r="D203" s="85" t="s">
        <v>1417</v>
      </c>
      <c r="E203" s="291" t="s">
        <v>7892</v>
      </c>
      <c r="F203" s="345" t="s">
        <v>7893</v>
      </c>
      <c r="G203" s="98" t="s">
        <v>7894</v>
      </c>
      <c r="H203" s="91" t="s">
        <v>7655</v>
      </c>
      <c r="I203" s="281">
        <v>300.0</v>
      </c>
      <c r="J203" s="281" t="s">
        <v>566</v>
      </c>
    </row>
    <row r="204" ht="15.0" customHeight="1">
      <c r="A204" s="85" t="s">
        <v>566</v>
      </c>
      <c r="B204" s="85" t="s">
        <v>182</v>
      </c>
      <c r="C204" s="85" t="s">
        <v>7895</v>
      </c>
      <c r="D204" s="78" t="s">
        <v>1264</v>
      </c>
      <c r="E204" s="78" t="s">
        <v>7896</v>
      </c>
      <c r="F204" s="333">
        <v>45036.0</v>
      </c>
      <c r="G204" s="99">
        <v>50.0</v>
      </c>
      <c r="H204" s="332"/>
      <c r="I204" s="281">
        <v>50.0</v>
      </c>
      <c r="J204" s="281" t="s">
        <v>566</v>
      </c>
    </row>
    <row r="205" ht="15.0" customHeight="1">
      <c r="A205" s="85" t="s">
        <v>566</v>
      </c>
      <c r="B205" s="85" t="s">
        <v>182</v>
      </c>
      <c r="C205" s="85" t="s">
        <v>7897</v>
      </c>
      <c r="D205" s="82" t="s">
        <v>1264</v>
      </c>
      <c r="E205" s="79" t="s">
        <v>7898</v>
      </c>
      <c r="F205" s="325">
        <v>45126.0</v>
      </c>
      <c r="G205" s="83">
        <v>50.0</v>
      </c>
      <c r="H205" s="274"/>
      <c r="I205" s="281">
        <v>50.0</v>
      </c>
      <c r="J205" s="281" t="s">
        <v>566</v>
      </c>
    </row>
    <row r="206" ht="15.0" customHeight="1">
      <c r="A206" s="85" t="s">
        <v>566</v>
      </c>
      <c r="B206" s="85" t="s">
        <v>182</v>
      </c>
      <c r="C206" s="85" t="s">
        <v>7899</v>
      </c>
      <c r="D206" s="82" t="s">
        <v>1264</v>
      </c>
      <c r="E206" s="82" t="s">
        <v>7900</v>
      </c>
      <c r="F206" s="338">
        <v>44986.0</v>
      </c>
      <c r="G206" s="83">
        <v>50.0</v>
      </c>
      <c r="H206" s="274"/>
      <c r="I206" s="281">
        <v>50.0</v>
      </c>
      <c r="J206" s="281" t="s">
        <v>566</v>
      </c>
    </row>
    <row r="207" ht="15.0" customHeight="1">
      <c r="A207" s="85" t="s">
        <v>566</v>
      </c>
      <c r="B207" s="346" t="s">
        <v>182</v>
      </c>
      <c r="C207" s="85" t="s">
        <v>7895</v>
      </c>
      <c r="D207" s="85" t="s">
        <v>1264</v>
      </c>
      <c r="E207" s="85" t="s">
        <v>7896</v>
      </c>
      <c r="F207" s="340">
        <v>44958.0</v>
      </c>
      <c r="G207" s="98">
        <v>50.0</v>
      </c>
      <c r="H207" s="344"/>
      <c r="I207" s="281">
        <v>50.0</v>
      </c>
      <c r="J207" s="281" t="s">
        <v>566</v>
      </c>
    </row>
    <row r="208" ht="15.0" customHeight="1">
      <c r="A208" s="85" t="s">
        <v>566</v>
      </c>
      <c r="B208" s="85" t="s">
        <v>182</v>
      </c>
      <c r="C208" s="85" t="s">
        <v>319</v>
      </c>
      <c r="D208" s="85" t="s">
        <v>1264</v>
      </c>
      <c r="E208" s="85" t="s">
        <v>7805</v>
      </c>
      <c r="F208" s="345">
        <v>45112.0</v>
      </c>
      <c r="G208" s="98">
        <v>50.0</v>
      </c>
      <c r="H208" s="344"/>
      <c r="I208" s="281">
        <v>50.0</v>
      </c>
      <c r="J208" s="281" t="s">
        <v>566</v>
      </c>
    </row>
    <row r="209" ht="15.0" customHeight="1">
      <c r="A209" s="82" t="s">
        <v>7901</v>
      </c>
      <c r="B209" s="82" t="s">
        <v>94</v>
      </c>
      <c r="C209" s="82" t="s">
        <v>7902</v>
      </c>
      <c r="D209" s="92" t="s">
        <v>7903</v>
      </c>
      <c r="E209" s="327" t="s">
        <v>7904</v>
      </c>
      <c r="F209" s="347"/>
      <c r="G209" s="347" t="s">
        <v>7905</v>
      </c>
      <c r="H209" s="326"/>
      <c r="I209" s="281">
        <v>50.0</v>
      </c>
      <c r="J209" s="281" t="s">
        <v>590</v>
      </c>
    </row>
    <row r="210" ht="15.0" customHeight="1">
      <c r="A210" s="82" t="s">
        <v>7901</v>
      </c>
      <c r="B210" s="82" t="s">
        <v>94</v>
      </c>
      <c r="C210" s="85" t="s">
        <v>7906</v>
      </c>
      <c r="D210" s="78" t="s">
        <v>7907</v>
      </c>
      <c r="E210" s="331" t="s">
        <v>7805</v>
      </c>
      <c r="F210" s="333" t="s">
        <v>7908</v>
      </c>
      <c r="G210" s="99">
        <v>50.0</v>
      </c>
      <c r="H210" s="332" t="s">
        <v>7909</v>
      </c>
      <c r="I210" s="281">
        <v>50.0</v>
      </c>
      <c r="J210" s="281" t="s">
        <v>590</v>
      </c>
    </row>
    <row r="211" ht="15.0" customHeight="1">
      <c r="A211" s="82" t="s">
        <v>7901</v>
      </c>
      <c r="B211" s="82" t="s">
        <v>94</v>
      </c>
      <c r="C211" s="85" t="s">
        <v>7906</v>
      </c>
      <c r="D211" s="78" t="s">
        <v>7907</v>
      </c>
      <c r="E211" s="331" t="s">
        <v>7805</v>
      </c>
      <c r="F211" s="333">
        <v>45138.0</v>
      </c>
      <c r="G211" s="99">
        <v>50.0</v>
      </c>
      <c r="H211" s="332" t="s">
        <v>7909</v>
      </c>
      <c r="I211" s="281">
        <v>50.0</v>
      </c>
      <c r="J211" s="281" t="s">
        <v>590</v>
      </c>
    </row>
    <row r="212" ht="15.0" customHeight="1">
      <c r="A212" s="82" t="s">
        <v>7901</v>
      </c>
      <c r="B212" s="82" t="s">
        <v>94</v>
      </c>
      <c r="C212" s="85" t="s">
        <v>7910</v>
      </c>
      <c r="D212" s="78" t="s">
        <v>7907</v>
      </c>
      <c r="E212" s="331" t="s">
        <v>7911</v>
      </c>
      <c r="F212" s="333">
        <v>45119.0</v>
      </c>
      <c r="G212" s="99">
        <v>50.0</v>
      </c>
      <c r="H212" s="332" t="s">
        <v>7909</v>
      </c>
      <c r="I212" s="281">
        <v>50.0</v>
      </c>
      <c r="J212" s="281" t="s">
        <v>590</v>
      </c>
    </row>
    <row r="213" ht="15.0" customHeight="1">
      <c r="A213" s="82" t="s">
        <v>7901</v>
      </c>
      <c r="B213" s="82" t="s">
        <v>94</v>
      </c>
      <c r="C213" s="85" t="s">
        <v>7906</v>
      </c>
      <c r="D213" s="78" t="s">
        <v>7907</v>
      </c>
      <c r="E213" s="331" t="s">
        <v>7805</v>
      </c>
      <c r="F213" s="333">
        <v>45100.0</v>
      </c>
      <c r="G213" s="99">
        <v>50.0</v>
      </c>
      <c r="H213" s="332" t="s">
        <v>7909</v>
      </c>
      <c r="I213" s="281">
        <v>50.0</v>
      </c>
      <c r="J213" s="281" t="s">
        <v>590</v>
      </c>
    </row>
    <row r="214" ht="15.0" customHeight="1">
      <c r="A214" s="82" t="s">
        <v>7901</v>
      </c>
      <c r="B214" s="82" t="s">
        <v>94</v>
      </c>
      <c r="C214" s="85" t="s">
        <v>7912</v>
      </c>
      <c r="D214" s="78" t="s">
        <v>7907</v>
      </c>
      <c r="E214" s="331" t="s">
        <v>7719</v>
      </c>
      <c r="F214" s="333">
        <v>45113.0</v>
      </c>
      <c r="G214" s="99">
        <v>50.0</v>
      </c>
      <c r="H214" s="332" t="s">
        <v>7909</v>
      </c>
      <c r="I214" s="281">
        <v>50.0</v>
      </c>
      <c r="J214" s="281" t="s">
        <v>590</v>
      </c>
    </row>
    <row r="215" ht="15.0" customHeight="1">
      <c r="A215" s="82" t="s">
        <v>7901</v>
      </c>
      <c r="B215" s="82" t="s">
        <v>94</v>
      </c>
      <c r="C215" s="85" t="s">
        <v>7906</v>
      </c>
      <c r="D215" s="78" t="s">
        <v>7907</v>
      </c>
      <c r="E215" s="331" t="s">
        <v>7805</v>
      </c>
      <c r="F215" s="333">
        <v>45049.0</v>
      </c>
      <c r="G215" s="99">
        <v>50.0</v>
      </c>
      <c r="H215" s="332" t="s">
        <v>7909</v>
      </c>
      <c r="I215" s="281">
        <v>50.0</v>
      </c>
      <c r="J215" s="281" t="s">
        <v>590</v>
      </c>
    </row>
    <row r="216" ht="15.0" customHeight="1">
      <c r="A216" s="82" t="s">
        <v>7901</v>
      </c>
      <c r="B216" s="82" t="s">
        <v>94</v>
      </c>
      <c r="C216" s="85" t="s">
        <v>7906</v>
      </c>
      <c r="D216" s="78" t="s">
        <v>7907</v>
      </c>
      <c r="E216" s="331" t="s">
        <v>7805</v>
      </c>
      <c r="F216" s="333">
        <v>44987.0</v>
      </c>
      <c r="G216" s="99">
        <v>50.0</v>
      </c>
      <c r="H216" s="332" t="s">
        <v>7909</v>
      </c>
      <c r="I216" s="281">
        <v>50.0</v>
      </c>
      <c r="J216" s="281" t="s">
        <v>590</v>
      </c>
    </row>
    <row r="217" ht="15.0" customHeight="1">
      <c r="A217" s="82" t="s">
        <v>7901</v>
      </c>
      <c r="B217" s="82" t="s">
        <v>94</v>
      </c>
      <c r="C217" s="85" t="s">
        <v>7906</v>
      </c>
      <c r="D217" s="78" t="s">
        <v>7907</v>
      </c>
      <c r="E217" s="331" t="s">
        <v>7805</v>
      </c>
      <c r="F217" s="333">
        <v>44972.0</v>
      </c>
      <c r="G217" s="99">
        <v>50.0</v>
      </c>
      <c r="H217" s="332" t="s">
        <v>7909</v>
      </c>
      <c r="I217" s="281">
        <v>50.0</v>
      </c>
      <c r="J217" s="281" t="s">
        <v>590</v>
      </c>
    </row>
    <row r="218" ht="15.0" customHeight="1">
      <c r="A218" s="82" t="s">
        <v>7901</v>
      </c>
      <c r="B218" s="82" t="s">
        <v>94</v>
      </c>
      <c r="C218" s="85" t="s">
        <v>7913</v>
      </c>
      <c r="D218" s="78" t="s">
        <v>7907</v>
      </c>
      <c r="E218" s="331" t="s">
        <v>7914</v>
      </c>
      <c r="F218" s="333">
        <v>44952.0</v>
      </c>
      <c r="G218" s="99">
        <v>50.0</v>
      </c>
      <c r="H218" s="332" t="s">
        <v>7909</v>
      </c>
      <c r="I218" s="281">
        <v>50.0</v>
      </c>
      <c r="J218" s="281" t="s">
        <v>590</v>
      </c>
    </row>
    <row r="219" ht="15.0" customHeight="1">
      <c r="A219" s="82" t="s">
        <v>7901</v>
      </c>
      <c r="B219" s="82" t="s">
        <v>94</v>
      </c>
      <c r="C219" s="85" t="s">
        <v>7915</v>
      </c>
      <c r="D219" s="78" t="s">
        <v>7907</v>
      </c>
      <c r="E219" s="331" t="s">
        <v>7916</v>
      </c>
      <c r="F219" s="333">
        <v>44950.0</v>
      </c>
      <c r="G219" s="99">
        <v>10.0</v>
      </c>
      <c r="H219" s="332" t="s">
        <v>7909</v>
      </c>
      <c r="I219" s="281">
        <v>10.0</v>
      </c>
      <c r="J219" s="281" t="s">
        <v>590</v>
      </c>
    </row>
    <row r="220" ht="15.0" customHeight="1">
      <c r="A220" s="82" t="s">
        <v>7901</v>
      </c>
      <c r="B220" s="82" t="s">
        <v>94</v>
      </c>
      <c r="C220" s="85" t="s">
        <v>7917</v>
      </c>
      <c r="D220" s="78" t="s">
        <v>7907</v>
      </c>
      <c r="E220" s="331" t="s">
        <v>7918</v>
      </c>
      <c r="F220" s="333">
        <v>45233.0</v>
      </c>
      <c r="G220" s="99">
        <v>50.0</v>
      </c>
      <c r="H220" s="332" t="s">
        <v>7919</v>
      </c>
      <c r="I220" s="281">
        <v>50.0</v>
      </c>
      <c r="J220" s="281" t="s">
        <v>590</v>
      </c>
    </row>
    <row r="221" ht="15.0" customHeight="1">
      <c r="A221" s="82" t="s">
        <v>2853</v>
      </c>
      <c r="B221" s="82" t="s">
        <v>94</v>
      </c>
      <c r="C221" s="82" t="s">
        <v>7920</v>
      </c>
      <c r="D221" s="82" t="s">
        <v>1256</v>
      </c>
      <c r="E221" s="82"/>
      <c r="F221" s="82" t="s">
        <v>7921</v>
      </c>
      <c r="G221" s="82" t="s">
        <v>7635</v>
      </c>
      <c r="H221" s="326" t="s">
        <v>7922</v>
      </c>
      <c r="I221" s="281">
        <v>50.0</v>
      </c>
      <c r="J221" s="281" t="s">
        <v>2853</v>
      </c>
    </row>
    <row r="222" ht="15.0" customHeight="1">
      <c r="A222" s="82" t="s">
        <v>2853</v>
      </c>
      <c r="B222" s="82" t="s">
        <v>94</v>
      </c>
      <c r="C222" s="85" t="s">
        <v>262</v>
      </c>
      <c r="D222" s="82" t="s">
        <v>1256</v>
      </c>
      <c r="E222" s="78"/>
      <c r="F222" s="78" t="s">
        <v>7923</v>
      </c>
      <c r="G222" s="82" t="s">
        <v>7635</v>
      </c>
      <c r="H222" s="332" t="s">
        <v>7655</v>
      </c>
      <c r="I222" s="281">
        <v>50.0</v>
      </c>
      <c r="J222" s="281" t="s">
        <v>2853</v>
      </c>
    </row>
    <row r="223" ht="15.0" customHeight="1">
      <c r="A223" s="82" t="s">
        <v>2853</v>
      </c>
      <c r="B223" s="82" t="s">
        <v>94</v>
      </c>
      <c r="C223" s="85" t="s">
        <v>7660</v>
      </c>
      <c r="D223" s="82" t="s">
        <v>1256</v>
      </c>
      <c r="E223" s="82"/>
      <c r="F223" s="82" t="s">
        <v>7924</v>
      </c>
      <c r="G223" s="82" t="s">
        <v>7635</v>
      </c>
      <c r="H223" s="332" t="s">
        <v>7655</v>
      </c>
      <c r="I223" s="281">
        <v>50.0</v>
      </c>
      <c r="J223" s="281" t="s">
        <v>2853</v>
      </c>
    </row>
    <row r="224" ht="15.0" customHeight="1">
      <c r="A224" s="82" t="s">
        <v>2853</v>
      </c>
      <c r="B224" s="82" t="s">
        <v>94</v>
      </c>
      <c r="C224" s="85" t="s">
        <v>7660</v>
      </c>
      <c r="D224" s="82" t="s">
        <v>1256</v>
      </c>
      <c r="E224" s="82"/>
      <c r="F224" s="82" t="s">
        <v>7925</v>
      </c>
      <c r="G224" s="82" t="s">
        <v>7635</v>
      </c>
      <c r="H224" s="332" t="s">
        <v>7655</v>
      </c>
      <c r="I224" s="281">
        <v>50.0</v>
      </c>
      <c r="J224" s="281" t="s">
        <v>2853</v>
      </c>
    </row>
    <row r="225" ht="15.0" customHeight="1">
      <c r="A225" s="82" t="s">
        <v>626</v>
      </c>
      <c r="B225" s="82" t="s">
        <v>94</v>
      </c>
      <c r="C225" s="82" t="s">
        <v>7926</v>
      </c>
      <c r="D225" s="82" t="s">
        <v>1833</v>
      </c>
      <c r="E225" s="327" t="s">
        <v>7927</v>
      </c>
      <c r="F225" s="325">
        <v>45245.0</v>
      </c>
      <c r="G225" s="82">
        <v>50.0</v>
      </c>
      <c r="H225" s="82" t="s">
        <v>7928</v>
      </c>
      <c r="I225" s="82">
        <v>50.0</v>
      </c>
      <c r="J225" s="281" t="s">
        <v>626</v>
      </c>
    </row>
    <row r="226" ht="15.0" customHeight="1">
      <c r="A226" s="82" t="s">
        <v>626</v>
      </c>
      <c r="B226" s="82" t="s">
        <v>94</v>
      </c>
      <c r="C226" s="82" t="s">
        <v>7926</v>
      </c>
      <c r="D226" s="82" t="s">
        <v>1833</v>
      </c>
      <c r="E226" s="327" t="s">
        <v>7927</v>
      </c>
      <c r="F226" s="325">
        <v>45291.0</v>
      </c>
      <c r="G226" s="82">
        <v>50.0</v>
      </c>
      <c r="H226" s="82" t="s">
        <v>7928</v>
      </c>
      <c r="I226" s="82">
        <v>50.0</v>
      </c>
      <c r="J226" s="281" t="s">
        <v>626</v>
      </c>
    </row>
    <row r="227" ht="15.0" customHeight="1">
      <c r="A227" s="82" t="s">
        <v>7929</v>
      </c>
      <c r="B227" s="82" t="s">
        <v>94</v>
      </c>
      <c r="C227" s="82" t="s">
        <v>5223</v>
      </c>
      <c r="D227" s="82" t="s">
        <v>7930</v>
      </c>
      <c r="E227" s="339" t="s">
        <v>7931</v>
      </c>
      <c r="F227" s="82"/>
      <c r="G227" s="82">
        <v>50.0</v>
      </c>
      <c r="H227" s="82">
        <v>1.0</v>
      </c>
      <c r="I227" s="348">
        <v>50.0</v>
      </c>
      <c r="J227" s="281" t="s">
        <v>646</v>
      </c>
    </row>
    <row r="228" ht="15.0" customHeight="1">
      <c r="A228" s="82" t="s">
        <v>7929</v>
      </c>
      <c r="B228" s="82" t="s">
        <v>94</v>
      </c>
      <c r="C228" s="85" t="s">
        <v>7932</v>
      </c>
      <c r="D228" s="82" t="s">
        <v>2513</v>
      </c>
      <c r="E228" s="339" t="s">
        <v>7933</v>
      </c>
      <c r="F228" s="349">
        <v>45175.65883101852</v>
      </c>
      <c r="G228" s="281">
        <v>10.0</v>
      </c>
      <c r="H228" s="281"/>
      <c r="I228" s="348">
        <v>50.0</v>
      </c>
      <c r="J228" s="281" t="s">
        <v>646</v>
      </c>
    </row>
    <row r="229" ht="15.0" customHeight="1">
      <c r="A229" s="82" t="s">
        <v>7929</v>
      </c>
      <c r="B229" s="82" t="s">
        <v>94</v>
      </c>
      <c r="C229" s="85" t="s">
        <v>7934</v>
      </c>
      <c r="D229" s="82" t="s">
        <v>2513</v>
      </c>
      <c r="E229" s="339" t="s">
        <v>7935</v>
      </c>
      <c r="F229" s="349">
        <v>45134.44857638889</v>
      </c>
      <c r="G229" s="281">
        <v>10.0</v>
      </c>
      <c r="H229" s="92"/>
      <c r="I229" s="348">
        <v>50.0</v>
      </c>
      <c r="J229" s="281" t="s">
        <v>646</v>
      </c>
    </row>
    <row r="230" ht="15.0" customHeight="1">
      <c r="A230" s="82" t="s">
        <v>7929</v>
      </c>
      <c r="B230" s="281"/>
      <c r="C230" s="281" t="s">
        <v>7936</v>
      </c>
      <c r="D230" s="82" t="s">
        <v>2513</v>
      </c>
      <c r="E230" s="339" t="s">
        <v>7937</v>
      </c>
      <c r="F230" s="349">
        <v>45087.57019675926</v>
      </c>
      <c r="G230" s="281">
        <v>10.0</v>
      </c>
      <c r="H230" s="92"/>
      <c r="I230" s="348">
        <v>50.0</v>
      </c>
      <c r="J230" s="281" t="s">
        <v>646</v>
      </c>
    </row>
    <row r="231" ht="15.0" customHeight="1">
      <c r="A231" s="82" t="s">
        <v>7929</v>
      </c>
      <c r="B231" s="82" t="s">
        <v>94</v>
      </c>
      <c r="C231" s="85" t="s">
        <v>7938</v>
      </c>
      <c r="D231" s="82" t="s">
        <v>2513</v>
      </c>
      <c r="E231" s="339" t="s">
        <v>7914</v>
      </c>
      <c r="F231" s="349">
        <v>44961.73638888889</v>
      </c>
      <c r="G231" s="281">
        <v>10.0</v>
      </c>
      <c r="H231" s="92"/>
      <c r="I231" s="348">
        <v>50.0</v>
      </c>
      <c r="J231" s="281" t="s">
        <v>646</v>
      </c>
    </row>
    <row r="232" ht="15.0" customHeight="1">
      <c r="A232" s="82" t="s">
        <v>7929</v>
      </c>
      <c r="B232" s="82" t="s">
        <v>94</v>
      </c>
      <c r="C232" s="85" t="s">
        <v>7939</v>
      </c>
      <c r="D232" s="82" t="s">
        <v>2513</v>
      </c>
      <c r="E232" s="339" t="s">
        <v>7940</v>
      </c>
      <c r="F232" s="349">
        <v>44958.37894675926</v>
      </c>
      <c r="G232" s="281">
        <v>10.0</v>
      </c>
      <c r="H232" s="92"/>
      <c r="I232" s="348">
        <v>50.0</v>
      </c>
      <c r="J232" s="281" t="s">
        <v>646</v>
      </c>
    </row>
    <row r="233" ht="15.0" customHeight="1">
      <c r="A233" s="82" t="s">
        <v>7929</v>
      </c>
      <c r="B233" s="82" t="s">
        <v>94</v>
      </c>
      <c r="C233" s="82" t="s">
        <v>7941</v>
      </c>
      <c r="D233" s="82" t="s">
        <v>2513</v>
      </c>
      <c r="E233" s="339" t="s">
        <v>7942</v>
      </c>
      <c r="F233" s="350">
        <v>45109.82083333333</v>
      </c>
      <c r="G233" s="281">
        <v>10.0</v>
      </c>
      <c r="H233" s="92"/>
      <c r="I233" s="348">
        <v>50.0</v>
      </c>
      <c r="J233" s="281" t="s">
        <v>646</v>
      </c>
    </row>
    <row r="234" ht="15.0" customHeight="1">
      <c r="A234" s="82" t="s">
        <v>7929</v>
      </c>
      <c r="B234" s="82" t="s">
        <v>94</v>
      </c>
      <c r="C234" s="82" t="s">
        <v>7943</v>
      </c>
      <c r="D234" s="78" t="s">
        <v>1256</v>
      </c>
      <c r="E234" s="95" t="s">
        <v>7944</v>
      </c>
      <c r="F234" s="82" t="s">
        <v>7945</v>
      </c>
      <c r="G234" s="351">
        <v>10.0</v>
      </c>
      <c r="H234" s="92"/>
      <c r="I234" s="281">
        <v>50.0</v>
      </c>
      <c r="J234" s="281" t="s">
        <v>646</v>
      </c>
    </row>
    <row r="235" ht="15.0" customHeight="1">
      <c r="A235" s="352" t="s">
        <v>7929</v>
      </c>
      <c r="B235" s="82" t="s">
        <v>94</v>
      </c>
      <c r="C235" s="352" t="s">
        <v>7943</v>
      </c>
      <c r="D235" s="353" t="s">
        <v>1256</v>
      </c>
      <c r="E235" s="354" t="s">
        <v>7946</v>
      </c>
      <c r="F235" s="352" t="s">
        <v>7947</v>
      </c>
      <c r="G235" s="355">
        <v>10.0</v>
      </c>
      <c r="H235" s="92"/>
      <c r="I235" s="281">
        <v>50.0</v>
      </c>
      <c r="J235" s="281" t="s">
        <v>646</v>
      </c>
    </row>
    <row r="236" ht="15.0" customHeight="1">
      <c r="A236" s="82" t="s">
        <v>7929</v>
      </c>
      <c r="B236" s="82" t="s">
        <v>94</v>
      </c>
      <c r="C236" s="82" t="s">
        <v>7943</v>
      </c>
      <c r="D236" s="78" t="s">
        <v>1256</v>
      </c>
      <c r="E236" s="95" t="s">
        <v>7948</v>
      </c>
      <c r="F236" s="82" t="s">
        <v>7949</v>
      </c>
      <c r="G236" s="99">
        <v>10.0</v>
      </c>
      <c r="H236" s="92"/>
      <c r="I236" s="348">
        <v>50.0</v>
      </c>
      <c r="J236" s="281" t="s">
        <v>646</v>
      </c>
    </row>
    <row r="237" ht="15.0" customHeight="1">
      <c r="A237" s="82" t="s">
        <v>7929</v>
      </c>
      <c r="B237" s="82" t="s">
        <v>94</v>
      </c>
      <c r="C237" s="85" t="s">
        <v>7950</v>
      </c>
      <c r="D237" s="78" t="s">
        <v>1256</v>
      </c>
      <c r="E237" s="327" t="s">
        <v>7951</v>
      </c>
      <c r="F237" s="82" t="s">
        <v>7952</v>
      </c>
      <c r="G237" s="99">
        <v>10.0</v>
      </c>
      <c r="H237" s="92"/>
      <c r="I237" s="288">
        <v>50.0</v>
      </c>
      <c r="J237" s="281" t="s">
        <v>646</v>
      </c>
    </row>
    <row r="238" ht="15.0" customHeight="1">
      <c r="A238" s="82" t="s">
        <v>7929</v>
      </c>
      <c r="B238" s="82" t="s">
        <v>94</v>
      </c>
      <c r="C238" s="85" t="s">
        <v>7953</v>
      </c>
      <c r="D238" s="78" t="s">
        <v>1256</v>
      </c>
      <c r="E238" s="79"/>
      <c r="F238" s="82" t="s">
        <v>7954</v>
      </c>
      <c r="G238" s="99">
        <v>10.0</v>
      </c>
      <c r="H238" s="92"/>
      <c r="I238" s="288">
        <v>50.0</v>
      </c>
      <c r="J238" s="281" t="s">
        <v>646</v>
      </c>
    </row>
    <row r="239" ht="15.0" customHeight="1">
      <c r="A239" s="82" t="s">
        <v>7955</v>
      </c>
      <c r="B239" s="82" t="s">
        <v>182</v>
      </c>
      <c r="C239" s="82" t="s">
        <v>328</v>
      </c>
      <c r="D239" s="95" t="s">
        <v>7956</v>
      </c>
      <c r="E239" s="327" t="s">
        <v>7957</v>
      </c>
      <c r="F239" s="356">
        <v>45286.0</v>
      </c>
      <c r="G239" s="82">
        <v>50.0</v>
      </c>
      <c r="H239" s="326" t="s">
        <v>7958</v>
      </c>
      <c r="I239" s="281">
        <v>50.0</v>
      </c>
      <c r="J239" s="281" t="s">
        <v>3018</v>
      </c>
    </row>
    <row r="240" ht="15.0" customHeight="1">
      <c r="A240" s="82" t="s">
        <v>7955</v>
      </c>
      <c r="B240" s="82" t="s">
        <v>7959</v>
      </c>
      <c r="C240" s="82" t="s">
        <v>328</v>
      </c>
      <c r="D240" s="95" t="s">
        <v>7956</v>
      </c>
      <c r="E240" s="82" t="s">
        <v>7957</v>
      </c>
      <c r="F240" s="356">
        <v>45261.0</v>
      </c>
      <c r="G240" s="82">
        <v>50.0</v>
      </c>
      <c r="H240" s="326" t="s">
        <v>7958</v>
      </c>
      <c r="I240" s="281">
        <v>50.0</v>
      </c>
      <c r="J240" s="281" t="s">
        <v>3018</v>
      </c>
    </row>
    <row r="241" ht="15.0" customHeight="1">
      <c r="A241" s="82" t="s">
        <v>7955</v>
      </c>
      <c r="B241" s="82" t="s">
        <v>7960</v>
      </c>
      <c r="C241" s="82" t="s">
        <v>7961</v>
      </c>
      <c r="D241" s="82" t="s">
        <v>7962</v>
      </c>
      <c r="E241" s="82" t="s">
        <v>7963</v>
      </c>
      <c r="F241" s="356">
        <v>45255.0</v>
      </c>
      <c r="G241" s="82">
        <v>50.0</v>
      </c>
      <c r="H241" s="326" t="s">
        <v>7958</v>
      </c>
      <c r="I241" s="281">
        <v>50.0</v>
      </c>
      <c r="J241" s="281" t="s">
        <v>3018</v>
      </c>
    </row>
    <row r="242" ht="15.0" customHeight="1">
      <c r="A242" s="82" t="s">
        <v>7955</v>
      </c>
      <c r="B242" s="82" t="s">
        <v>7964</v>
      </c>
      <c r="C242" s="82" t="s">
        <v>7961</v>
      </c>
      <c r="D242" s="82" t="s">
        <v>7965</v>
      </c>
      <c r="E242" s="82" t="s">
        <v>7963</v>
      </c>
      <c r="F242" s="357">
        <v>45195.0</v>
      </c>
      <c r="G242" s="82">
        <v>50.0</v>
      </c>
      <c r="H242" s="326" t="s">
        <v>7958</v>
      </c>
      <c r="I242" s="281">
        <v>50.0</v>
      </c>
      <c r="J242" s="281" t="s">
        <v>3018</v>
      </c>
    </row>
    <row r="243" ht="15.0" customHeight="1">
      <c r="A243" s="82" t="s">
        <v>7955</v>
      </c>
      <c r="B243" s="82" t="s">
        <v>182</v>
      </c>
      <c r="C243" s="85" t="s">
        <v>7966</v>
      </c>
      <c r="D243" s="82" t="s">
        <v>7967</v>
      </c>
      <c r="E243" s="82" t="s">
        <v>7968</v>
      </c>
      <c r="F243" s="357">
        <v>45134.0</v>
      </c>
      <c r="G243" s="82">
        <v>50.0</v>
      </c>
      <c r="H243" s="326" t="s">
        <v>7958</v>
      </c>
      <c r="I243" s="281">
        <v>50.0</v>
      </c>
      <c r="J243" s="281" t="s">
        <v>3018</v>
      </c>
    </row>
    <row r="244" ht="15.0" customHeight="1">
      <c r="A244" s="82" t="s">
        <v>7955</v>
      </c>
      <c r="B244" s="82" t="s">
        <v>182</v>
      </c>
      <c r="C244" s="85" t="s">
        <v>7660</v>
      </c>
      <c r="D244" s="82" t="s">
        <v>7969</v>
      </c>
      <c r="E244" s="95" t="s">
        <v>7672</v>
      </c>
      <c r="F244" s="357">
        <v>45075.0</v>
      </c>
      <c r="G244" s="82">
        <v>50.0</v>
      </c>
      <c r="H244" s="326" t="s">
        <v>7958</v>
      </c>
      <c r="I244" s="281">
        <v>50.0</v>
      </c>
      <c r="J244" s="281" t="s">
        <v>3018</v>
      </c>
    </row>
    <row r="245" ht="15.0" customHeight="1">
      <c r="A245" s="82" t="s">
        <v>7955</v>
      </c>
      <c r="B245" s="82" t="s">
        <v>182</v>
      </c>
      <c r="C245" s="85" t="s">
        <v>7966</v>
      </c>
      <c r="D245" s="82" t="s">
        <v>7967</v>
      </c>
      <c r="E245" s="82" t="s">
        <v>7968</v>
      </c>
      <c r="F245" s="357">
        <v>45134.0</v>
      </c>
      <c r="G245" s="82">
        <v>50.0</v>
      </c>
      <c r="H245" s="326" t="s">
        <v>7958</v>
      </c>
      <c r="I245" s="281">
        <v>50.0</v>
      </c>
      <c r="J245" s="281" t="s">
        <v>3018</v>
      </c>
    </row>
    <row r="246" ht="15.0" customHeight="1">
      <c r="A246" s="82" t="s">
        <v>7955</v>
      </c>
      <c r="B246" s="82" t="s">
        <v>182</v>
      </c>
      <c r="C246" s="85" t="s">
        <v>7966</v>
      </c>
      <c r="D246" s="82" t="s">
        <v>7967</v>
      </c>
      <c r="E246" s="82" t="s">
        <v>7968</v>
      </c>
      <c r="F246" s="357">
        <v>45134.0</v>
      </c>
      <c r="G246" s="82">
        <v>50.0</v>
      </c>
      <c r="H246" s="326" t="s">
        <v>7958</v>
      </c>
      <c r="I246" s="281">
        <v>50.0</v>
      </c>
      <c r="J246" s="281" t="s">
        <v>3018</v>
      </c>
    </row>
    <row r="247" ht="15.0" customHeight="1">
      <c r="A247" s="82" t="s">
        <v>7955</v>
      </c>
      <c r="B247" s="82" t="s">
        <v>182</v>
      </c>
      <c r="C247" s="85" t="s">
        <v>7966</v>
      </c>
      <c r="D247" s="82" t="s">
        <v>7967</v>
      </c>
      <c r="E247" s="82" t="s">
        <v>7968</v>
      </c>
      <c r="F247" s="357">
        <v>45132.0</v>
      </c>
      <c r="G247" s="82">
        <v>50.0</v>
      </c>
      <c r="H247" s="326" t="s">
        <v>7958</v>
      </c>
      <c r="I247" s="281">
        <v>50.0</v>
      </c>
      <c r="J247" s="281" t="s">
        <v>3018</v>
      </c>
    </row>
    <row r="248" ht="15.0" customHeight="1">
      <c r="A248" s="82" t="s">
        <v>7955</v>
      </c>
      <c r="B248" s="82" t="s">
        <v>182</v>
      </c>
      <c r="C248" s="85" t="s">
        <v>7966</v>
      </c>
      <c r="D248" s="82" t="s">
        <v>7967</v>
      </c>
      <c r="E248" s="82" t="s">
        <v>7968</v>
      </c>
      <c r="F248" s="357">
        <v>44964.0</v>
      </c>
      <c r="G248" s="82">
        <v>50.0</v>
      </c>
      <c r="H248" s="326" t="s">
        <v>7958</v>
      </c>
      <c r="I248" s="281">
        <v>50.0</v>
      </c>
      <c r="J248" s="281" t="s">
        <v>3018</v>
      </c>
    </row>
    <row r="249" ht="15.0" customHeight="1">
      <c r="A249" s="82" t="s">
        <v>7955</v>
      </c>
      <c r="B249" s="82" t="s">
        <v>182</v>
      </c>
      <c r="C249" s="82" t="s">
        <v>7970</v>
      </c>
      <c r="D249" s="95" t="s">
        <v>7971</v>
      </c>
      <c r="E249" s="95" t="s">
        <v>7550</v>
      </c>
      <c r="F249" s="357">
        <v>44964.0</v>
      </c>
      <c r="G249" s="82">
        <v>50.0</v>
      </c>
      <c r="H249" s="326" t="s">
        <v>7958</v>
      </c>
      <c r="I249" s="281">
        <v>50.0</v>
      </c>
      <c r="J249" s="281" t="s">
        <v>3018</v>
      </c>
    </row>
    <row r="250" ht="15.0" customHeight="1">
      <c r="A250" s="82" t="s">
        <v>7972</v>
      </c>
      <c r="B250" s="82" t="s">
        <v>94</v>
      </c>
      <c r="C250" s="82" t="s">
        <v>7902</v>
      </c>
      <c r="D250" s="82" t="s">
        <v>7903</v>
      </c>
      <c r="E250" s="95" t="s">
        <v>7904</v>
      </c>
      <c r="F250" s="82"/>
      <c r="G250" s="82" t="s">
        <v>7973</v>
      </c>
      <c r="H250" s="326"/>
      <c r="I250" s="281">
        <v>100.0</v>
      </c>
      <c r="J250" s="281" t="s">
        <v>5354</v>
      </c>
    </row>
    <row r="251" ht="15.0" customHeight="1">
      <c r="A251" s="358" t="s">
        <v>7974</v>
      </c>
      <c r="B251" s="358" t="s">
        <v>94</v>
      </c>
      <c r="C251" s="358" t="s">
        <v>7975</v>
      </c>
      <c r="D251" s="359" t="s">
        <v>7976</v>
      </c>
      <c r="E251" s="360" t="s">
        <v>7977</v>
      </c>
      <c r="F251" s="358" t="s">
        <v>257</v>
      </c>
      <c r="G251" s="361">
        <v>100.0</v>
      </c>
      <c r="H251" s="361" t="s">
        <v>7978</v>
      </c>
      <c r="I251" s="362">
        <f>100*2</f>
        <v>200</v>
      </c>
      <c r="J251" s="281" t="s">
        <v>689</v>
      </c>
    </row>
    <row r="252" ht="15.0" customHeight="1">
      <c r="A252" s="363" t="s">
        <v>7974</v>
      </c>
      <c r="B252" s="363" t="s">
        <v>94</v>
      </c>
      <c r="C252" s="363" t="s">
        <v>7979</v>
      </c>
      <c r="D252" s="364" t="s">
        <v>7980</v>
      </c>
      <c r="E252" s="365" t="s">
        <v>7981</v>
      </c>
      <c r="F252" s="366" t="s">
        <v>257</v>
      </c>
      <c r="G252" s="367">
        <v>50.0</v>
      </c>
      <c r="H252" s="367" t="s">
        <v>7982</v>
      </c>
      <c r="I252" s="368">
        <v>150.0</v>
      </c>
      <c r="J252" s="281" t="s">
        <v>689</v>
      </c>
    </row>
    <row r="253" ht="15.0" customHeight="1">
      <c r="A253" s="358" t="s">
        <v>7974</v>
      </c>
      <c r="B253" s="358" t="s">
        <v>94</v>
      </c>
      <c r="C253" s="358" t="s">
        <v>7983</v>
      </c>
      <c r="D253" s="359" t="s">
        <v>7984</v>
      </c>
      <c r="E253" s="369" t="s">
        <v>7985</v>
      </c>
      <c r="F253" s="358" t="s">
        <v>257</v>
      </c>
      <c r="G253" s="359">
        <v>50.0</v>
      </c>
      <c r="H253" s="359" t="s">
        <v>7978</v>
      </c>
      <c r="I253" s="362">
        <f>50*2</f>
        <v>100</v>
      </c>
      <c r="J253" s="281" t="s">
        <v>689</v>
      </c>
    </row>
    <row r="254" ht="15.0" customHeight="1">
      <c r="A254" s="82" t="s">
        <v>7974</v>
      </c>
      <c r="B254" s="363" t="s">
        <v>94</v>
      </c>
      <c r="C254" s="370" t="s">
        <v>760</v>
      </c>
      <c r="D254" s="359" t="s">
        <v>7986</v>
      </c>
      <c r="E254" s="369" t="s">
        <v>7987</v>
      </c>
      <c r="F254" s="358" t="s">
        <v>257</v>
      </c>
      <c r="G254" s="359">
        <v>50.0</v>
      </c>
      <c r="H254" s="359" t="s">
        <v>7978</v>
      </c>
      <c r="I254" s="362">
        <v>100.0</v>
      </c>
      <c r="J254" s="281" t="s">
        <v>689</v>
      </c>
    </row>
    <row r="255" ht="15.0" customHeight="1">
      <c r="A255" s="82" t="s">
        <v>7974</v>
      </c>
      <c r="B255" s="82" t="s">
        <v>94</v>
      </c>
      <c r="C255" s="82" t="s">
        <v>7988</v>
      </c>
      <c r="D255" s="92" t="s">
        <v>7989</v>
      </c>
      <c r="E255" s="327" t="s">
        <v>7990</v>
      </c>
      <c r="F255" s="82" t="s">
        <v>257</v>
      </c>
      <c r="G255" s="359">
        <v>50.0</v>
      </c>
      <c r="H255" s="359" t="s">
        <v>7991</v>
      </c>
      <c r="I255" s="362">
        <f>50*3</f>
        <v>150</v>
      </c>
      <c r="J255" s="281" t="s">
        <v>689</v>
      </c>
    </row>
    <row r="256" ht="15.0" customHeight="1">
      <c r="A256" s="82" t="s">
        <v>7974</v>
      </c>
      <c r="B256" s="82" t="s">
        <v>94</v>
      </c>
      <c r="C256" s="82" t="s">
        <v>7992</v>
      </c>
      <c r="D256" s="92" t="s">
        <v>7993</v>
      </c>
      <c r="E256" s="327" t="s">
        <v>7994</v>
      </c>
      <c r="F256" s="82" t="s">
        <v>257</v>
      </c>
      <c r="G256" s="359">
        <v>50.0</v>
      </c>
      <c r="H256" s="359" t="s">
        <v>7978</v>
      </c>
      <c r="I256" s="362">
        <f>50*2</f>
        <v>100</v>
      </c>
      <c r="J256" s="281" t="s">
        <v>689</v>
      </c>
    </row>
    <row r="257" ht="15.0" customHeight="1">
      <c r="A257" s="82" t="s">
        <v>7974</v>
      </c>
      <c r="B257" s="82" t="s">
        <v>94</v>
      </c>
      <c r="C257" s="82" t="s">
        <v>7995</v>
      </c>
      <c r="D257" s="92" t="s">
        <v>7996</v>
      </c>
      <c r="E257" s="95" t="s">
        <v>7997</v>
      </c>
      <c r="F257" s="82" t="s">
        <v>257</v>
      </c>
      <c r="G257" s="359">
        <v>50.0</v>
      </c>
      <c r="H257" s="359" t="s">
        <v>7982</v>
      </c>
      <c r="I257" s="371">
        <f>50*1.5</f>
        <v>75</v>
      </c>
      <c r="J257" s="281" t="s">
        <v>689</v>
      </c>
    </row>
    <row r="258" ht="15.0" customHeight="1">
      <c r="A258" s="82" t="s">
        <v>7974</v>
      </c>
      <c r="B258" s="82" t="s">
        <v>94</v>
      </c>
      <c r="C258" s="82" t="s">
        <v>7998</v>
      </c>
      <c r="D258" s="86" t="s">
        <v>7999</v>
      </c>
      <c r="E258" s="95" t="s">
        <v>8000</v>
      </c>
      <c r="F258" s="83" t="s">
        <v>257</v>
      </c>
      <c r="G258" s="359">
        <v>50.0</v>
      </c>
      <c r="H258" s="359" t="s">
        <v>7958</v>
      </c>
      <c r="I258" s="362">
        <f>50*3</f>
        <v>150</v>
      </c>
      <c r="J258" s="281" t="s">
        <v>689</v>
      </c>
    </row>
    <row r="259" ht="15.0" customHeight="1">
      <c r="A259" s="82" t="s">
        <v>7974</v>
      </c>
      <c r="B259" s="82" t="s">
        <v>94</v>
      </c>
      <c r="C259" s="82" t="s">
        <v>8001</v>
      </c>
      <c r="D259" s="86" t="s">
        <v>8002</v>
      </c>
      <c r="E259" s="95" t="s">
        <v>8003</v>
      </c>
      <c r="F259" s="83" t="s">
        <v>257</v>
      </c>
      <c r="G259" s="359">
        <v>50.0</v>
      </c>
      <c r="H259" s="359" t="s">
        <v>7982</v>
      </c>
      <c r="I259" s="362">
        <f t="shared" ref="I259:I260" si="6">50*1.5</f>
        <v>75</v>
      </c>
      <c r="J259" s="281" t="s">
        <v>689</v>
      </c>
    </row>
    <row r="260" ht="15.0" customHeight="1">
      <c r="A260" s="82" t="s">
        <v>7974</v>
      </c>
      <c r="B260" s="82" t="s">
        <v>94</v>
      </c>
      <c r="C260" s="82" t="s">
        <v>8004</v>
      </c>
      <c r="D260" s="86" t="s">
        <v>8005</v>
      </c>
      <c r="E260" s="95" t="s">
        <v>8006</v>
      </c>
      <c r="F260" s="83" t="s">
        <v>257</v>
      </c>
      <c r="G260" s="359">
        <v>50.0</v>
      </c>
      <c r="H260" s="359" t="s">
        <v>7982</v>
      </c>
      <c r="I260" s="362">
        <f t="shared" si="6"/>
        <v>75</v>
      </c>
      <c r="J260" s="281" t="s">
        <v>689</v>
      </c>
    </row>
    <row r="261" ht="15.0" customHeight="1">
      <c r="A261" s="82" t="s">
        <v>7974</v>
      </c>
      <c r="B261" s="82" t="s">
        <v>94</v>
      </c>
      <c r="C261" s="82" t="s">
        <v>8007</v>
      </c>
      <c r="D261" s="86" t="s">
        <v>8008</v>
      </c>
      <c r="E261" s="82" t="s">
        <v>8009</v>
      </c>
      <c r="F261" s="83"/>
      <c r="G261" s="359">
        <v>50.0</v>
      </c>
      <c r="H261" s="359" t="s">
        <v>7978</v>
      </c>
      <c r="I261" s="362">
        <v>100.0</v>
      </c>
      <c r="J261" s="281" t="s">
        <v>689</v>
      </c>
    </row>
    <row r="262" ht="15.0" customHeight="1">
      <c r="A262" s="82" t="s">
        <v>7974</v>
      </c>
      <c r="B262" s="82" t="s">
        <v>94</v>
      </c>
      <c r="C262" s="82" t="s">
        <v>8007</v>
      </c>
      <c r="D262" s="86" t="s">
        <v>8010</v>
      </c>
      <c r="E262" s="95" t="s">
        <v>8011</v>
      </c>
      <c r="F262" s="83" t="s">
        <v>257</v>
      </c>
      <c r="G262" s="359">
        <v>50.0</v>
      </c>
      <c r="H262" s="359" t="s">
        <v>7978</v>
      </c>
      <c r="I262" s="362">
        <v>100.0</v>
      </c>
      <c r="J262" s="281" t="s">
        <v>689</v>
      </c>
    </row>
    <row r="263" ht="15.0" customHeight="1">
      <c r="A263" s="82" t="s">
        <v>7974</v>
      </c>
      <c r="B263" s="82" t="s">
        <v>94</v>
      </c>
      <c r="C263" s="82" t="s">
        <v>8012</v>
      </c>
      <c r="D263" s="86" t="s">
        <v>8013</v>
      </c>
      <c r="E263" s="95" t="s">
        <v>8014</v>
      </c>
      <c r="F263" s="83" t="s">
        <v>257</v>
      </c>
      <c r="G263" s="359">
        <v>50.0</v>
      </c>
      <c r="H263" s="359" t="s">
        <v>7978</v>
      </c>
      <c r="I263" s="362">
        <v>100.0</v>
      </c>
      <c r="J263" s="281" t="s">
        <v>689</v>
      </c>
    </row>
    <row r="264" ht="15.0" customHeight="1">
      <c r="A264" s="82" t="s">
        <v>7974</v>
      </c>
      <c r="B264" s="82" t="s">
        <v>94</v>
      </c>
      <c r="C264" s="82" t="s">
        <v>8015</v>
      </c>
      <c r="D264" s="86" t="s">
        <v>8016</v>
      </c>
      <c r="E264" s="95" t="s">
        <v>8017</v>
      </c>
      <c r="F264" s="83" t="s">
        <v>257</v>
      </c>
      <c r="G264" s="359">
        <v>50.0</v>
      </c>
      <c r="H264" s="359" t="s">
        <v>7982</v>
      </c>
      <c r="I264" s="362">
        <f>50*1.5</f>
        <v>75</v>
      </c>
      <c r="J264" s="281" t="s">
        <v>689</v>
      </c>
    </row>
    <row r="265" ht="15.0" customHeight="1">
      <c r="A265" s="82" t="s">
        <v>7974</v>
      </c>
      <c r="B265" s="82" t="s">
        <v>94</v>
      </c>
      <c r="C265" s="82" t="s">
        <v>351</v>
      </c>
      <c r="D265" s="86" t="s">
        <v>1833</v>
      </c>
      <c r="E265" s="327" t="s">
        <v>7616</v>
      </c>
      <c r="F265" s="83" t="s">
        <v>8018</v>
      </c>
      <c r="G265" s="359" t="s">
        <v>8019</v>
      </c>
      <c r="H265" s="359"/>
      <c r="I265" s="362">
        <v>50.0</v>
      </c>
      <c r="J265" s="281" t="s">
        <v>689</v>
      </c>
    </row>
    <row r="266" ht="15.0" customHeight="1">
      <c r="A266" s="82" t="s">
        <v>7974</v>
      </c>
      <c r="B266" s="82" t="s">
        <v>94</v>
      </c>
      <c r="C266" s="82" t="s">
        <v>351</v>
      </c>
      <c r="D266" s="86" t="s">
        <v>1833</v>
      </c>
      <c r="E266" s="327" t="s">
        <v>7616</v>
      </c>
      <c r="F266" s="83" t="s">
        <v>8020</v>
      </c>
      <c r="G266" s="359" t="s">
        <v>8019</v>
      </c>
      <c r="H266" s="359"/>
      <c r="I266" s="362">
        <v>50.0</v>
      </c>
      <c r="J266" s="281" t="s">
        <v>689</v>
      </c>
    </row>
    <row r="267" ht="15.0" customHeight="1">
      <c r="A267" s="82" t="s">
        <v>7974</v>
      </c>
      <c r="B267" s="82" t="s">
        <v>94</v>
      </c>
      <c r="C267" s="82" t="s">
        <v>8021</v>
      </c>
      <c r="D267" s="86" t="s">
        <v>1833</v>
      </c>
      <c r="E267" s="372" t="s">
        <v>7564</v>
      </c>
      <c r="F267" s="86" t="s">
        <v>8022</v>
      </c>
      <c r="G267" s="359" t="s">
        <v>8019</v>
      </c>
      <c r="H267" s="359"/>
      <c r="I267" s="373">
        <v>50.0</v>
      </c>
      <c r="J267" s="281" t="s">
        <v>689</v>
      </c>
    </row>
    <row r="268" ht="15.0" customHeight="1">
      <c r="A268" s="82" t="s">
        <v>7974</v>
      </c>
      <c r="B268" s="82" t="s">
        <v>94</v>
      </c>
      <c r="C268" s="82" t="s">
        <v>710</v>
      </c>
      <c r="D268" s="86" t="s">
        <v>1833</v>
      </c>
      <c r="E268" s="372" t="s">
        <v>8023</v>
      </c>
      <c r="F268" s="83" t="s">
        <v>8024</v>
      </c>
      <c r="G268" s="359"/>
      <c r="H268" s="359"/>
      <c r="I268" s="362">
        <v>50.0</v>
      </c>
      <c r="J268" s="281" t="s">
        <v>689</v>
      </c>
    </row>
    <row r="269" ht="15.0" customHeight="1">
      <c r="A269" s="82" t="s">
        <v>7974</v>
      </c>
      <c r="B269" s="82" t="s">
        <v>94</v>
      </c>
      <c r="C269" s="82" t="s">
        <v>710</v>
      </c>
      <c r="D269" s="86" t="s">
        <v>1833</v>
      </c>
      <c r="E269" s="372" t="s">
        <v>8023</v>
      </c>
      <c r="F269" s="83" t="s">
        <v>8025</v>
      </c>
      <c r="G269" s="359" t="s">
        <v>8019</v>
      </c>
      <c r="H269" s="359"/>
      <c r="I269" s="362">
        <v>50.0</v>
      </c>
      <c r="J269" s="281" t="s">
        <v>689</v>
      </c>
    </row>
    <row r="270" ht="15.0" customHeight="1">
      <c r="A270" s="82" t="s">
        <v>7974</v>
      </c>
      <c r="B270" s="82" t="s">
        <v>94</v>
      </c>
      <c r="C270" s="82" t="s">
        <v>7660</v>
      </c>
      <c r="D270" s="86" t="s">
        <v>1833</v>
      </c>
      <c r="E270" s="372" t="s">
        <v>7672</v>
      </c>
      <c r="F270" s="83" t="s">
        <v>8026</v>
      </c>
      <c r="G270" s="359" t="s">
        <v>8019</v>
      </c>
      <c r="H270" s="359"/>
      <c r="I270" s="362">
        <v>50.0</v>
      </c>
      <c r="J270" s="281" t="s">
        <v>689</v>
      </c>
    </row>
    <row r="271" ht="15.0" customHeight="1">
      <c r="A271" s="82" t="s">
        <v>7974</v>
      </c>
      <c r="B271" s="82" t="s">
        <v>94</v>
      </c>
      <c r="C271" s="82" t="s">
        <v>7660</v>
      </c>
      <c r="D271" s="86" t="s">
        <v>1833</v>
      </c>
      <c r="E271" s="372" t="s">
        <v>7672</v>
      </c>
      <c r="F271" s="83" t="s">
        <v>8027</v>
      </c>
      <c r="G271" s="359" t="s">
        <v>8019</v>
      </c>
      <c r="H271" s="359"/>
      <c r="I271" s="362">
        <v>50.0</v>
      </c>
      <c r="J271" s="281" t="s">
        <v>689</v>
      </c>
    </row>
    <row r="272" ht="15.0" customHeight="1">
      <c r="A272" s="82" t="s">
        <v>7974</v>
      </c>
      <c r="B272" s="82" t="s">
        <v>94</v>
      </c>
      <c r="C272" s="82" t="s">
        <v>225</v>
      </c>
      <c r="D272" s="86" t="s">
        <v>1833</v>
      </c>
      <c r="E272" s="327" t="s">
        <v>7667</v>
      </c>
      <c r="F272" s="83" t="s">
        <v>8028</v>
      </c>
      <c r="G272" s="359" t="s">
        <v>8019</v>
      </c>
      <c r="H272" s="359"/>
      <c r="I272" s="362">
        <v>50.0</v>
      </c>
      <c r="J272" s="281" t="s">
        <v>689</v>
      </c>
    </row>
    <row r="273" ht="15.0" customHeight="1">
      <c r="A273" s="82" t="s">
        <v>7974</v>
      </c>
      <c r="B273" s="82" t="s">
        <v>94</v>
      </c>
      <c r="C273" s="82" t="s">
        <v>225</v>
      </c>
      <c r="D273" s="86" t="s">
        <v>1833</v>
      </c>
      <c r="E273" s="327" t="s">
        <v>7667</v>
      </c>
      <c r="F273" s="83" t="s">
        <v>8029</v>
      </c>
      <c r="G273" s="359" t="s">
        <v>8019</v>
      </c>
      <c r="H273" s="359"/>
      <c r="I273" s="362">
        <v>50.0</v>
      </c>
      <c r="J273" s="281" t="s">
        <v>689</v>
      </c>
    </row>
    <row r="274" ht="15.0" customHeight="1">
      <c r="A274" s="82" t="s">
        <v>7974</v>
      </c>
      <c r="B274" s="82" t="s">
        <v>94</v>
      </c>
      <c r="C274" s="82" t="s">
        <v>225</v>
      </c>
      <c r="D274" s="86" t="s">
        <v>1833</v>
      </c>
      <c r="E274" s="327" t="s">
        <v>7667</v>
      </c>
      <c r="F274" s="83" t="s">
        <v>8030</v>
      </c>
      <c r="G274" s="359" t="s">
        <v>8019</v>
      </c>
      <c r="H274" s="359"/>
      <c r="I274" s="362">
        <v>50.0</v>
      </c>
      <c r="J274" s="281" t="s">
        <v>689</v>
      </c>
    </row>
    <row r="275" ht="15.0" customHeight="1">
      <c r="A275" s="82" t="s">
        <v>7974</v>
      </c>
      <c r="B275" s="82" t="s">
        <v>94</v>
      </c>
      <c r="C275" s="82" t="s">
        <v>319</v>
      </c>
      <c r="D275" s="86" t="s">
        <v>1833</v>
      </c>
      <c r="E275" s="327" t="s">
        <v>7805</v>
      </c>
      <c r="F275" s="83" t="s">
        <v>8031</v>
      </c>
      <c r="G275" s="359" t="s">
        <v>8019</v>
      </c>
      <c r="H275" s="359"/>
      <c r="I275" s="362">
        <v>50.0</v>
      </c>
      <c r="J275" s="281" t="s">
        <v>689</v>
      </c>
    </row>
    <row r="276" ht="15.0" customHeight="1">
      <c r="A276" s="82" t="s">
        <v>7974</v>
      </c>
      <c r="B276" s="82" t="s">
        <v>94</v>
      </c>
      <c r="C276" s="82" t="s">
        <v>319</v>
      </c>
      <c r="D276" s="86" t="s">
        <v>1833</v>
      </c>
      <c r="E276" s="327" t="s">
        <v>7805</v>
      </c>
      <c r="F276" s="86" t="s">
        <v>8032</v>
      </c>
      <c r="G276" s="359" t="s">
        <v>8019</v>
      </c>
      <c r="H276" s="359"/>
      <c r="I276" s="362">
        <v>50.0</v>
      </c>
      <c r="J276" s="281" t="s">
        <v>689</v>
      </c>
    </row>
    <row r="277" ht="15.0" customHeight="1">
      <c r="A277" s="82" t="s">
        <v>7974</v>
      </c>
      <c r="B277" s="82" t="s">
        <v>94</v>
      </c>
      <c r="C277" s="82" t="s">
        <v>701</v>
      </c>
      <c r="D277" s="86" t="s">
        <v>1833</v>
      </c>
      <c r="E277" s="327" t="s">
        <v>7812</v>
      </c>
      <c r="F277" s="83" t="s">
        <v>8033</v>
      </c>
      <c r="G277" s="359" t="s">
        <v>8019</v>
      </c>
      <c r="H277" s="359"/>
      <c r="I277" s="362">
        <v>50.0</v>
      </c>
      <c r="J277" s="281" t="s">
        <v>689</v>
      </c>
    </row>
    <row r="278" ht="15.0" customHeight="1">
      <c r="A278" s="82" t="s">
        <v>7974</v>
      </c>
      <c r="B278" s="82" t="s">
        <v>94</v>
      </c>
      <c r="C278" s="82" t="s">
        <v>8034</v>
      </c>
      <c r="D278" s="86" t="s">
        <v>305</v>
      </c>
      <c r="E278" s="372" t="s">
        <v>8035</v>
      </c>
      <c r="F278" s="83" t="s">
        <v>8036</v>
      </c>
      <c r="G278" s="359" t="s">
        <v>8019</v>
      </c>
      <c r="H278" s="359"/>
      <c r="I278" s="362">
        <v>50.0</v>
      </c>
      <c r="J278" s="281" t="s">
        <v>689</v>
      </c>
    </row>
    <row r="279" ht="15.0" customHeight="1">
      <c r="A279" s="82" t="s">
        <v>7974</v>
      </c>
      <c r="B279" s="82" t="s">
        <v>94</v>
      </c>
      <c r="C279" s="82" t="s">
        <v>8034</v>
      </c>
      <c r="D279" s="86" t="s">
        <v>305</v>
      </c>
      <c r="E279" s="372" t="s">
        <v>8035</v>
      </c>
      <c r="F279" s="83" t="s">
        <v>8037</v>
      </c>
      <c r="G279" s="359" t="s">
        <v>8019</v>
      </c>
      <c r="H279" s="359"/>
      <c r="I279" s="362">
        <v>50.0</v>
      </c>
      <c r="J279" s="281" t="s">
        <v>689</v>
      </c>
    </row>
    <row r="280" ht="15.0" customHeight="1">
      <c r="A280" s="82" t="s">
        <v>7974</v>
      </c>
      <c r="B280" s="82" t="s">
        <v>94</v>
      </c>
      <c r="C280" s="82" t="s">
        <v>8034</v>
      </c>
      <c r="D280" s="86" t="s">
        <v>305</v>
      </c>
      <c r="E280" s="372" t="s">
        <v>8035</v>
      </c>
      <c r="F280" s="83" t="s">
        <v>8037</v>
      </c>
      <c r="G280" s="359" t="s">
        <v>8019</v>
      </c>
      <c r="H280" s="359"/>
      <c r="I280" s="362">
        <v>50.0</v>
      </c>
      <c r="J280" s="281" t="s">
        <v>689</v>
      </c>
    </row>
    <row r="281" ht="15.0" customHeight="1">
      <c r="A281" s="82" t="s">
        <v>8038</v>
      </c>
      <c r="B281" s="82" t="s">
        <v>8039</v>
      </c>
      <c r="C281" s="82" t="s">
        <v>5223</v>
      </c>
      <c r="D281" s="82" t="s">
        <v>8040</v>
      </c>
      <c r="E281" s="82" t="s">
        <v>8041</v>
      </c>
      <c r="F281" s="82"/>
      <c r="G281" s="82">
        <v>100.0</v>
      </c>
      <c r="H281" s="326">
        <v>1.0</v>
      </c>
      <c r="I281" s="281">
        <v>100.0</v>
      </c>
      <c r="J281" s="281" t="s">
        <v>3249</v>
      </c>
    </row>
    <row r="282" ht="15.0" customHeight="1">
      <c r="A282" s="85" t="s">
        <v>8042</v>
      </c>
      <c r="B282" s="85" t="s">
        <v>94</v>
      </c>
      <c r="C282" s="85" t="s">
        <v>8043</v>
      </c>
      <c r="D282" s="82" t="s">
        <v>1264</v>
      </c>
      <c r="E282" s="328" t="s">
        <v>8044</v>
      </c>
      <c r="F282" s="82" t="s">
        <v>8045</v>
      </c>
      <c r="G282" s="83" t="s">
        <v>8046</v>
      </c>
      <c r="H282" s="274" t="s">
        <v>7655</v>
      </c>
      <c r="I282" s="281">
        <v>50.0</v>
      </c>
      <c r="J282" s="281" t="s">
        <v>3249</v>
      </c>
    </row>
    <row r="283" ht="15.0" customHeight="1">
      <c r="A283" s="85" t="s">
        <v>8042</v>
      </c>
      <c r="B283" s="85" t="s">
        <v>94</v>
      </c>
      <c r="C283" s="85" t="s">
        <v>8047</v>
      </c>
      <c r="D283" s="82" t="s">
        <v>1264</v>
      </c>
      <c r="E283" s="328" t="s">
        <v>8048</v>
      </c>
      <c r="F283" s="82" t="s">
        <v>8049</v>
      </c>
      <c r="G283" s="83" t="s">
        <v>8046</v>
      </c>
      <c r="H283" s="274" t="s">
        <v>7655</v>
      </c>
      <c r="I283" s="281">
        <v>50.0</v>
      </c>
      <c r="J283" s="281" t="s">
        <v>3249</v>
      </c>
    </row>
    <row r="284" ht="15.0" customHeight="1">
      <c r="A284" s="85" t="s">
        <v>8042</v>
      </c>
      <c r="B284" s="85" t="s">
        <v>94</v>
      </c>
      <c r="C284" s="85" t="s">
        <v>8047</v>
      </c>
      <c r="D284" s="85" t="s">
        <v>8050</v>
      </c>
      <c r="E284" s="85" t="s">
        <v>8048</v>
      </c>
      <c r="F284" s="85" t="s">
        <v>8051</v>
      </c>
      <c r="G284" s="98" t="s">
        <v>8046</v>
      </c>
      <c r="H284" s="344" t="s">
        <v>7655</v>
      </c>
      <c r="I284" s="281">
        <v>50.0</v>
      </c>
      <c r="J284" s="281" t="s">
        <v>3249</v>
      </c>
    </row>
    <row r="285" ht="15.0" customHeight="1">
      <c r="A285" s="85" t="s">
        <v>8042</v>
      </c>
      <c r="B285" s="85" t="s">
        <v>94</v>
      </c>
      <c r="C285" s="85" t="s">
        <v>8052</v>
      </c>
      <c r="D285" s="85" t="s">
        <v>8050</v>
      </c>
      <c r="E285" s="374" t="s">
        <v>8053</v>
      </c>
      <c r="F285" s="85" t="s">
        <v>8054</v>
      </c>
      <c r="G285" s="98" t="s">
        <v>8046</v>
      </c>
      <c r="H285" s="344" t="s">
        <v>7655</v>
      </c>
      <c r="I285" s="281">
        <v>50.0</v>
      </c>
      <c r="J285" s="281" t="s">
        <v>3249</v>
      </c>
    </row>
    <row r="286" ht="15.0" customHeight="1">
      <c r="A286" s="82" t="s">
        <v>852</v>
      </c>
      <c r="B286" s="82" t="s">
        <v>94</v>
      </c>
      <c r="C286" s="82" t="s">
        <v>8055</v>
      </c>
      <c r="D286" s="92" t="s">
        <v>8056</v>
      </c>
      <c r="E286" s="82" t="s">
        <v>8057</v>
      </c>
      <c r="F286" s="375" t="s">
        <v>257</v>
      </c>
      <c r="G286" s="82">
        <v>50.0</v>
      </c>
      <c r="H286" s="326">
        <v>2.0</v>
      </c>
      <c r="I286" s="281">
        <f>G286*H286</f>
        <v>100</v>
      </c>
      <c r="J286" s="281" t="s">
        <v>852</v>
      </c>
    </row>
    <row r="287" ht="15.0" customHeight="1">
      <c r="A287" s="82" t="s">
        <v>852</v>
      </c>
      <c r="B287" s="85" t="s">
        <v>94</v>
      </c>
      <c r="C287" s="85" t="s">
        <v>8058</v>
      </c>
      <c r="D287" s="92" t="s">
        <v>8059</v>
      </c>
      <c r="E287" s="78" t="s">
        <v>8060</v>
      </c>
      <c r="F287" s="375" t="s">
        <v>257</v>
      </c>
      <c r="G287" s="99">
        <v>50.0</v>
      </c>
      <c r="H287" s="332">
        <v>1.5</v>
      </c>
      <c r="I287" s="281">
        <f>50</f>
        <v>50</v>
      </c>
      <c r="J287" s="281" t="s">
        <v>852</v>
      </c>
    </row>
    <row r="288" ht="15.0" customHeight="1">
      <c r="A288" s="82" t="s">
        <v>870</v>
      </c>
      <c r="B288" s="82" t="s">
        <v>182</v>
      </c>
      <c r="C288" s="82" t="s">
        <v>8061</v>
      </c>
      <c r="D288" s="82" t="s">
        <v>1264</v>
      </c>
      <c r="E288" s="327" t="s">
        <v>8062</v>
      </c>
      <c r="F288" s="82" t="s">
        <v>8063</v>
      </c>
      <c r="G288" s="82" t="s">
        <v>8064</v>
      </c>
      <c r="H288" s="326">
        <v>6.0</v>
      </c>
      <c r="I288" s="281">
        <v>300.0</v>
      </c>
      <c r="J288" s="281" t="s">
        <v>870</v>
      </c>
    </row>
    <row r="289" ht="15.0" customHeight="1">
      <c r="A289" s="82" t="s">
        <v>870</v>
      </c>
      <c r="B289" s="82" t="s">
        <v>182</v>
      </c>
      <c r="C289" s="82" t="s">
        <v>7966</v>
      </c>
      <c r="D289" s="78" t="s">
        <v>1264</v>
      </c>
      <c r="E289" s="376" t="s">
        <v>8065</v>
      </c>
      <c r="F289" s="78" t="s">
        <v>5610</v>
      </c>
      <c r="G289" s="99" t="s">
        <v>8066</v>
      </c>
      <c r="H289" s="332"/>
      <c r="I289" s="281">
        <v>50.0</v>
      </c>
      <c r="J289" s="281" t="s">
        <v>870</v>
      </c>
    </row>
    <row r="290" ht="15.0" customHeight="1">
      <c r="A290" s="85" t="s">
        <v>870</v>
      </c>
      <c r="B290" s="85" t="s">
        <v>182</v>
      </c>
      <c r="C290" s="82" t="s">
        <v>8067</v>
      </c>
      <c r="D290" s="82" t="s">
        <v>1264</v>
      </c>
      <c r="E290" s="376" t="s">
        <v>8068</v>
      </c>
      <c r="F290" s="78" t="s">
        <v>5610</v>
      </c>
      <c r="G290" s="99" t="s">
        <v>8066</v>
      </c>
      <c r="H290" s="332"/>
      <c r="I290" s="281">
        <v>50.0</v>
      </c>
      <c r="J290" s="281" t="s">
        <v>870</v>
      </c>
    </row>
    <row r="291" ht="15.0" customHeight="1">
      <c r="A291" s="82" t="s">
        <v>8069</v>
      </c>
      <c r="B291" s="82" t="s">
        <v>94</v>
      </c>
      <c r="C291" s="82" t="s">
        <v>8070</v>
      </c>
      <c r="D291" s="82" t="s">
        <v>1264</v>
      </c>
      <c r="E291" s="327" t="s">
        <v>8071</v>
      </c>
      <c r="F291" s="82"/>
      <c r="G291" s="82">
        <v>300.0</v>
      </c>
      <c r="H291" s="326" t="s">
        <v>8072</v>
      </c>
      <c r="I291" s="281">
        <v>300.0</v>
      </c>
      <c r="J291" s="281" t="s">
        <v>907</v>
      </c>
    </row>
    <row r="292" ht="15.0" customHeight="1">
      <c r="A292" s="85" t="s">
        <v>8069</v>
      </c>
      <c r="B292" s="85" t="s">
        <v>94</v>
      </c>
      <c r="C292" s="85" t="s">
        <v>319</v>
      </c>
      <c r="D292" s="78" t="s">
        <v>1264</v>
      </c>
      <c r="E292" s="331" t="s">
        <v>8073</v>
      </c>
      <c r="F292" s="78"/>
      <c r="G292" s="99">
        <v>300.0</v>
      </c>
      <c r="H292" s="332" t="s">
        <v>8072</v>
      </c>
      <c r="I292" s="281">
        <v>300.0</v>
      </c>
      <c r="J292" s="281" t="s">
        <v>907</v>
      </c>
    </row>
    <row r="293" ht="15.0" customHeight="1">
      <c r="A293" s="85" t="s">
        <v>8069</v>
      </c>
      <c r="B293" s="85" t="s">
        <v>94</v>
      </c>
      <c r="C293" s="85" t="s">
        <v>8074</v>
      </c>
      <c r="D293" s="82" t="s">
        <v>1264</v>
      </c>
      <c r="E293" s="327" t="s">
        <v>8075</v>
      </c>
      <c r="F293" s="82"/>
      <c r="G293" s="83">
        <v>300.0</v>
      </c>
      <c r="H293" s="274" t="s">
        <v>8076</v>
      </c>
      <c r="I293" s="281">
        <v>300.0</v>
      </c>
      <c r="J293" s="281" t="s">
        <v>907</v>
      </c>
    </row>
    <row r="294" ht="15.0" customHeight="1">
      <c r="A294" s="85" t="s">
        <v>8069</v>
      </c>
      <c r="B294" s="85" t="s">
        <v>94</v>
      </c>
      <c r="C294" s="85" t="s">
        <v>701</v>
      </c>
      <c r="D294" s="82" t="s">
        <v>1264</v>
      </c>
      <c r="E294" s="327" t="s">
        <v>8077</v>
      </c>
      <c r="F294" s="82"/>
      <c r="G294" s="83">
        <v>300.0</v>
      </c>
      <c r="H294" s="274" t="s">
        <v>8076</v>
      </c>
      <c r="I294" s="281">
        <v>300.0</v>
      </c>
      <c r="J294" s="281" t="s">
        <v>907</v>
      </c>
    </row>
    <row r="295" ht="15.0" customHeight="1">
      <c r="A295" s="85" t="s">
        <v>8069</v>
      </c>
      <c r="B295" s="85" t="s">
        <v>94</v>
      </c>
      <c r="C295" s="85" t="s">
        <v>319</v>
      </c>
      <c r="D295" s="82" t="s">
        <v>1256</v>
      </c>
      <c r="E295" s="327" t="s">
        <v>8078</v>
      </c>
      <c r="F295" s="82"/>
      <c r="G295" s="83">
        <v>100.0</v>
      </c>
      <c r="H295" s="274"/>
      <c r="I295" s="274">
        <v>100.0</v>
      </c>
      <c r="J295" s="281" t="s">
        <v>907</v>
      </c>
    </row>
    <row r="296" ht="15.0" customHeight="1">
      <c r="A296" s="85" t="s">
        <v>8069</v>
      </c>
      <c r="B296" s="85" t="s">
        <v>94</v>
      </c>
      <c r="C296" s="85" t="s">
        <v>8079</v>
      </c>
      <c r="D296" s="82" t="s">
        <v>1264</v>
      </c>
      <c r="E296" s="327" t="s">
        <v>8080</v>
      </c>
      <c r="F296" s="82"/>
      <c r="G296" s="83">
        <v>200.0</v>
      </c>
      <c r="H296" s="274"/>
      <c r="I296" s="274">
        <v>200.0</v>
      </c>
      <c r="J296" s="281" t="s">
        <v>907</v>
      </c>
    </row>
    <row r="297" ht="15.0" customHeight="1">
      <c r="A297" s="85" t="s">
        <v>8069</v>
      </c>
      <c r="B297" s="85" t="s">
        <v>94</v>
      </c>
      <c r="C297" s="85" t="s">
        <v>8081</v>
      </c>
      <c r="D297" s="82" t="s">
        <v>1264</v>
      </c>
      <c r="E297" s="327" t="s">
        <v>8082</v>
      </c>
      <c r="F297" s="82"/>
      <c r="G297" s="83">
        <v>200.0</v>
      </c>
      <c r="H297" s="274"/>
      <c r="I297" s="274">
        <v>200.0</v>
      </c>
      <c r="J297" s="281" t="s">
        <v>907</v>
      </c>
    </row>
    <row r="298" ht="15.0" customHeight="1">
      <c r="A298" s="85" t="s">
        <v>8069</v>
      </c>
      <c r="B298" s="85" t="s">
        <v>94</v>
      </c>
      <c r="C298" s="85" t="s">
        <v>319</v>
      </c>
      <c r="D298" s="85" t="s">
        <v>1264</v>
      </c>
      <c r="E298" s="327" t="s">
        <v>8083</v>
      </c>
      <c r="F298" s="85"/>
      <c r="G298" s="98">
        <v>100.0</v>
      </c>
      <c r="H298" s="344"/>
      <c r="I298" s="281">
        <v>100.0</v>
      </c>
      <c r="J298" s="281" t="s">
        <v>907</v>
      </c>
    </row>
    <row r="299" ht="15.0" customHeight="1">
      <c r="A299" s="85" t="s">
        <v>8069</v>
      </c>
      <c r="B299" s="85" t="s">
        <v>94</v>
      </c>
      <c r="C299" s="85" t="s">
        <v>8084</v>
      </c>
      <c r="D299" s="85" t="s">
        <v>1264</v>
      </c>
      <c r="E299" s="327"/>
      <c r="F299" s="85" t="s">
        <v>8085</v>
      </c>
      <c r="G299" s="98">
        <v>50.0</v>
      </c>
      <c r="H299" s="344"/>
      <c r="I299" s="281">
        <v>50.0</v>
      </c>
      <c r="J299" s="281" t="s">
        <v>907</v>
      </c>
    </row>
    <row r="300" ht="15.0" customHeight="1">
      <c r="A300" s="85" t="s">
        <v>8069</v>
      </c>
      <c r="B300" s="85" t="s">
        <v>94</v>
      </c>
      <c r="C300" s="85" t="s">
        <v>8086</v>
      </c>
      <c r="D300" s="85" t="s">
        <v>1264</v>
      </c>
      <c r="E300" s="327" t="s">
        <v>8087</v>
      </c>
      <c r="F300" s="85"/>
      <c r="G300" s="98">
        <v>200.0</v>
      </c>
      <c r="H300" s="344"/>
      <c r="I300" s="281">
        <v>200.0</v>
      </c>
      <c r="J300" s="281" t="s">
        <v>907</v>
      </c>
    </row>
    <row r="301" ht="15.0" customHeight="1">
      <c r="A301" s="85" t="s">
        <v>8069</v>
      </c>
      <c r="B301" s="85" t="s">
        <v>94</v>
      </c>
      <c r="C301" s="85" t="s">
        <v>8088</v>
      </c>
      <c r="D301" s="85" t="s">
        <v>1264</v>
      </c>
      <c r="E301" s="327" t="s">
        <v>8089</v>
      </c>
      <c r="F301" s="85"/>
      <c r="G301" s="98">
        <v>400.0</v>
      </c>
      <c r="H301" s="344"/>
      <c r="I301" s="281">
        <v>400.0</v>
      </c>
      <c r="J301" s="281" t="s">
        <v>907</v>
      </c>
    </row>
    <row r="302" ht="15.0" customHeight="1">
      <c r="A302" s="82" t="s">
        <v>8090</v>
      </c>
      <c r="B302" s="82" t="s">
        <v>94</v>
      </c>
      <c r="C302" s="377" t="s">
        <v>8091</v>
      </c>
      <c r="D302" s="92"/>
      <c r="E302" s="378" t="s">
        <v>8092</v>
      </c>
      <c r="F302" s="326" t="s">
        <v>8093</v>
      </c>
      <c r="G302" s="92">
        <v>10.0</v>
      </c>
      <c r="H302" s="346">
        <v>2.0</v>
      </c>
      <c r="I302" s="82">
        <v>20.0</v>
      </c>
      <c r="J302" s="281" t="s">
        <v>8094</v>
      </c>
    </row>
    <row r="303" ht="15.0" customHeight="1">
      <c r="A303" s="82" t="s">
        <v>954</v>
      </c>
      <c r="B303" s="82" t="s">
        <v>94</v>
      </c>
      <c r="C303" s="85" t="s">
        <v>8095</v>
      </c>
      <c r="D303" s="78" t="s">
        <v>1264</v>
      </c>
      <c r="E303" s="331" t="s">
        <v>620</v>
      </c>
      <c r="F303" s="78" t="s">
        <v>8096</v>
      </c>
      <c r="G303" s="82">
        <v>50.0</v>
      </c>
      <c r="H303" s="82" t="s">
        <v>8097</v>
      </c>
      <c r="I303" s="288">
        <v>50.0</v>
      </c>
      <c r="J303" s="281" t="s">
        <v>954</v>
      </c>
    </row>
    <row r="304" ht="15.0" customHeight="1">
      <c r="A304" s="82" t="s">
        <v>954</v>
      </c>
      <c r="B304" s="82" t="s">
        <v>94</v>
      </c>
      <c r="C304" s="85" t="s">
        <v>8098</v>
      </c>
      <c r="D304" s="78" t="s">
        <v>1264</v>
      </c>
      <c r="E304" s="80" t="s">
        <v>7564</v>
      </c>
      <c r="F304" s="78" t="s">
        <v>8099</v>
      </c>
      <c r="G304" s="82">
        <v>50.0</v>
      </c>
      <c r="H304" s="82" t="s">
        <v>8097</v>
      </c>
      <c r="I304" s="288">
        <v>50.0</v>
      </c>
      <c r="J304" s="281" t="s">
        <v>954</v>
      </c>
    </row>
    <row r="305" ht="15.0" customHeight="1">
      <c r="A305" s="82" t="s">
        <v>954</v>
      </c>
      <c r="B305" s="82" t="s">
        <v>94</v>
      </c>
      <c r="C305" s="85" t="s">
        <v>8100</v>
      </c>
      <c r="D305" s="78" t="s">
        <v>1264</v>
      </c>
      <c r="E305" s="80" t="s">
        <v>7564</v>
      </c>
      <c r="F305" s="78" t="s">
        <v>8101</v>
      </c>
      <c r="G305" s="82">
        <v>50.0</v>
      </c>
      <c r="H305" s="82" t="s">
        <v>8097</v>
      </c>
      <c r="I305" s="288">
        <v>50.0</v>
      </c>
      <c r="J305" s="281" t="s">
        <v>954</v>
      </c>
    </row>
    <row r="306" ht="15.0" customHeight="1">
      <c r="A306" s="82" t="s">
        <v>954</v>
      </c>
      <c r="B306" s="82" t="s">
        <v>94</v>
      </c>
      <c r="C306" s="85" t="s">
        <v>8102</v>
      </c>
      <c r="D306" s="78" t="s">
        <v>1264</v>
      </c>
      <c r="E306" s="331" t="s">
        <v>7561</v>
      </c>
      <c r="F306" s="78" t="s">
        <v>8103</v>
      </c>
      <c r="G306" s="82">
        <v>50.0</v>
      </c>
      <c r="H306" s="82" t="s">
        <v>8097</v>
      </c>
      <c r="I306" s="288">
        <v>50.0</v>
      </c>
      <c r="J306" s="281" t="s">
        <v>954</v>
      </c>
    </row>
    <row r="307" ht="15.0" customHeight="1">
      <c r="A307" s="82" t="s">
        <v>954</v>
      </c>
      <c r="B307" s="82" t="s">
        <v>94</v>
      </c>
      <c r="C307" s="85" t="s">
        <v>8104</v>
      </c>
      <c r="D307" s="78" t="s">
        <v>1264</v>
      </c>
      <c r="E307" s="331" t="s">
        <v>7667</v>
      </c>
      <c r="F307" s="78" t="s">
        <v>8105</v>
      </c>
      <c r="G307" s="82">
        <v>50.0</v>
      </c>
      <c r="H307" s="82" t="s">
        <v>8097</v>
      </c>
      <c r="I307" s="288">
        <v>50.0</v>
      </c>
      <c r="J307" s="281" t="s">
        <v>954</v>
      </c>
    </row>
    <row r="308" ht="15.0" customHeight="1">
      <c r="A308" s="82" t="s">
        <v>954</v>
      </c>
      <c r="B308" s="82" t="s">
        <v>94</v>
      </c>
      <c r="C308" s="85" t="s">
        <v>8106</v>
      </c>
      <c r="D308" s="78" t="s">
        <v>1264</v>
      </c>
      <c r="E308" s="331" t="s">
        <v>620</v>
      </c>
      <c r="F308" s="78" t="s">
        <v>8107</v>
      </c>
      <c r="G308" s="82">
        <v>50.0</v>
      </c>
      <c r="H308" s="82" t="s">
        <v>8097</v>
      </c>
      <c r="I308" s="288">
        <v>50.0</v>
      </c>
      <c r="J308" s="281" t="s">
        <v>954</v>
      </c>
    </row>
    <row r="309" ht="15.0" customHeight="1">
      <c r="A309" s="82" t="s">
        <v>954</v>
      </c>
      <c r="B309" s="82" t="s">
        <v>94</v>
      </c>
      <c r="C309" s="85" t="s">
        <v>8108</v>
      </c>
      <c r="D309" s="78" t="s">
        <v>1264</v>
      </c>
      <c r="E309" s="331" t="s">
        <v>8109</v>
      </c>
      <c r="F309" s="78" t="s">
        <v>8110</v>
      </c>
      <c r="G309" s="82">
        <v>50.0</v>
      </c>
      <c r="H309" s="82" t="s">
        <v>7618</v>
      </c>
      <c r="I309" s="288">
        <v>50.0</v>
      </c>
      <c r="J309" s="281" t="s">
        <v>954</v>
      </c>
    </row>
    <row r="310" ht="15.0" customHeight="1">
      <c r="A310" s="82" t="s">
        <v>954</v>
      </c>
      <c r="B310" s="82" t="s">
        <v>94</v>
      </c>
      <c r="C310" s="85" t="s">
        <v>8111</v>
      </c>
      <c r="D310" s="78" t="s">
        <v>1264</v>
      </c>
      <c r="E310" s="80" t="s">
        <v>7564</v>
      </c>
      <c r="F310" s="100" t="s">
        <v>8112</v>
      </c>
      <c r="G310" s="82">
        <v>50.0</v>
      </c>
      <c r="H310" s="82" t="s">
        <v>8097</v>
      </c>
      <c r="I310" s="288">
        <v>50.0</v>
      </c>
      <c r="J310" s="281" t="s">
        <v>954</v>
      </c>
    </row>
    <row r="311" ht="15.0" customHeight="1">
      <c r="A311" s="347" t="s">
        <v>8113</v>
      </c>
      <c r="B311" s="82" t="s">
        <v>182</v>
      </c>
      <c r="C311" s="82" t="s">
        <v>8114</v>
      </c>
      <c r="D311" s="78"/>
      <c r="E311" s="379" t="s">
        <v>8115</v>
      </c>
      <c r="F311" s="78"/>
      <c r="G311" s="99">
        <v>100.0</v>
      </c>
      <c r="H311" s="332" t="s">
        <v>8116</v>
      </c>
      <c r="I311" s="281">
        <v>75.0</v>
      </c>
      <c r="J311" s="281" t="s">
        <v>5513</v>
      </c>
    </row>
    <row r="312" ht="15.0" customHeight="1">
      <c r="A312" s="82" t="s">
        <v>4024</v>
      </c>
      <c r="B312" s="82" t="s">
        <v>94</v>
      </c>
      <c r="C312" s="326" t="s">
        <v>8117</v>
      </c>
      <c r="D312" s="327" t="s">
        <v>8118</v>
      </c>
      <c r="E312" s="380" t="s">
        <v>8119</v>
      </c>
      <c r="F312" s="82" t="s">
        <v>8120</v>
      </c>
      <c r="G312" s="326">
        <v>100.0</v>
      </c>
      <c r="H312" s="326" t="s">
        <v>8121</v>
      </c>
      <c r="I312" s="281">
        <v>100.0</v>
      </c>
      <c r="J312" s="281" t="s">
        <v>4024</v>
      </c>
    </row>
    <row r="313" ht="15.0" customHeight="1">
      <c r="A313" s="352" t="s">
        <v>4024</v>
      </c>
      <c r="B313" s="352" t="s">
        <v>94</v>
      </c>
      <c r="C313" s="347" t="s">
        <v>8122</v>
      </c>
      <c r="D313" s="372" t="s">
        <v>8123</v>
      </c>
      <c r="E313" s="379" t="s">
        <v>8124</v>
      </c>
      <c r="F313" s="381" t="s">
        <v>8120</v>
      </c>
      <c r="G313" s="332">
        <v>150.0</v>
      </c>
      <c r="H313" s="332" t="s">
        <v>8125</v>
      </c>
      <c r="I313" s="281">
        <v>150.0</v>
      </c>
      <c r="J313" s="281" t="s">
        <v>4024</v>
      </c>
    </row>
    <row r="314" ht="15.0" customHeight="1">
      <c r="A314" s="82" t="s">
        <v>4024</v>
      </c>
      <c r="B314" s="82" t="s">
        <v>94</v>
      </c>
      <c r="C314" s="85" t="s">
        <v>8126</v>
      </c>
      <c r="D314" s="327" t="s">
        <v>1264</v>
      </c>
      <c r="E314" s="382" t="s">
        <v>8127</v>
      </c>
      <c r="F314" s="325">
        <v>44956.0</v>
      </c>
      <c r="G314" s="274">
        <v>50.0</v>
      </c>
      <c r="H314" s="274"/>
      <c r="I314" s="281">
        <v>50.0</v>
      </c>
      <c r="J314" s="281" t="s">
        <v>4024</v>
      </c>
    </row>
    <row r="315" ht="15.0" customHeight="1">
      <c r="A315" s="82" t="s">
        <v>4024</v>
      </c>
      <c r="B315" s="82" t="s">
        <v>94</v>
      </c>
      <c r="C315" s="85" t="s">
        <v>8126</v>
      </c>
      <c r="D315" s="327" t="s">
        <v>1264</v>
      </c>
      <c r="E315" s="382" t="s">
        <v>8127</v>
      </c>
      <c r="F315" s="325">
        <v>45143.0</v>
      </c>
      <c r="G315" s="274">
        <v>50.0</v>
      </c>
      <c r="H315" s="274"/>
      <c r="I315" s="281">
        <v>50.0</v>
      </c>
      <c r="J315" s="281" t="s">
        <v>4024</v>
      </c>
    </row>
    <row r="316" ht="15.0" customHeight="1">
      <c r="A316" s="82" t="s">
        <v>4024</v>
      </c>
      <c r="B316" s="82" t="s">
        <v>94</v>
      </c>
      <c r="C316" s="85" t="s">
        <v>8126</v>
      </c>
      <c r="D316" s="327" t="s">
        <v>1264</v>
      </c>
      <c r="E316" s="382" t="s">
        <v>8127</v>
      </c>
      <c r="F316" s="325">
        <v>45184.0</v>
      </c>
      <c r="G316" s="274">
        <v>50.0</v>
      </c>
      <c r="H316" s="274"/>
      <c r="I316" s="281">
        <v>50.0</v>
      </c>
      <c r="J316" s="281" t="s">
        <v>4024</v>
      </c>
    </row>
    <row r="317" ht="15.0" customHeight="1">
      <c r="A317" s="82" t="s">
        <v>4024</v>
      </c>
      <c r="B317" s="82" t="s">
        <v>94</v>
      </c>
      <c r="C317" s="85" t="s">
        <v>8126</v>
      </c>
      <c r="D317" s="327" t="s">
        <v>1264</v>
      </c>
      <c r="E317" s="382" t="s">
        <v>8127</v>
      </c>
      <c r="F317" s="325">
        <v>45210.0</v>
      </c>
      <c r="G317" s="274">
        <v>50.0</v>
      </c>
      <c r="H317" s="274"/>
      <c r="I317" s="281">
        <v>50.0</v>
      </c>
      <c r="J317" s="281" t="s">
        <v>4024</v>
      </c>
    </row>
    <row r="318" ht="15.0" customHeight="1">
      <c r="A318" s="82" t="s">
        <v>4024</v>
      </c>
      <c r="B318" s="82" t="s">
        <v>94</v>
      </c>
      <c r="C318" s="85" t="s">
        <v>8126</v>
      </c>
      <c r="D318" s="327" t="s">
        <v>1264</v>
      </c>
      <c r="E318" s="382" t="s">
        <v>8127</v>
      </c>
      <c r="F318" s="325">
        <v>45263.0</v>
      </c>
      <c r="G318" s="274">
        <v>50.0</v>
      </c>
      <c r="H318" s="274"/>
      <c r="I318" s="281">
        <v>50.0</v>
      </c>
      <c r="J318" s="281" t="s">
        <v>4024</v>
      </c>
    </row>
    <row r="319" ht="15.0" customHeight="1">
      <c r="A319" s="82" t="s">
        <v>8038</v>
      </c>
      <c r="B319" s="82" t="s">
        <v>8039</v>
      </c>
      <c r="C319" s="82" t="s">
        <v>5223</v>
      </c>
      <c r="D319" s="82" t="s">
        <v>8040</v>
      </c>
      <c r="E319" s="82" t="s">
        <v>8041</v>
      </c>
      <c r="F319" s="82"/>
      <c r="G319" s="82">
        <v>50.0</v>
      </c>
      <c r="H319" s="326">
        <v>1.0</v>
      </c>
      <c r="I319" s="281">
        <v>50.0</v>
      </c>
      <c r="J319" s="281" t="s">
        <v>4028</v>
      </c>
    </row>
    <row r="320" ht="15.0" customHeight="1">
      <c r="A320" s="82" t="s">
        <v>8128</v>
      </c>
      <c r="B320" s="82" t="s">
        <v>8129</v>
      </c>
      <c r="C320" s="380" t="s">
        <v>8130</v>
      </c>
      <c r="D320" s="82" t="s">
        <v>8131</v>
      </c>
      <c r="E320" s="82" t="s">
        <v>8132</v>
      </c>
      <c r="F320" s="82"/>
      <c r="G320" s="82">
        <v>50.0</v>
      </c>
      <c r="H320" s="326">
        <v>1.0</v>
      </c>
      <c r="I320" s="281">
        <v>50.0</v>
      </c>
      <c r="J320" s="281" t="s">
        <v>4028</v>
      </c>
    </row>
    <row r="321" ht="15.0" customHeight="1">
      <c r="A321" s="82" t="s">
        <v>8128</v>
      </c>
      <c r="B321" s="82" t="s">
        <v>8129</v>
      </c>
      <c r="C321" s="82" t="s">
        <v>8133</v>
      </c>
      <c r="D321" s="82" t="s">
        <v>259</v>
      </c>
      <c r="E321" s="82" t="s">
        <v>8134</v>
      </c>
      <c r="F321" s="383" t="s">
        <v>8135</v>
      </c>
      <c r="G321" s="82">
        <v>50.0</v>
      </c>
      <c r="H321" s="326">
        <v>1.0</v>
      </c>
      <c r="I321" s="281">
        <v>50.0</v>
      </c>
      <c r="J321" s="281" t="s">
        <v>4028</v>
      </c>
    </row>
    <row r="322" ht="15.0" customHeight="1">
      <c r="A322" s="82" t="s">
        <v>8128</v>
      </c>
      <c r="B322" s="82" t="s">
        <v>8129</v>
      </c>
      <c r="C322" s="82" t="s">
        <v>8133</v>
      </c>
      <c r="D322" s="82" t="s">
        <v>259</v>
      </c>
      <c r="E322" s="82" t="s">
        <v>8134</v>
      </c>
      <c r="F322" s="383" t="s">
        <v>8136</v>
      </c>
      <c r="G322" s="82">
        <v>50.0</v>
      </c>
      <c r="H322" s="326">
        <v>1.0</v>
      </c>
      <c r="I322" s="281">
        <v>50.0</v>
      </c>
      <c r="J322" s="281" t="s">
        <v>4028</v>
      </c>
    </row>
    <row r="323" ht="15.0" customHeight="1">
      <c r="A323" s="82" t="s">
        <v>8128</v>
      </c>
      <c r="B323" s="82" t="s">
        <v>8129</v>
      </c>
      <c r="C323" s="380" t="s">
        <v>8130</v>
      </c>
      <c r="D323" s="82" t="s">
        <v>8131</v>
      </c>
      <c r="E323" s="82"/>
      <c r="F323" s="325">
        <v>45098.0</v>
      </c>
      <c r="G323" s="82">
        <v>50.0</v>
      </c>
      <c r="H323" s="326">
        <v>1.0</v>
      </c>
      <c r="I323" s="281">
        <v>50.0</v>
      </c>
      <c r="J323" s="281" t="s">
        <v>4028</v>
      </c>
    </row>
    <row r="324" ht="15.0" customHeight="1">
      <c r="A324" s="82" t="s">
        <v>8128</v>
      </c>
      <c r="B324" s="82" t="s">
        <v>8129</v>
      </c>
      <c r="C324" s="380" t="s">
        <v>8130</v>
      </c>
      <c r="D324" s="82" t="s">
        <v>8131</v>
      </c>
      <c r="E324" s="82"/>
      <c r="F324" s="325">
        <v>45214.0</v>
      </c>
      <c r="G324" s="82">
        <v>50.0</v>
      </c>
      <c r="H324" s="326">
        <v>1.0</v>
      </c>
      <c r="I324" s="281">
        <v>50.0</v>
      </c>
      <c r="J324" s="281" t="s">
        <v>4028</v>
      </c>
    </row>
    <row r="325" ht="15.0" customHeight="1">
      <c r="A325" s="82" t="s">
        <v>8128</v>
      </c>
      <c r="B325" s="82" t="s">
        <v>8129</v>
      </c>
      <c r="C325" s="380" t="s">
        <v>8137</v>
      </c>
      <c r="D325" s="82" t="s">
        <v>1264</v>
      </c>
      <c r="E325" s="82"/>
      <c r="F325" s="350" t="s">
        <v>8138</v>
      </c>
      <c r="G325" s="82">
        <v>50.0</v>
      </c>
      <c r="H325" s="326">
        <v>1.0</v>
      </c>
      <c r="I325" s="281">
        <v>50.0</v>
      </c>
      <c r="J325" s="281" t="s">
        <v>4028</v>
      </c>
    </row>
    <row r="326" ht="15.0" customHeight="1">
      <c r="A326" s="82" t="s">
        <v>8128</v>
      </c>
      <c r="B326" s="82" t="s">
        <v>8129</v>
      </c>
      <c r="C326" s="380" t="s">
        <v>8139</v>
      </c>
      <c r="D326" s="82" t="s">
        <v>1264</v>
      </c>
      <c r="E326" s="82"/>
      <c r="F326" s="350" t="s">
        <v>8140</v>
      </c>
      <c r="G326" s="82">
        <v>50.0</v>
      </c>
      <c r="H326" s="326">
        <v>1.0</v>
      </c>
      <c r="I326" s="281">
        <v>50.0</v>
      </c>
      <c r="J326" s="281" t="s">
        <v>4028</v>
      </c>
    </row>
    <row r="327" ht="15.0" customHeight="1">
      <c r="A327" s="82" t="s">
        <v>8128</v>
      </c>
      <c r="B327" s="82" t="s">
        <v>8129</v>
      </c>
      <c r="C327" s="380" t="s">
        <v>8139</v>
      </c>
      <c r="D327" s="82" t="s">
        <v>1264</v>
      </c>
      <c r="E327" s="82"/>
      <c r="F327" s="350" t="s">
        <v>8141</v>
      </c>
      <c r="G327" s="82">
        <v>50.0</v>
      </c>
      <c r="H327" s="326">
        <v>1.0</v>
      </c>
      <c r="I327" s="281">
        <v>50.0</v>
      </c>
      <c r="J327" s="281" t="s">
        <v>4028</v>
      </c>
    </row>
    <row r="328" ht="15.0" customHeight="1">
      <c r="A328" s="82" t="s">
        <v>8128</v>
      </c>
      <c r="B328" s="82" t="s">
        <v>8129</v>
      </c>
      <c r="C328" s="380" t="s">
        <v>8137</v>
      </c>
      <c r="D328" s="82" t="s">
        <v>1264</v>
      </c>
      <c r="E328" s="82"/>
      <c r="F328" s="350" t="s">
        <v>8142</v>
      </c>
      <c r="G328" s="82">
        <v>50.0</v>
      </c>
      <c r="H328" s="326">
        <v>1.0</v>
      </c>
      <c r="I328" s="281">
        <v>50.0</v>
      </c>
      <c r="J328" s="281" t="s">
        <v>4028</v>
      </c>
    </row>
    <row r="329" ht="15.0" customHeight="1">
      <c r="A329" s="82" t="s">
        <v>8128</v>
      </c>
      <c r="B329" s="82" t="s">
        <v>8129</v>
      </c>
      <c r="C329" s="380" t="s">
        <v>8143</v>
      </c>
      <c r="D329" s="82" t="s">
        <v>1264</v>
      </c>
      <c r="E329" s="82"/>
      <c r="F329" s="350" t="s">
        <v>8144</v>
      </c>
      <c r="G329" s="82">
        <v>50.0</v>
      </c>
      <c r="H329" s="326">
        <v>1.0</v>
      </c>
      <c r="I329" s="281">
        <v>50.0</v>
      </c>
      <c r="J329" s="281" t="s">
        <v>4028</v>
      </c>
    </row>
    <row r="330" ht="15.0" customHeight="1">
      <c r="A330" s="82" t="s">
        <v>8128</v>
      </c>
      <c r="B330" s="82" t="s">
        <v>8129</v>
      </c>
      <c r="C330" s="380" t="s">
        <v>8145</v>
      </c>
      <c r="D330" s="82" t="s">
        <v>1264</v>
      </c>
      <c r="E330" s="82"/>
      <c r="F330" s="350" t="s">
        <v>8146</v>
      </c>
      <c r="G330" s="82">
        <v>50.0</v>
      </c>
      <c r="H330" s="326">
        <v>1.0</v>
      </c>
      <c r="I330" s="281">
        <v>50.0</v>
      </c>
      <c r="J330" s="281" t="s">
        <v>4028</v>
      </c>
    </row>
    <row r="331" ht="15.0" customHeight="1">
      <c r="A331" s="82" t="s">
        <v>8128</v>
      </c>
      <c r="B331" s="82" t="s">
        <v>8129</v>
      </c>
      <c r="C331" s="380" t="s">
        <v>8147</v>
      </c>
      <c r="D331" s="82" t="s">
        <v>1264</v>
      </c>
      <c r="E331" s="82"/>
      <c r="F331" s="350" t="s">
        <v>8148</v>
      </c>
      <c r="G331" s="82">
        <v>50.0</v>
      </c>
      <c r="H331" s="326">
        <v>1.0</v>
      </c>
      <c r="I331" s="281">
        <v>50.0</v>
      </c>
      <c r="J331" s="281" t="s">
        <v>4028</v>
      </c>
    </row>
    <row r="332" ht="15.0" customHeight="1">
      <c r="A332" s="82" t="s">
        <v>8128</v>
      </c>
      <c r="B332" s="82" t="s">
        <v>8129</v>
      </c>
      <c r="C332" s="380" t="s">
        <v>8137</v>
      </c>
      <c r="D332" s="82" t="s">
        <v>1264</v>
      </c>
      <c r="E332" s="82"/>
      <c r="F332" s="350" t="s">
        <v>8149</v>
      </c>
      <c r="G332" s="82">
        <v>50.0</v>
      </c>
      <c r="H332" s="326">
        <v>1.0</v>
      </c>
      <c r="I332" s="281">
        <v>50.0</v>
      </c>
      <c r="J332" s="281" t="s">
        <v>4028</v>
      </c>
    </row>
    <row r="333" ht="15.0" customHeight="1">
      <c r="A333" s="82" t="s">
        <v>8128</v>
      </c>
      <c r="B333" s="82" t="s">
        <v>8129</v>
      </c>
      <c r="C333" s="380" t="s">
        <v>8150</v>
      </c>
      <c r="D333" s="82" t="s">
        <v>1264</v>
      </c>
      <c r="E333" s="82"/>
      <c r="F333" s="350" t="s">
        <v>8151</v>
      </c>
      <c r="G333" s="82">
        <v>50.0</v>
      </c>
      <c r="H333" s="326">
        <v>1.0</v>
      </c>
      <c r="I333" s="281">
        <v>50.0</v>
      </c>
      <c r="J333" s="281" t="s">
        <v>4028</v>
      </c>
    </row>
    <row r="334" ht="15.0" customHeight="1">
      <c r="A334" s="82" t="s">
        <v>8128</v>
      </c>
      <c r="B334" s="82" t="s">
        <v>8129</v>
      </c>
      <c r="C334" s="380" t="s">
        <v>8139</v>
      </c>
      <c r="D334" s="82" t="s">
        <v>1264</v>
      </c>
      <c r="E334" s="82"/>
      <c r="F334" s="350" t="s">
        <v>8152</v>
      </c>
      <c r="G334" s="82">
        <v>50.0</v>
      </c>
      <c r="H334" s="326">
        <v>1.0</v>
      </c>
      <c r="I334" s="281">
        <v>50.0</v>
      </c>
      <c r="J334" s="281" t="s">
        <v>4028</v>
      </c>
    </row>
    <row r="335" ht="15.0" customHeight="1">
      <c r="A335" s="82" t="s">
        <v>8128</v>
      </c>
      <c r="B335" s="82" t="s">
        <v>8129</v>
      </c>
      <c r="C335" s="380" t="s">
        <v>8153</v>
      </c>
      <c r="D335" s="82" t="s">
        <v>1264</v>
      </c>
      <c r="E335" s="82"/>
      <c r="F335" s="350" t="s">
        <v>8154</v>
      </c>
      <c r="G335" s="82">
        <v>50.0</v>
      </c>
      <c r="H335" s="326">
        <v>1.0</v>
      </c>
      <c r="I335" s="281">
        <v>50.0</v>
      </c>
      <c r="J335" s="281" t="s">
        <v>4028</v>
      </c>
    </row>
    <row r="336" ht="15.0" customHeight="1">
      <c r="A336" s="82" t="s">
        <v>8128</v>
      </c>
      <c r="B336" s="82" t="s">
        <v>8129</v>
      </c>
      <c r="C336" s="380"/>
      <c r="D336" s="82" t="s">
        <v>259</v>
      </c>
      <c r="E336" s="82"/>
      <c r="F336" s="350"/>
      <c r="G336" s="82"/>
      <c r="H336" s="326"/>
      <c r="I336" s="281"/>
      <c r="J336" s="281" t="s">
        <v>4028</v>
      </c>
    </row>
    <row r="337" ht="15.0" customHeight="1">
      <c r="A337" s="82" t="s">
        <v>8128</v>
      </c>
      <c r="B337" s="82" t="s">
        <v>8129</v>
      </c>
      <c r="C337" s="85" t="s">
        <v>8155</v>
      </c>
      <c r="D337" s="82" t="s">
        <v>8156</v>
      </c>
      <c r="E337" s="85"/>
      <c r="F337" s="345">
        <v>45128.0</v>
      </c>
      <c r="G337" s="82">
        <v>50.0</v>
      </c>
      <c r="H337" s="326">
        <v>1.0</v>
      </c>
      <c r="I337" s="281">
        <v>50.0</v>
      </c>
      <c r="J337" s="281" t="s">
        <v>4028</v>
      </c>
    </row>
    <row r="338" ht="15.0" customHeight="1">
      <c r="A338" s="82" t="s">
        <v>8157</v>
      </c>
      <c r="B338" s="82" t="s">
        <v>94</v>
      </c>
      <c r="C338" s="384" t="s">
        <v>5253</v>
      </c>
      <c r="D338" s="92" t="s">
        <v>8158</v>
      </c>
      <c r="E338" s="327" t="s">
        <v>8159</v>
      </c>
      <c r="F338" s="325"/>
      <c r="G338" s="82">
        <v>50.0</v>
      </c>
      <c r="H338" s="326">
        <v>2.0</v>
      </c>
      <c r="I338" s="281">
        <f>G338*H338</f>
        <v>100</v>
      </c>
      <c r="J338" s="281" t="s">
        <v>4078</v>
      </c>
    </row>
    <row r="339" ht="15.0" customHeight="1">
      <c r="A339" s="82" t="s">
        <v>8157</v>
      </c>
      <c r="B339" s="82" t="s">
        <v>94</v>
      </c>
      <c r="C339" s="384" t="s">
        <v>7716</v>
      </c>
      <c r="D339" s="78" t="s">
        <v>1264</v>
      </c>
      <c r="E339" s="331" t="s">
        <v>8160</v>
      </c>
      <c r="F339" s="385">
        <v>45173.0</v>
      </c>
      <c r="G339" s="82">
        <f>10*5</f>
        <v>50</v>
      </c>
      <c r="H339" s="332"/>
      <c r="I339" s="82">
        <f>G339</f>
        <v>50</v>
      </c>
      <c r="J339" s="281" t="s">
        <v>4078</v>
      </c>
    </row>
    <row r="340" ht="15.0" customHeight="1">
      <c r="A340" s="82" t="s">
        <v>8161</v>
      </c>
      <c r="B340" s="82" t="s">
        <v>94</v>
      </c>
      <c r="C340" s="82" t="s">
        <v>5253</v>
      </c>
      <c r="D340" s="82" t="s">
        <v>7888</v>
      </c>
      <c r="E340" s="327" t="s">
        <v>8162</v>
      </c>
      <c r="F340" s="82"/>
      <c r="G340" s="82">
        <v>50.0</v>
      </c>
      <c r="H340" s="326" t="s">
        <v>8163</v>
      </c>
      <c r="I340" s="281">
        <v>50.0</v>
      </c>
      <c r="J340" s="281" t="s">
        <v>5570</v>
      </c>
    </row>
    <row r="341" ht="15.0" customHeight="1">
      <c r="A341" s="82" t="s">
        <v>8164</v>
      </c>
      <c r="B341" s="82" t="s">
        <v>182</v>
      </c>
      <c r="C341" s="82" t="s">
        <v>225</v>
      </c>
      <c r="D341" s="82" t="s">
        <v>2513</v>
      </c>
      <c r="E341" s="327" t="s">
        <v>7667</v>
      </c>
      <c r="F341" s="333">
        <v>44930.0</v>
      </c>
      <c r="G341" s="82">
        <v>50.0</v>
      </c>
      <c r="H341" s="326" t="s">
        <v>7626</v>
      </c>
      <c r="I341" s="82">
        <v>50.0</v>
      </c>
      <c r="J341" s="281" t="s">
        <v>971</v>
      </c>
    </row>
    <row r="342" ht="15.0" customHeight="1">
      <c r="A342" s="82" t="s">
        <v>8164</v>
      </c>
      <c r="B342" s="82" t="s">
        <v>182</v>
      </c>
      <c r="C342" s="85" t="s">
        <v>8165</v>
      </c>
      <c r="D342" s="82" t="s">
        <v>8166</v>
      </c>
      <c r="E342" s="331" t="s">
        <v>8167</v>
      </c>
      <c r="F342" s="333">
        <v>44931.0</v>
      </c>
      <c r="G342" s="99">
        <v>10.0</v>
      </c>
      <c r="H342" s="82" t="s">
        <v>7874</v>
      </c>
      <c r="I342" s="82">
        <v>10.0</v>
      </c>
      <c r="J342" s="281" t="s">
        <v>971</v>
      </c>
    </row>
    <row r="343" ht="15.0" customHeight="1">
      <c r="A343" s="82" t="s">
        <v>8164</v>
      </c>
      <c r="B343" s="82" t="s">
        <v>182</v>
      </c>
      <c r="C343" s="82" t="s">
        <v>8168</v>
      </c>
      <c r="D343" s="82" t="s">
        <v>2513</v>
      </c>
      <c r="E343" s="327" t="s">
        <v>8169</v>
      </c>
      <c r="F343" s="333">
        <v>44931.0</v>
      </c>
      <c r="G343" s="82">
        <v>50.0</v>
      </c>
      <c r="H343" s="82" t="s">
        <v>7622</v>
      </c>
      <c r="I343" s="82">
        <v>50.0</v>
      </c>
      <c r="J343" s="281" t="s">
        <v>971</v>
      </c>
    </row>
    <row r="344" ht="15.0" customHeight="1">
      <c r="A344" s="82" t="s">
        <v>8164</v>
      </c>
      <c r="B344" s="82" t="s">
        <v>182</v>
      </c>
      <c r="C344" s="82" t="s">
        <v>235</v>
      </c>
      <c r="D344" s="82" t="s">
        <v>2513</v>
      </c>
      <c r="E344" s="327" t="s">
        <v>7561</v>
      </c>
      <c r="F344" s="333">
        <v>44935.0</v>
      </c>
      <c r="G344" s="82">
        <v>50.0</v>
      </c>
      <c r="H344" s="326" t="s">
        <v>7626</v>
      </c>
      <c r="I344" s="82">
        <v>50.0</v>
      </c>
      <c r="J344" s="281" t="s">
        <v>971</v>
      </c>
    </row>
    <row r="345" ht="15.0" customHeight="1">
      <c r="A345" s="82" t="s">
        <v>8164</v>
      </c>
      <c r="B345" s="82" t="s">
        <v>182</v>
      </c>
      <c r="C345" s="82" t="s">
        <v>225</v>
      </c>
      <c r="D345" s="82" t="s">
        <v>2513</v>
      </c>
      <c r="E345" s="327" t="s">
        <v>7667</v>
      </c>
      <c r="F345" s="333">
        <v>44939.0</v>
      </c>
      <c r="G345" s="82">
        <v>50.0</v>
      </c>
      <c r="H345" s="326" t="s">
        <v>7626</v>
      </c>
      <c r="I345" s="82">
        <v>50.0</v>
      </c>
      <c r="J345" s="281" t="s">
        <v>971</v>
      </c>
    </row>
    <row r="346" ht="15.0" customHeight="1">
      <c r="A346" s="82" t="s">
        <v>8164</v>
      </c>
      <c r="B346" s="82" t="s">
        <v>182</v>
      </c>
      <c r="C346" s="82" t="s">
        <v>8170</v>
      </c>
      <c r="D346" s="82" t="s">
        <v>2513</v>
      </c>
      <c r="E346" s="327" t="s">
        <v>8171</v>
      </c>
      <c r="F346" s="333">
        <v>44940.0</v>
      </c>
      <c r="G346" s="82">
        <v>50.0</v>
      </c>
      <c r="H346" s="326" t="s">
        <v>7626</v>
      </c>
      <c r="I346" s="82">
        <v>50.0</v>
      </c>
      <c r="J346" s="281" t="s">
        <v>971</v>
      </c>
    </row>
    <row r="347" ht="15.0" customHeight="1">
      <c r="A347" s="82" t="s">
        <v>8164</v>
      </c>
      <c r="B347" s="82" t="s">
        <v>182</v>
      </c>
      <c r="C347" s="82" t="s">
        <v>8172</v>
      </c>
      <c r="D347" s="82" t="s">
        <v>2513</v>
      </c>
      <c r="E347" s="327" t="s">
        <v>8173</v>
      </c>
      <c r="F347" s="333">
        <v>44943.0</v>
      </c>
      <c r="G347" s="82">
        <v>50.0</v>
      </c>
      <c r="H347" s="326" t="s">
        <v>7626</v>
      </c>
      <c r="I347" s="82">
        <v>50.0</v>
      </c>
      <c r="J347" s="281" t="s">
        <v>971</v>
      </c>
    </row>
    <row r="348" ht="15.0" customHeight="1">
      <c r="A348" s="82" t="s">
        <v>8164</v>
      </c>
      <c r="B348" s="82" t="s">
        <v>182</v>
      </c>
      <c r="C348" s="82" t="s">
        <v>8174</v>
      </c>
      <c r="D348" s="82" t="s">
        <v>2513</v>
      </c>
      <c r="E348" s="327" t="s">
        <v>8175</v>
      </c>
      <c r="F348" s="333">
        <v>44949.0</v>
      </c>
      <c r="G348" s="82">
        <v>50.0</v>
      </c>
      <c r="H348" s="326" t="s">
        <v>7622</v>
      </c>
      <c r="I348" s="82">
        <v>50.0</v>
      </c>
      <c r="J348" s="281" t="s">
        <v>971</v>
      </c>
    </row>
    <row r="349" ht="15.0" customHeight="1">
      <c r="A349" s="82" t="s">
        <v>8164</v>
      </c>
      <c r="B349" s="82" t="s">
        <v>182</v>
      </c>
      <c r="C349" s="82" t="s">
        <v>225</v>
      </c>
      <c r="D349" s="82" t="s">
        <v>2513</v>
      </c>
      <c r="E349" s="327" t="s">
        <v>7667</v>
      </c>
      <c r="F349" s="333">
        <v>44950.0</v>
      </c>
      <c r="G349" s="82">
        <v>50.0</v>
      </c>
      <c r="H349" s="326" t="s">
        <v>7626</v>
      </c>
      <c r="I349" s="82">
        <v>50.0</v>
      </c>
      <c r="J349" s="281" t="s">
        <v>971</v>
      </c>
    </row>
    <row r="350" ht="15.0" customHeight="1">
      <c r="A350" s="82" t="s">
        <v>8164</v>
      </c>
      <c r="B350" s="82" t="s">
        <v>182</v>
      </c>
      <c r="C350" s="82" t="s">
        <v>8176</v>
      </c>
      <c r="D350" s="82" t="s">
        <v>890</v>
      </c>
      <c r="E350" s="327" t="s">
        <v>8177</v>
      </c>
      <c r="F350" s="333">
        <v>44952.0</v>
      </c>
      <c r="G350" s="82">
        <v>50.0</v>
      </c>
      <c r="H350" s="326" t="s">
        <v>7874</v>
      </c>
      <c r="I350" s="82">
        <v>50.0</v>
      </c>
      <c r="J350" s="281" t="s">
        <v>971</v>
      </c>
    </row>
    <row r="351" ht="15.0" customHeight="1">
      <c r="A351" s="82" t="s">
        <v>8164</v>
      </c>
      <c r="B351" s="82" t="s">
        <v>182</v>
      </c>
      <c r="C351" s="82" t="s">
        <v>8178</v>
      </c>
      <c r="D351" s="82" t="s">
        <v>2513</v>
      </c>
      <c r="E351" s="327" t="s">
        <v>8179</v>
      </c>
      <c r="F351" s="333">
        <v>44962.0</v>
      </c>
      <c r="G351" s="82">
        <v>50.0</v>
      </c>
      <c r="H351" s="82" t="s">
        <v>8180</v>
      </c>
      <c r="I351" s="82">
        <v>50.0</v>
      </c>
      <c r="J351" s="281" t="s">
        <v>971</v>
      </c>
    </row>
    <row r="352" ht="15.0" customHeight="1">
      <c r="A352" s="82" t="s">
        <v>8164</v>
      </c>
      <c r="B352" s="82" t="s">
        <v>182</v>
      </c>
      <c r="C352" s="82" t="s">
        <v>8181</v>
      </c>
      <c r="D352" s="82" t="s">
        <v>2513</v>
      </c>
      <c r="E352" s="327" t="s">
        <v>8182</v>
      </c>
      <c r="F352" s="333">
        <v>44963.0</v>
      </c>
      <c r="G352" s="82">
        <v>50.0</v>
      </c>
      <c r="H352" s="82" t="s">
        <v>7614</v>
      </c>
      <c r="I352" s="82">
        <v>50.0</v>
      </c>
      <c r="J352" s="281" t="s">
        <v>971</v>
      </c>
    </row>
    <row r="353" ht="15.0" customHeight="1">
      <c r="A353" s="82" t="s">
        <v>8164</v>
      </c>
      <c r="B353" s="82" t="s">
        <v>182</v>
      </c>
      <c r="C353" s="82" t="s">
        <v>225</v>
      </c>
      <c r="D353" s="82" t="s">
        <v>2513</v>
      </c>
      <c r="E353" s="327" t="s">
        <v>7667</v>
      </c>
      <c r="F353" s="333">
        <v>44966.0</v>
      </c>
      <c r="G353" s="82">
        <v>50.0</v>
      </c>
      <c r="H353" s="326" t="s">
        <v>7626</v>
      </c>
      <c r="I353" s="82">
        <v>50.0</v>
      </c>
      <c r="J353" s="281" t="s">
        <v>971</v>
      </c>
    </row>
    <row r="354" ht="15.0" customHeight="1">
      <c r="A354" s="82" t="s">
        <v>8164</v>
      </c>
      <c r="B354" s="82" t="s">
        <v>182</v>
      </c>
      <c r="C354" s="82" t="s">
        <v>225</v>
      </c>
      <c r="D354" s="82" t="s">
        <v>2513</v>
      </c>
      <c r="E354" s="327" t="s">
        <v>7667</v>
      </c>
      <c r="F354" s="333">
        <v>44969.0</v>
      </c>
      <c r="G354" s="82">
        <v>50.0</v>
      </c>
      <c r="H354" s="326" t="s">
        <v>7626</v>
      </c>
      <c r="I354" s="82">
        <v>50.0</v>
      </c>
      <c r="J354" s="281" t="s">
        <v>971</v>
      </c>
    </row>
    <row r="355" ht="15.0" customHeight="1">
      <c r="A355" s="82" t="s">
        <v>8164</v>
      </c>
      <c r="B355" s="82" t="s">
        <v>182</v>
      </c>
      <c r="C355" s="82" t="s">
        <v>8178</v>
      </c>
      <c r="D355" s="82" t="s">
        <v>2513</v>
      </c>
      <c r="E355" s="327" t="s">
        <v>8179</v>
      </c>
      <c r="F355" s="333">
        <v>44978.0</v>
      </c>
      <c r="G355" s="82">
        <v>50.0</v>
      </c>
      <c r="H355" s="82" t="s">
        <v>8180</v>
      </c>
      <c r="I355" s="82">
        <v>50.0</v>
      </c>
      <c r="J355" s="281" t="s">
        <v>971</v>
      </c>
    </row>
    <row r="356" ht="15.0" customHeight="1">
      <c r="A356" s="82" t="s">
        <v>8164</v>
      </c>
      <c r="B356" s="82" t="s">
        <v>182</v>
      </c>
      <c r="C356" s="82" t="s">
        <v>8183</v>
      </c>
      <c r="D356" s="82" t="s">
        <v>2513</v>
      </c>
      <c r="E356" s="327" t="s">
        <v>8184</v>
      </c>
      <c r="F356" s="333">
        <v>44969.0</v>
      </c>
      <c r="G356" s="82">
        <v>50.0</v>
      </c>
      <c r="H356" s="82" t="s">
        <v>7614</v>
      </c>
      <c r="I356" s="82">
        <v>50.0</v>
      </c>
      <c r="J356" s="281" t="s">
        <v>971</v>
      </c>
    </row>
    <row r="357" ht="15.0" customHeight="1">
      <c r="A357" s="82" t="s">
        <v>8164</v>
      </c>
      <c r="B357" s="82" t="s">
        <v>182</v>
      </c>
      <c r="C357" s="82" t="s">
        <v>8185</v>
      </c>
      <c r="D357" s="82" t="s">
        <v>2513</v>
      </c>
      <c r="E357" s="327" t="s">
        <v>8186</v>
      </c>
      <c r="F357" s="333">
        <v>44980.0</v>
      </c>
      <c r="G357" s="82">
        <v>50.0</v>
      </c>
      <c r="H357" s="82" t="s">
        <v>8187</v>
      </c>
      <c r="I357" s="82">
        <v>50.0</v>
      </c>
      <c r="J357" s="281" t="s">
        <v>971</v>
      </c>
    </row>
    <row r="358" ht="15.0" customHeight="1">
      <c r="A358" s="82" t="s">
        <v>8164</v>
      </c>
      <c r="B358" s="82" t="s">
        <v>182</v>
      </c>
      <c r="C358" s="82" t="s">
        <v>8181</v>
      </c>
      <c r="D358" s="82" t="s">
        <v>2513</v>
      </c>
      <c r="E358" s="327" t="s">
        <v>8182</v>
      </c>
      <c r="F358" s="333">
        <v>44986.0</v>
      </c>
      <c r="G358" s="82">
        <v>50.0</v>
      </c>
      <c r="H358" s="82" t="s">
        <v>7614</v>
      </c>
      <c r="I358" s="82">
        <v>50.0</v>
      </c>
      <c r="J358" s="281" t="s">
        <v>971</v>
      </c>
    </row>
    <row r="359" ht="15.0" customHeight="1">
      <c r="A359" s="82" t="s">
        <v>8164</v>
      </c>
      <c r="B359" s="82" t="s">
        <v>182</v>
      </c>
      <c r="C359" s="82" t="s">
        <v>8188</v>
      </c>
      <c r="D359" s="82" t="s">
        <v>2513</v>
      </c>
      <c r="E359" s="327" t="s">
        <v>8189</v>
      </c>
      <c r="F359" s="333">
        <v>44987.0</v>
      </c>
      <c r="G359" s="82">
        <v>50.0</v>
      </c>
      <c r="H359" s="82" t="s">
        <v>8187</v>
      </c>
      <c r="I359" s="82">
        <v>50.0</v>
      </c>
      <c r="J359" s="281" t="s">
        <v>971</v>
      </c>
    </row>
    <row r="360" ht="15.0" customHeight="1">
      <c r="A360" s="82" t="s">
        <v>8164</v>
      </c>
      <c r="B360" s="82" t="s">
        <v>182</v>
      </c>
      <c r="C360" s="82" t="s">
        <v>225</v>
      </c>
      <c r="D360" s="82" t="s">
        <v>2513</v>
      </c>
      <c r="E360" s="327" t="s">
        <v>7667</v>
      </c>
      <c r="F360" s="333">
        <v>44989.0</v>
      </c>
      <c r="G360" s="82">
        <v>50.0</v>
      </c>
      <c r="H360" s="326" t="s">
        <v>7626</v>
      </c>
      <c r="I360" s="82">
        <v>50.0</v>
      </c>
      <c r="J360" s="281" t="s">
        <v>971</v>
      </c>
    </row>
    <row r="361" ht="15.0" customHeight="1">
      <c r="A361" s="82" t="s">
        <v>8164</v>
      </c>
      <c r="B361" s="82" t="s">
        <v>182</v>
      </c>
      <c r="C361" s="82" t="s">
        <v>225</v>
      </c>
      <c r="D361" s="82" t="s">
        <v>2513</v>
      </c>
      <c r="E361" s="327" t="s">
        <v>7667</v>
      </c>
      <c r="F361" s="333">
        <v>44992.0</v>
      </c>
      <c r="G361" s="82">
        <v>50.0</v>
      </c>
      <c r="H361" s="326" t="s">
        <v>7626</v>
      </c>
      <c r="I361" s="82">
        <v>50.0</v>
      </c>
      <c r="J361" s="281" t="s">
        <v>971</v>
      </c>
    </row>
    <row r="362" ht="15.0" customHeight="1">
      <c r="A362" s="82" t="s">
        <v>8164</v>
      </c>
      <c r="B362" s="82" t="s">
        <v>182</v>
      </c>
      <c r="C362" s="82" t="s">
        <v>225</v>
      </c>
      <c r="D362" s="82" t="s">
        <v>2513</v>
      </c>
      <c r="E362" s="327" t="s">
        <v>7667</v>
      </c>
      <c r="F362" s="333">
        <v>45001.0</v>
      </c>
      <c r="G362" s="82">
        <v>50.0</v>
      </c>
      <c r="H362" s="326" t="s">
        <v>7626</v>
      </c>
      <c r="I362" s="82">
        <v>50.0</v>
      </c>
      <c r="J362" s="281" t="s">
        <v>971</v>
      </c>
    </row>
    <row r="363" ht="15.0" customHeight="1">
      <c r="A363" s="82" t="s">
        <v>8164</v>
      </c>
      <c r="B363" s="82" t="s">
        <v>182</v>
      </c>
      <c r="C363" s="82" t="s">
        <v>8190</v>
      </c>
      <c r="D363" s="82" t="s">
        <v>2513</v>
      </c>
      <c r="E363" s="327" t="s">
        <v>8191</v>
      </c>
      <c r="F363" s="333">
        <v>45010.0</v>
      </c>
      <c r="G363" s="82">
        <v>50.0</v>
      </c>
      <c r="H363" s="326" t="s">
        <v>8187</v>
      </c>
      <c r="I363" s="82">
        <v>50.0</v>
      </c>
      <c r="J363" s="281" t="s">
        <v>971</v>
      </c>
    </row>
    <row r="364" ht="15.0" customHeight="1">
      <c r="A364" s="82" t="s">
        <v>8164</v>
      </c>
      <c r="B364" s="82" t="s">
        <v>182</v>
      </c>
      <c r="C364" s="82" t="s">
        <v>225</v>
      </c>
      <c r="D364" s="82" t="s">
        <v>2513</v>
      </c>
      <c r="E364" s="327" t="s">
        <v>7667</v>
      </c>
      <c r="F364" s="333">
        <v>45010.0</v>
      </c>
      <c r="G364" s="82">
        <v>50.0</v>
      </c>
      <c r="H364" s="326" t="s">
        <v>7626</v>
      </c>
      <c r="I364" s="82">
        <v>50.0</v>
      </c>
      <c r="J364" s="281" t="s">
        <v>971</v>
      </c>
    </row>
    <row r="365" ht="15.0" customHeight="1">
      <c r="A365" s="82" t="s">
        <v>8164</v>
      </c>
      <c r="B365" s="82" t="s">
        <v>182</v>
      </c>
      <c r="C365" s="82" t="s">
        <v>7590</v>
      </c>
      <c r="D365" s="82" t="s">
        <v>2513</v>
      </c>
      <c r="E365" s="327" t="s">
        <v>7539</v>
      </c>
      <c r="F365" s="333">
        <v>45036.0</v>
      </c>
      <c r="G365" s="82">
        <v>50.0</v>
      </c>
      <c r="H365" s="326" t="s">
        <v>7626</v>
      </c>
      <c r="I365" s="82">
        <v>50.0</v>
      </c>
      <c r="J365" s="281" t="s">
        <v>971</v>
      </c>
    </row>
    <row r="366" ht="15.0" customHeight="1">
      <c r="A366" s="82" t="s">
        <v>8164</v>
      </c>
      <c r="B366" s="82" t="s">
        <v>182</v>
      </c>
      <c r="C366" s="82" t="s">
        <v>8172</v>
      </c>
      <c r="D366" s="82" t="s">
        <v>2513</v>
      </c>
      <c r="E366" s="327" t="s">
        <v>8173</v>
      </c>
      <c r="F366" s="333">
        <v>45038.0</v>
      </c>
      <c r="G366" s="82">
        <v>50.0</v>
      </c>
      <c r="H366" s="326" t="s">
        <v>7626</v>
      </c>
      <c r="I366" s="82">
        <v>50.0</v>
      </c>
      <c r="J366" s="281" t="s">
        <v>971</v>
      </c>
    </row>
    <row r="367" ht="15.0" customHeight="1">
      <c r="A367" s="82" t="s">
        <v>8164</v>
      </c>
      <c r="B367" s="82" t="s">
        <v>182</v>
      </c>
      <c r="C367" s="82" t="s">
        <v>1040</v>
      </c>
      <c r="D367" s="82" t="s">
        <v>2513</v>
      </c>
      <c r="E367" s="327" t="s">
        <v>7555</v>
      </c>
      <c r="F367" s="333">
        <v>45040.0</v>
      </c>
      <c r="G367" s="82">
        <v>50.0</v>
      </c>
      <c r="H367" s="326" t="s">
        <v>7622</v>
      </c>
      <c r="I367" s="82">
        <v>50.0</v>
      </c>
      <c r="J367" s="281" t="s">
        <v>971</v>
      </c>
    </row>
    <row r="368" ht="15.0" customHeight="1">
      <c r="A368" s="82" t="s">
        <v>8164</v>
      </c>
      <c r="B368" s="82" t="s">
        <v>182</v>
      </c>
      <c r="C368" s="82" t="s">
        <v>8181</v>
      </c>
      <c r="D368" s="82" t="s">
        <v>2513</v>
      </c>
      <c r="E368" s="327" t="s">
        <v>8182</v>
      </c>
      <c r="F368" s="333">
        <v>45048.0</v>
      </c>
      <c r="G368" s="82">
        <v>50.0</v>
      </c>
      <c r="H368" s="82" t="s">
        <v>7614</v>
      </c>
      <c r="I368" s="82">
        <v>50.0</v>
      </c>
      <c r="J368" s="281" t="s">
        <v>971</v>
      </c>
    </row>
    <row r="369" ht="15.0" customHeight="1">
      <c r="A369" s="82" t="s">
        <v>8164</v>
      </c>
      <c r="B369" s="82" t="s">
        <v>182</v>
      </c>
      <c r="C369" s="82" t="s">
        <v>225</v>
      </c>
      <c r="D369" s="82" t="s">
        <v>2513</v>
      </c>
      <c r="E369" s="327" t="s">
        <v>7667</v>
      </c>
      <c r="F369" s="333">
        <v>45056.0</v>
      </c>
      <c r="G369" s="82">
        <v>50.0</v>
      </c>
      <c r="H369" s="326" t="s">
        <v>7626</v>
      </c>
      <c r="I369" s="82">
        <v>50.0</v>
      </c>
      <c r="J369" s="281" t="s">
        <v>971</v>
      </c>
    </row>
    <row r="370" ht="15.0" customHeight="1">
      <c r="A370" s="82" t="s">
        <v>8164</v>
      </c>
      <c r="B370" s="82" t="s">
        <v>182</v>
      </c>
      <c r="C370" s="82" t="s">
        <v>8192</v>
      </c>
      <c r="D370" s="82" t="s">
        <v>2513</v>
      </c>
      <c r="E370" s="327" t="s">
        <v>8193</v>
      </c>
      <c r="F370" s="333">
        <v>45056.0</v>
      </c>
      <c r="G370" s="82">
        <v>50.0</v>
      </c>
      <c r="H370" s="326" t="s">
        <v>8194</v>
      </c>
      <c r="I370" s="82">
        <v>50.0</v>
      </c>
      <c r="J370" s="281" t="s">
        <v>971</v>
      </c>
    </row>
    <row r="371" ht="15.0" customHeight="1">
      <c r="A371" s="82" t="s">
        <v>8164</v>
      </c>
      <c r="B371" s="82" t="s">
        <v>182</v>
      </c>
      <c r="C371" s="82" t="s">
        <v>8178</v>
      </c>
      <c r="D371" s="82" t="s">
        <v>2513</v>
      </c>
      <c r="E371" s="327" t="s">
        <v>8179</v>
      </c>
      <c r="F371" s="333">
        <v>45061.0</v>
      </c>
      <c r="G371" s="82">
        <v>50.0</v>
      </c>
      <c r="H371" s="82" t="s">
        <v>8180</v>
      </c>
      <c r="I371" s="82">
        <v>50.0</v>
      </c>
      <c r="J371" s="281" t="s">
        <v>971</v>
      </c>
    </row>
    <row r="372" ht="15.0" customHeight="1">
      <c r="A372" s="82" t="s">
        <v>8164</v>
      </c>
      <c r="B372" s="82" t="s">
        <v>182</v>
      </c>
      <c r="C372" s="82" t="s">
        <v>8181</v>
      </c>
      <c r="D372" s="82" t="s">
        <v>2513</v>
      </c>
      <c r="E372" s="327" t="s">
        <v>8182</v>
      </c>
      <c r="F372" s="333">
        <v>45062.0</v>
      </c>
      <c r="G372" s="82">
        <v>50.0</v>
      </c>
      <c r="H372" s="82" t="s">
        <v>7614</v>
      </c>
      <c r="I372" s="82">
        <v>50.0</v>
      </c>
      <c r="J372" s="281" t="s">
        <v>971</v>
      </c>
    </row>
    <row r="373" ht="15.0" customHeight="1">
      <c r="A373" s="82" t="s">
        <v>8164</v>
      </c>
      <c r="B373" s="82" t="s">
        <v>182</v>
      </c>
      <c r="C373" s="82" t="s">
        <v>701</v>
      </c>
      <c r="D373" s="82" t="s">
        <v>2513</v>
      </c>
      <c r="E373" s="327" t="s">
        <v>7812</v>
      </c>
      <c r="F373" s="325">
        <v>45069.0</v>
      </c>
      <c r="G373" s="82">
        <v>50.0</v>
      </c>
      <c r="H373" s="82" t="s">
        <v>7622</v>
      </c>
      <c r="I373" s="82">
        <v>50.0</v>
      </c>
      <c r="J373" s="281" t="s">
        <v>971</v>
      </c>
    </row>
    <row r="374" ht="15.0" customHeight="1">
      <c r="A374" s="82" t="s">
        <v>8164</v>
      </c>
      <c r="B374" s="82" t="s">
        <v>182</v>
      </c>
      <c r="C374" s="82" t="s">
        <v>8181</v>
      </c>
      <c r="D374" s="82" t="s">
        <v>2513</v>
      </c>
      <c r="E374" s="327" t="s">
        <v>8182</v>
      </c>
      <c r="F374" s="333">
        <v>45079.0</v>
      </c>
      <c r="G374" s="82">
        <v>50.0</v>
      </c>
      <c r="H374" s="82" t="s">
        <v>7614</v>
      </c>
      <c r="I374" s="82">
        <v>50.0</v>
      </c>
      <c r="J374" s="281" t="s">
        <v>971</v>
      </c>
    </row>
    <row r="375" ht="15.0" customHeight="1">
      <c r="A375" s="82" t="s">
        <v>8164</v>
      </c>
      <c r="B375" s="82" t="s">
        <v>182</v>
      </c>
      <c r="C375" s="82" t="s">
        <v>235</v>
      </c>
      <c r="D375" s="82" t="s">
        <v>2513</v>
      </c>
      <c r="E375" s="327" t="s">
        <v>7561</v>
      </c>
      <c r="F375" s="333">
        <v>45090.0</v>
      </c>
      <c r="G375" s="82">
        <v>50.0</v>
      </c>
      <c r="H375" s="326" t="s">
        <v>7626</v>
      </c>
      <c r="I375" s="82">
        <v>50.0</v>
      </c>
      <c r="J375" s="281" t="s">
        <v>971</v>
      </c>
    </row>
    <row r="376" ht="15.0" customHeight="1">
      <c r="A376" s="82" t="s">
        <v>8164</v>
      </c>
      <c r="B376" s="82" t="s">
        <v>182</v>
      </c>
      <c r="C376" s="82" t="s">
        <v>8192</v>
      </c>
      <c r="D376" s="82" t="s">
        <v>2513</v>
      </c>
      <c r="E376" s="327" t="s">
        <v>8193</v>
      </c>
      <c r="F376" s="333">
        <v>45103.0</v>
      </c>
      <c r="G376" s="82">
        <v>50.0</v>
      </c>
      <c r="H376" s="326" t="s">
        <v>8194</v>
      </c>
      <c r="I376" s="82">
        <v>50.0</v>
      </c>
      <c r="J376" s="281" t="s">
        <v>971</v>
      </c>
    </row>
    <row r="377" ht="15.0" customHeight="1">
      <c r="A377" s="82" t="s">
        <v>8164</v>
      </c>
      <c r="B377" s="82" t="s">
        <v>182</v>
      </c>
      <c r="C377" s="82" t="s">
        <v>8168</v>
      </c>
      <c r="D377" s="82" t="s">
        <v>2513</v>
      </c>
      <c r="E377" s="327" t="s">
        <v>8169</v>
      </c>
      <c r="F377" s="333">
        <v>45103.0</v>
      </c>
      <c r="G377" s="82">
        <v>50.0</v>
      </c>
      <c r="H377" s="82" t="s">
        <v>7622</v>
      </c>
      <c r="I377" s="82">
        <v>50.0</v>
      </c>
      <c r="J377" s="281" t="s">
        <v>971</v>
      </c>
    </row>
    <row r="378" ht="15.0" customHeight="1">
      <c r="A378" s="82" t="s">
        <v>8164</v>
      </c>
      <c r="B378" s="82" t="s">
        <v>182</v>
      </c>
      <c r="C378" s="82" t="s">
        <v>7594</v>
      </c>
      <c r="D378" s="82" t="s">
        <v>2513</v>
      </c>
      <c r="E378" s="327" t="s">
        <v>7550</v>
      </c>
      <c r="F378" s="325">
        <v>45105.0</v>
      </c>
      <c r="G378" s="82">
        <v>50.0</v>
      </c>
      <c r="H378" s="82" t="s">
        <v>7626</v>
      </c>
      <c r="I378" s="82">
        <v>50.0</v>
      </c>
      <c r="J378" s="281" t="s">
        <v>971</v>
      </c>
    </row>
    <row r="379" ht="15.0" customHeight="1">
      <c r="A379" s="82" t="s">
        <v>8164</v>
      </c>
      <c r="B379" s="82" t="s">
        <v>182</v>
      </c>
      <c r="C379" s="82" t="s">
        <v>8195</v>
      </c>
      <c r="D379" s="82" t="s">
        <v>2513</v>
      </c>
      <c r="E379" s="327" t="s">
        <v>8196</v>
      </c>
      <c r="F379" s="325">
        <v>45117.0</v>
      </c>
      <c r="G379" s="82">
        <v>50.0</v>
      </c>
      <c r="H379" s="82" t="s">
        <v>7622</v>
      </c>
      <c r="I379" s="82">
        <v>50.0</v>
      </c>
      <c r="J379" s="281" t="s">
        <v>971</v>
      </c>
    </row>
    <row r="380" ht="15.0" customHeight="1">
      <c r="A380" s="82" t="s">
        <v>8164</v>
      </c>
      <c r="B380" s="82" t="s">
        <v>182</v>
      </c>
      <c r="C380" s="82" t="s">
        <v>8197</v>
      </c>
      <c r="D380" s="82" t="s">
        <v>2513</v>
      </c>
      <c r="E380" s="327" t="s">
        <v>8198</v>
      </c>
      <c r="F380" s="325">
        <v>45125.0</v>
      </c>
      <c r="G380" s="82">
        <v>50.0</v>
      </c>
      <c r="H380" s="82" t="s">
        <v>7626</v>
      </c>
      <c r="I380" s="82">
        <v>50.0</v>
      </c>
      <c r="J380" s="281" t="s">
        <v>971</v>
      </c>
    </row>
    <row r="381" ht="15.0" customHeight="1">
      <c r="A381" s="82" t="s">
        <v>8164</v>
      </c>
      <c r="B381" s="82" t="s">
        <v>182</v>
      </c>
      <c r="C381" s="82" t="s">
        <v>8181</v>
      </c>
      <c r="D381" s="82" t="s">
        <v>2513</v>
      </c>
      <c r="E381" s="327" t="s">
        <v>8182</v>
      </c>
      <c r="F381" s="333">
        <v>45131.0</v>
      </c>
      <c r="G381" s="82">
        <v>50.0</v>
      </c>
      <c r="H381" s="82" t="s">
        <v>7614</v>
      </c>
      <c r="I381" s="82">
        <v>50.0</v>
      </c>
      <c r="J381" s="281" t="s">
        <v>971</v>
      </c>
    </row>
    <row r="382" ht="15.0" customHeight="1">
      <c r="A382" s="82" t="s">
        <v>8164</v>
      </c>
      <c r="B382" s="82" t="s">
        <v>182</v>
      </c>
      <c r="C382" s="82" t="s">
        <v>8181</v>
      </c>
      <c r="D382" s="82" t="s">
        <v>2513</v>
      </c>
      <c r="E382" s="327" t="s">
        <v>8182</v>
      </c>
      <c r="F382" s="333">
        <v>45131.0</v>
      </c>
      <c r="G382" s="82">
        <v>50.0</v>
      </c>
      <c r="H382" s="82" t="s">
        <v>7614</v>
      </c>
      <c r="I382" s="82">
        <v>50.0</v>
      </c>
      <c r="J382" s="281" t="s">
        <v>971</v>
      </c>
    </row>
    <row r="383" ht="15.0" customHeight="1">
      <c r="A383" s="82" t="s">
        <v>8164</v>
      </c>
      <c r="B383" s="82" t="s">
        <v>182</v>
      </c>
      <c r="C383" s="82" t="s">
        <v>8192</v>
      </c>
      <c r="D383" s="82" t="s">
        <v>2513</v>
      </c>
      <c r="E383" s="327" t="s">
        <v>8193</v>
      </c>
      <c r="F383" s="333">
        <v>45132.0</v>
      </c>
      <c r="G383" s="82">
        <v>50.0</v>
      </c>
      <c r="H383" s="326" t="s">
        <v>8194</v>
      </c>
      <c r="I383" s="82">
        <v>50.0</v>
      </c>
      <c r="J383" s="281" t="s">
        <v>971</v>
      </c>
    </row>
    <row r="384" ht="15.0" customHeight="1">
      <c r="A384" s="82" t="s">
        <v>8164</v>
      </c>
      <c r="B384" s="82" t="s">
        <v>182</v>
      </c>
      <c r="C384" s="82" t="s">
        <v>8168</v>
      </c>
      <c r="D384" s="82" t="s">
        <v>2513</v>
      </c>
      <c r="E384" s="327" t="s">
        <v>8169</v>
      </c>
      <c r="F384" s="333">
        <v>45132.0</v>
      </c>
      <c r="G384" s="82">
        <v>50.0</v>
      </c>
      <c r="H384" s="82" t="s">
        <v>7622</v>
      </c>
      <c r="I384" s="82">
        <v>50.0</v>
      </c>
      <c r="J384" s="281" t="s">
        <v>971</v>
      </c>
    </row>
    <row r="385" ht="15.0" customHeight="1">
      <c r="A385" s="82" t="s">
        <v>8164</v>
      </c>
      <c r="B385" s="82" t="s">
        <v>182</v>
      </c>
      <c r="C385" s="82" t="s">
        <v>8181</v>
      </c>
      <c r="D385" s="82" t="s">
        <v>2513</v>
      </c>
      <c r="E385" s="327" t="s">
        <v>8182</v>
      </c>
      <c r="F385" s="333">
        <v>45146.0</v>
      </c>
      <c r="G385" s="82">
        <v>50.0</v>
      </c>
      <c r="H385" s="82" t="s">
        <v>7614</v>
      </c>
      <c r="I385" s="82">
        <v>50.0</v>
      </c>
      <c r="J385" s="281" t="s">
        <v>971</v>
      </c>
    </row>
    <row r="386" ht="15.0" customHeight="1">
      <c r="A386" s="82" t="s">
        <v>8164</v>
      </c>
      <c r="B386" s="82" t="s">
        <v>182</v>
      </c>
      <c r="C386" s="82" t="s">
        <v>8199</v>
      </c>
      <c r="D386" s="82" t="s">
        <v>2513</v>
      </c>
      <c r="E386" s="327" t="s">
        <v>7852</v>
      </c>
      <c r="F386" s="333">
        <v>45151.0</v>
      </c>
      <c r="G386" s="82">
        <v>50.0</v>
      </c>
      <c r="H386" s="82" t="s">
        <v>8200</v>
      </c>
      <c r="I386" s="82">
        <v>50.0</v>
      </c>
      <c r="J386" s="281" t="s">
        <v>971</v>
      </c>
    </row>
    <row r="387" ht="15.0" customHeight="1">
      <c r="A387" s="82" t="s">
        <v>8164</v>
      </c>
      <c r="B387" s="82" t="s">
        <v>182</v>
      </c>
      <c r="C387" s="82" t="s">
        <v>8201</v>
      </c>
      <c r="D387" s="82" t="s">
        <v>2513</v>
      </c>
      <c r="E387" s="327" t="s">
        <v>8202</v>
      </c>
      <c r="F387" s="325">
        <v>45153.0</v>
      </c>
      <c r="G387" s="82">
        <v>50.0</v>
      </c>
      <c r="H387" s="82" t="s">
        <v>8180</v>
      </c>
      <c r="I387" s="82">
        <v>50.0</v>
      </c>
      <c r="J387" s="281" t="s">
        <v>971</v>
      </c>
    </row>
    <row r="388" ht="15.0" customHeight="1">
      <c r="A388" s="82" t="s">
        <v>8164</v>
      </c>
      <c r="B388" s="82" t="s">
        <v>182</v>
      </c>
      <c r="C388" s="82" t="s">
        <v>235</v>
      </c>
      <c r="D388" s="82" t="s">
        <v>2513</v>
      </c>
      <c r="E388" s="327" t="s">
        <v>7561</v>
      </c>
      <c r="F388" s="333">
        <v>45163.0</v>
      </c>
      <c r="G388" s="82">
        <v>50.0</v>
      </c>
      <c r="H388" s="326" t="s">
        <v>7626</v>
      </c>
      <c r="I388" s="82">
        <v>50.0</v>
      </c>
      <c r="J388" s="281" t="s">
        <v>971</v>
      </c>
    </row>
    <row r="389" ht="15.0" customHeight="1">
      <c r="A389" s="82" t="s">
        <v>8164</v>
      </c>
      <c r="B389" s="82" t="s">
        <v>182</v>
      </c>
      <c r="C389" s="82" t="s">
        <v>8203</v>
      </c>
      <c r="D389" s="82" t="s">
        <v>2513</v>
      </c>
      <c r="E389" s="327" t="s">
        <v>8204</v>
      </c>
      <c r="F389" s="333">
        <v>45166.0</v>
      </c>
      <c r="G389" s="82">
        <v>50.0</v>
      </c>
      <c r="H389" s="326" t="s">
        <v>8180</v>
      </c>
      <c r="I389" s="82">
        <v>50.0</v>
      </c>
      <c r="J389" s="281" t="s">
        <v>971</v>
      </c>
    </row>
    <row r="390" ht="15.0" customHeight="1">
      <c r="A390" s="82" t="s">
        <v>8164</v>
      </c>
      <c r="B390" s="82" t="s">
        <v>182</v>
      </c>
      <c r="C390" s="82" t="s">
        <v>1040</v>
      </c>
      <c r="D390" s="82" t="s">
        <v>2513</v>
      </c>
      <c r="E390" s="327" t="s">
        <v>7555</v>
      </c>
      <c r="F390" s="333">
        <v>45178.0</v>
      </c>
      <c r="G390" s="82">
        <v>50.0</v>
      </c>
      <c r="H390" s="326" t="s">
        <v>7622</v>
      </c>
      <c r="I390" s="82">
        <v>50.0</v>
      </c>
      <c r="J390" s="281" t="s">
        <v>971</v>
      </c>
    </row>
    <row r="391" ht="15.0" customHeight="1">
      <c r="A391" s="82" t="s">
        <v>8164</v>
      </c>
      <c r="B391" s="82" t="s">
        <v>182</v>
      </c>
      <c r="C391" s="82" t="s">
        <v>8181</v>
      </c>
      <c r="D391" s="82" t="s">
        <v>2513</v>
      </c>
      <c r="E391" s="327" t="s">
        <v>8182</v>
      </c>
      <c r="F391" s="333">
        <v>45188.0</v>
      </c>
      <c r="G391" s="82">
        <v>50.0</v>
      </c>
      <c r="H391" s="82" t="s">
        <v>7614</v>
      </c>
      <c r="I391" s="82">
        <v>50.0</v>
      </c>
      <c r="J391" s="281" t="s">
        <v>971</v>
      </c>
    </row>
    <row r="392" ht="15.0" customHeight="1">
      <c r="A392" s="82" t="s">
        <v>8164</v>
      </c>
      <c r="B392" s="82" t="s">
        <v>182</v>
      </c>
      <c r="C392" s="82" t="s">
        <v>8178</v>
      </c>
      <c r="D392" s="82" t="s">
        <v>2513</v>
      </c>
      <c r="E392" s="327" t="s">
        <v>8179</v>
      </c>
      <c r="F392" s="333">
        <v>45188.0</v>
      </c>
      <c r="G392" s="82">
        <v>50.0</v>
      </c>
      <c r="H392" s="82" t="s">
        <v>8180</v>
      </c>
      <c r="I392" s="82">
        <v>50.0</v>
      </c>
      <c r="J392" s="281" t="s">
        <v>971</v>
      </c>
    </row>
    <row r="393" ht="15.0" customHeight="1">
      <c r="A393" s="82" t="s">
        <v>8164</v>
      </c>
      <c r="B393" s="82" t="s">
        <v>182</v>
      </c>
      <c r="C393" s="82" t="s">
        <v>8205</v>
      </c>
      <c r="D393" s="82" t="s">
        <v>2513</v>
      </c>
      <c r="E393" s="327" t="s">
        <v>8206</v>
      </c>
      <c r="F393" s="333">
        <v>45195.0</v>
      </c>
      <c r="G393" s="82">
        <v>50.0</v>
      </c>
      <c r="H393" s="82" t="s">
        <v>7622</v>
      </c>
      <c r="I393" s="82">
        <v>50.0</v>
      </c>
      <c r="J393" s="281" t="s">
        <v>971</v>
      </c>
    </row>
    <row r="394" ht="15.0" customHeight="1">
      <c r="A394" s="82" t="s">
        <v>8164</v>
      </c>
      <c r="B394" s="82" t="s">
        <v>182</v>
      </c>
      <c r="C394" s="82" t="s">
        <v>8207</v>
      </c>
      <c r="D394" s="82" t="s">
        <v>2513</v>
      </c>
      <c r="E394" s="327" t="s">
        <v>8208</v>
      </c>
      <c r="F394" s="333">
        <v>45209.0</v>
      </c>
      <c r="G394" s="82">
        <v>50.0</v>
      </c>
      <c r="H394" s="82" t="s">
        <v>8180</v>
      </c>
      <c r="I394" s="82">
        <v>50.0</v>
      </c>
      <c r="J394" s="281" t="s">
        <v>971</v>
      </c>
    </row>
    <row r="395" ht="15.0" customHeight="1">
      <c r="A395" s="82" t="s">
        <v>8164</v>
      </c>
      <c r="B395" s="82" t="s">
        <v>182</v>
      </c>
      <c r="C395" s="82" t="s">
        <v>8209</v>
      </c>
      <c r="D395" s="82" t="s">
        <v>2513</v>
      </c>
      <c r="E395" s="327" t="s">
        <v>7582</v>
      </c>
      <c r="F395" s="333">
        <v>45209.0</v>
      </c>
      <c r="G395" s="82">
        <v>50.0</v>
      </c>
      <c r="H395" s="82" t="s">
        <v>7874</v>
      </c>
      <c r="I395" s="82">
        <v>50.0</v>
      </c>
      <c r="J395" s="281" t="s">
        <v>971</v>
      </c>
    </row>
    <row r="396" ht="15.0" customHeight="1">
      <c r="A396" s="82" t="s">
        <v>8164</v>
      </c>
      <c r="B396" s="82" t="s">
        <v>182</v>
      </c>
      <c r="C396" s="82" t="s">
        <v>235</v>
      </c>
      <c r="D396" s="82" t="s">
        <v>2513</v>
      </c>
      <c r="E396" s="327" t="s">
        <v>7561</v>
      </c>
      <c r="F396" s="333">
        <v>45217.0</v>
      </c>
      <c r="G396" s="82">
        <v>50.0</v>
      </c>
      <c r="H396" s="326" t="s">
        <v>7626</v>
      </c>
      <c r="I396" s="82">
        <v>50.0</v>
      </c>
      <c r="J396" s="281" t="s">
        <v>971</v>
      </c>
    </row>
    <row r="397" ht="15.0" customHeight="1">
      <c r="A397" s="82" t="s">
        <v>8164</v>
      </c>
      <c r="B397" s="82" t="s">
        <v>182</v>
      </c>
      <c r="C397" s="82" t="s">
        <v>8210</v>
      </c>
      <c r="D397" s="82" t="s">
        <v>2513</v>
      </c>
      <c r="E397" s="327" t="s">
        <v>8211</v>
      </c>
      <c r="F397" s="333">
        <v>45221.0</v>
      </c>
      <c r="G397" s="82">
        <v>50.0</v>
      </c>
      <c r="H397" s="326" t="s">
        <v>7614</v>
      </c>
      <c r="I397" s="82">
        <v>50.0</v>
      </c>
      <c r="J397" s="281" t="s">
        <v>971</v>
      </c>
    </row>
    <row r="398" ht="15.0" customHeight="1">
      <c r="A398" s="82" t="s">
        <v>8164</v>
      </c>
      <c r="B398" s="82" t="s">
        <v>182</v>
      </c>
      <c r="C398" s="82" t="s">
        <v>8195</v>
      </c>
      <c r="D398" s="82" t="s">
        <v>2513</v>
      </c>
      <c r="E398" s="327" t="s">
        <v>8196</v>
      </c>
      <c r="F398" s="325">
        <v>45238.0</v>
      </c>
      <c r="G398" s="82">
        <v>50.0</v>
      </c>
      <c r="H398" s="82" t="s">
        <v>7622</v>
      </c>
      <c r="I398" s="82">
        <v>50.0</v>
      </c>
      <c r="J398" s="281" t="s">
        <v>971</v>
      </c>
    </row>
    <row r="399" ht="15.0" customHeight="1">
      <c r="A399" s="82" t="s">
        <v>8164</v>
      </c>
      <c r="B399" s="82" t="s">
        <v>182</v>
      </c>
      <c r="C399" s="82" t="s">
        <v>8178</v>
      </c>
      <c r="D399" s="82" t="s">
        <v>2513</v>
      </c>
      <c r="E399" s="327" t="s">
        <v>8179</v>
      </c>
      <c r="F399" s="333">
        <v>45238.0</v>
      </c>
      <c r="G399" s="82">
        <v>50.0</v>
      </c>
      <c r="H399" s="82" t="s">
        <v>8180</v>
      </c>
      <c r="I399" s="82">
        <v>50.0</v>
      </c>
      <c r="J399" s="281" t="s">
        <v>971</v>
      </c>
    </row>
    <row r="400" ht="15.0" customHeight="1">
      <c r="A400" s="82" t="s">
        <v>8164</v>
      </c>
      <c r="B400" s="82" t="s">
        <v>182</v>
      </c>
      <c r="C400" s="82" t="s">
        <v>8168</v>
      </c>
      <c r="D400" s="82" t="s">
        <v>2513</v>
      </c>
      <c r="E400" s="327" t="s">
        <v>8169</v>
      </c>
      <c r="F400" s="333">
        <v>45250.0</v>
      </c>
      <c r="G400" s="82">
        <v>50.0</v>
      </c>
      <c r="H400" s="82" t="s">
        <v>7622</v>
      </c>
      <c r="I400" s="82">
        <v>50.0</v>
      </c>
      <c r="J400" s="281" t="s">
        <v>971</v>
      </c>
    </row>
    <row r="401" ht="15.0" customHeight="1">
      <c r="A401" s="82" t="s">
        <v>8164</v>
      </c>
      <c r="B401" s="82" t="s">
        <v>182</v>
      </c>
      <c r="C401" s="82" t="s">
        <v>8168</v>
      </c>
      <c r="D401" s="82" t="s">
        <v>2513</v>
      </c>
      <c r="E401" s="327" t="s">
        <v>8169</v>
      </c>
      <c r="F401" s="333">
        <v>45255.0</v>
      </c>
      <c r="G401" s="82">
        <v>50.0</v>
      </c>
      <c r="H401" s="82" t="s">
        <v>7622</v>
      </c>
      <c r="I401" s="82">
        <v>50.0</v>
      </c>
      <c r="J401" s="281" t="s">
        <v>971</v>
      </c>
    </row>
    <row r="402" ht="15.0" customHeight="1">
      <c r="A402" s="82" t="s">
        <v>8164</v>
      </c>
      <c r="B402" s="82" t="s">
        <v>182</v>
      </c>
      <c r="C402" s="82" t="s">
        <v>982</v>
      </c>
      <c r="D402" s="82" t="s">
        <v>2513</v>
      </c>
      <c r="E402" s="327" t="s">
        <v>8212</v>
      </c>
      <c r="F402" s="333">
        <v>45255.0</v>
      </c>
      <c r="G402" s="82">
        <v>50.0</v>
      </c>
      <c r="H402" s="82" t="s">
        <v>7622</v>
      </c>
      <c r="I402" s="82">
        <v>50.0</v>
      </c>
      <c r="J402" s="281" t="s">
        <v>971</v>
      </c>
    </row>
    <row r="403" ht="15.0" customHeight="1">
      <c r="A403" s="82" t="s">
        <v>8164</v>
      </c>
      <c r="B403" s="82" t="s">
        <v>182</v>
      </c>
      <c r="C403" s="82" t="s">
        <v>8195</v>
      </c>
      <c r="D403" s="82" t="s">
        <v>2513</v>
      </c>
      <c r="E403" s="327" t="s">
        <v>8196</v>
      </c>
      <c r="F403" s="325">
        <v>45259.0</v>
      </c>
      <c r="G403" s="82">
        <v>50.0</v>
      </c>
      <c r="H403" s="82" t="s">
        <v>7622</v>
      </c>
      <c r="I403" s="82">
        <v>50.0</v>
      </c>
      <c r="J403" s="281" t="s">
        <v>971</v>
      </c>
    </row>
    <row r="404" ht="15.0" customHeight="1">
      <c r="A404" s="82" t="s">
        <v>8164</v>
      </c>
      <c r="B404" s="82" t="s">
        <v>182</v>
      </c>
      <c r="C404" s="82" t="s">
        <v>8192</v>
      </c>
      <c r="D404" s="82" t="s">
        <v>2513</v>
      </c>
      <c r="E404" s="327" t="s">
        <v>8193</v>
      </c>
      <c r="F404" s="333">
        <v>45263.0</v>
      </c>
      <c r="G404" s="82">
        <v>50.0</v>
      </c>
      <c r="H404" s="326" t="s">
        <v>8194</v>
      </c>
      <c r="I404" s="82">
        <v>50.0</v>
      </c>
      <c r="J404" s="281" t="s">
        <v>971</v>
      </c>
    </row>
    <row r="405" ht="15.0" customHeight="1">
      <c r="A405" s="82" t="s">
        <v>8164</v>
      </c>
      <c r="B405" s="82" t="s">
        <v>182</v>
      </c>
      <c r="C405" s="82" t="s">
        <v>8178</v>
      </c>
      <c r="D405" s="82" t="s">
        <v>2513</v>
      </c>
      <c r="E405" s="327" t="s">
        <v>8179</v>
      </c>
      <c r="F405" s="333">
        <v>45270.0</v>
      </c>
      <c r="G405" s="82">
        <v>50.0</v>
      </c>
      <c r="H405" s="82" t="s">
        <v>8180</v>
      </c>
      <c r="I405" s="82">
        <v>50.0</v>
      </c>
      <c r="J405" s="281" t="s">
        <v>971</v>
      </c>
    </row>
    <row r="406" ht="15.0" customHeight="1">
      <c r="A406" s="82" t="s">
        <v>8164</v>
      </c>
      <c r="B406" s="82" t="s">
        <v>182</v>
      </c>
      <c r="C406" s="82" t="s">
        <v>8213</v>
      </c>
      <c r="D406" s="82" t="s">
        <v>2513</v>
      </c>
      <c r="E406" s="327" t="s">
        <v>8214</v>
      </c>
      <c r="F406" s="333">
        <v>45270.0</v>
      </c>
      <c r="G406" s="82">
        <v>50.0</v>
      </c>
      <c r="H406" s="82" t="s">
        <v>8180</v>
      </c>
      <c r="I406" s="82">
        <v>50.0</v>
      </c>
      <c r="J406" s="281" t="s">
        <v>971</v>
      </c>
    </row>
    <row r="407" ht="15.0" customHeight="1">
      <c r="A407" s="82" t="s">
        <v>8164</v>
      </c>
      <c r="B407" s="82" t="s">
        <v>182</v>
      </c>
      <c r="C407" s="82" t="s">
        <v>235</v>
      </c>
      <c r="D407" s="82" t="s">
        <v>2513</v>
      </c>
      <c r="E407" s="327" t="s">
        <v>7561</v>
      </c>
      <c r="F407" s="333">
        <v>45279.0</v>
      </c>
      <c r="G407" s="82">
        <v>50.0</v>
      </c>
      <c r="H407" s="326" t="s">
        <v>7626</v>
      </c>
      <c r="I407" s="82">
        <v>50.0</v>
      </c>
      <c r="J407" s="281" t="s">
        <v>971</v>
      </c>
    </row>
    <row r="408" ht="15.0" customHeight="1">
      <c r="A408" s="82" t="s">
        <v>8164</v>
      </c>
      <c r="B408" s="82" t="s">
        <v>182</v>
      </c>
      <c r="C408" s="82" t="s">
        <v>8215</v>
      </c>
      <c r="D408" s="82" t="s">
        <v>890</v>
      </c>
      <c r="E408" s="327" t="s">
        <v>8216</v>
      </c>
      <c r="F408" s="333">
        <v>45283.0</v>
      </c>
      <c r="G408" s="82">
        <v>50.0</v>
      </c>
      <c r="H408" s="326" t="s">
        <v>8187</v>
      </c>
      <c r="I408" s="82">
        <v>50.0</v>
      </c>
      <c r="J408" s="281" t="s">
        <v>971</v>
      </c>
    </row>
    <row r="409" ht="15.0" customHeight="1">
      <c r="A409" s="82" t="s">
        <v>8164</v>
      </c>
      <c r="B409" s="82" t="s">
        <v>182</v>
      </c>
      <c r="C409" s="82" t="s">
        <v>8168</v>
      </c>
      <c r="D409" s="82" t="s">
        <v>2513</v>
      </c>
      <c r="E409" s="327" t="s">
        <v>8169</v>
      </c>
      <c r="F409" s="333">
        <v>45287.0</v>
      </c>
      <c r="G409" s="82">
        <v>50.0</v>
      </c>
      <c r="H409" s="82" t="s">
        <v>7622</v>
      </c>
      <c r="I409" s="82">
        <v>50.0</v>
      </c>
      <c r="J409" s="281" t="s">
        <v>971</v>
      </c>
    </row>
    <row r="410" ht="15.0" customHeight="1">
      <c r="A410" s="82" t="s">
        <v>8164</v>
      </c>
      <c r="B410" s="82" t="s">
        <v>182</v>
      </c>
      <c r="C410" s="82" t="s">
        <v>8178</v>
      </c>
      <c r="D410" s="82" t="s">
        <v>2513</v>
      </c>
      <c r="E410" s="327" t="s">
        <v>8179</v>
      </c>
      <c r="F410" s="333">
        <v>45289.0</v>
      </c>
      <c r="G410" s="82">
        <v>50.0</v>
      </c>
      <c r="H410" s="82" t="s">
        <v>8180</v>
      </c>
      <c r="I410" s="82">
        <v>50.0</v>
      </c>
      <c r="J410" s="281" t="s">
        <v>971</v>
      </c>
    </row>
    <row r="411" ht="15.0" customHeight="1">
      <c r="A411" s="82" t="s">
        <v>8164</v>
      </c>
      <c r="B411" s="82" t="s">
        <v>182</v>
      </c>
      <c r="C411" s="82" t="s">
        <v>8181</v>
      </c>
      <c r="D411" s="82" t="s">
        <v>2513</v>
      </c>
      <c r="E411" s="327" t="s">
        <v>8182</v>
      </c>
      <c r="F411" s="333">
        <v>45289.0</v>
      </c>
      <c r="G411" s="82">
        <v>50.0</v>
      </c>
      <c r="H411" s="82" t="s">
        <v>7614</v>
      </c>
      <c r="I411" s="82">
        <v>50.0</v>
      </c>
      <c r="J411" s="281" t="s">
        <v>971</v>
      </c>
    </row>
    <row r="412" ht="15.0" customHeight="1">
      <c r="A412" s="82" t="s">
        <v>8164</v>
      </c>
      <c r="B412" s="82" t="s">
        <v>182</v>
      </c>
      <c r="C412" s="82" t="s">
        <v>8217</v>
      </c>
      <c r="D412" s="82" t="s">
        <v>2513</v>
      </c>
      <c r="E412" s="327" t="s">
        <v>8218</v>
      </c>
      <c r="F412" s="325">
        <v>45261.0</v>
      </c>
      <c r="G412" s="82">
        <v>50.0</v>
      </c>
      <c r="H412" s="82" t="s">
        <v>8219</v>
      </c>
      <c r="I412" s="82">
        <v>50.0</v>
      </c>
      <c r="J412" s="281" t="s">
        <v>971</v>
      </c>
    </row>
    <row r="413" ht="15.0" customHeight="1">
      <c r="A413" s="82" t="s">
        <v>8164</v>
      </c>
      <c r="B413" s="82" t="s">
        <v>182</v>
      </c>
      <c r="C413" s="82" t="s">
        <v>8217</v>
      </c>
      <c r="D413" s="82" t="s">
        <v>2513</v>
      </c>
      <c r="E413" s="327" t="s">
        <v>8218</v>
      </c>
      <c r="F413" s="325">
        <v>45261.0</v>
      </c>
      <c r="G413" s="82">
        <v>50.0</v>
      </c>
      <c r="H413" s="82" t="s">
        <v>8219</v>
      </c>
      <c r="I413" s="82">
        <v>50.0</v>
      </c>
      <c r="J413" s="281" t="s">
        <v>971</v>
      </c>
    </row>
    <row r="414" ht="15.0" customHeight="1">
      <c r="A414" s="82" t="s">
        <v>8164</v>
      </c>
      <c r="B414" s="82" t="s">
        <v>182</v>
      </c>
      <c r="C414" s="82" t="s">
        <v>8217</v>
      </c>
      <c r="D414" s="82" t="s">
        <v>2513</v>
      </c>
      <c r="E414" s="327" t="s">
        <v>8218</v>
      </c>
      <c r="F414" s="325">
        <v>45261.0</v>
      </c>
      <c r="G414" s="82">
        <v>50.0</v>
      </c>
      <c r="H414" s="82" t="s">
        <v>8219</v>
      </c>
      <c r="I414" s="82">
        <v>50.0</v>
      </c>
      <c r="J414" s="281" t="s">
        <v>971</v>
      </c>
    </row>
    <row r="415" ht="15.0" customHeight="1">
      <c r="A415" s="82" t="s">
        <v>8164</v>
      </c>
      <c r="B415" s="82" t="s">
        <v>182</v>
      </c>
      <c r="C415" s="82" t="s">
        <v>8217</v>
      </c>
      <c r="D415" s="82" t="s">
        <v>2513</v>
      </c>
      <c r="E415" s="327" t="s">
        <v>8218</v>
      </c>
      <c r="F415" s="325">
        <v>45261.0</v>
      </c>
      <c r="G415" s="82">
        <v>50.0</v>
      </c>
      <c r="H415" s="82" t="s">
        <v>8219</v>
      </c>
      <c r="I415" s="82">
        <v>50.0</v>
      </c>
      <c r="J415" s="281" t="s">
        <v>971</v>
      </c>
    </row>
    <row r="416" ht="15.0" customHeight="1">
      <c r="A416" s="82" t="s">
        <v>8164</v>
      </c>
      <c r="B416" s="82" t="s">
        <v>182</v>
      </c>
      <c r="C416" s="82" t="s">
        <v>8217</v>
      </c>
      <c r="D416" s="82" t="s">
        <v>2513</v>
      </c>
      <c r="E416" s="327" t="s">
        <v>8218</v>
      </c>
      <c r="F416" s="325">
        <v>45261.0</v>
      </c>
      <c r="G416" s="82">
        <v>50.0</v>
      </c>
      <c r="H416" s="82" t="s">
        <v>8219</v>
      </c>
      <c r="I416" s="82">
        <v>50.0</v>
      </c>
      <c r="J416" s="281" t="s">
        <v>971</v>
      </c>
    </row>
    <row r="417" ht="15.0" customHeight="1">
      <c r="A417" s="82" t="s">
        <v>8164</v>
      </c>
      <c r="B417" s="82" t="s">
        <v>182</v>
      </c>
      <c r="C417" s="82" t="s">
        <v>8217</v>
      </c>
      <c r="D417" s="82" t="s">
        <v>2513</v>
      </c>
      <c r="E417" s="327" t="s">
        <v>8218</v>
      </c>
      <c r="F417" s="325">
        <v>45261.0</v>
      </c>
      <c r="G417" s="82">
        <v>50.0</v>
      </c>
      <c r="H417" s="82" t="s">
        <v>8219</v>
      </c>
      <c r="I417" s="82">
        <v>50.0</v>
      </c>
      <c r="J417" s="281" t="s">
        <v>971</v>
      </c>
    </row>
    <row r="418" ht="15.0" customHeight="1">
      <c r="A418" s="82" t="s">
        <v>8164</v>
      </c>
      <c r="B418" s="82" t="s">
        <v>182</v>
      </c>
      <c r="C418" s="82" t="s">
        <v>8220</v>
      </c>
      <c r="D418" s="82" t="s">
        <v>8221</v>
      </c>
      <c r="E418" s="327" t="s">
        <v>8222</v>
      </c>
      <c r="F418" s="325" t="s">
        <v>8223</v>
      </c>
      <c r="G418" s="82">
        <v>150.0</v>
      </c>
      <c r="H418" s="82" t="s">
        <v>8224</v>
      </c>
      <c r="I418" s="82">
        <v>150.0</v>
      </c>
      <c r="J418" s="281" t="s">
        <v>971</v>
      </c>
    </row>
    <row r="419" ht="15.0" customHeight="1">
      <c r="A419" s="82" t="s">
        <v>8164</v>
      </c>
      <c r="B419" s="82" t="s">
        <v>182</v>
      </c>
      <c r="C419" s="82" t="s">
        <v>8225</v>
      </c>
      <c r="D419" s="82" t="s">
        <v>8226</v>
      </c>
      <c r="E419" s="327" t="s">
        <v>8227</v>
      </c>
      <c r="F419" s="325" t="s">
        <v>8223</v>
      </c>
      <c r="G419" s="82">
        <v>125.0</v>
      </c>
      <c r="H419" s="82" t="s">
        <v>8228</v>
      </c>
      <c r="I419" s="82">
        <v>125.0</v>
      </c>
      <c r="J419" s="281" t="s">
        <v>971</v>
      </c>
    </row>
    <row r="420" ht="15.0" customHeight="1">
      <c r="A420" s="82" t="s">
        <v>8164</v>
      </c>
      <c r="B420" s="82" t="s">
        <v>182</v>
      </c>
      <c r="C420" s="82" t="s">
        <v>8229</v>
      </c>
      <c r="D420" s="82" t="s">
        <v>8166</v>
      </c>
      <c r="E420" s="327" t="s">
        <v>8230</v>
      </c>
      <c r="F420" s="325" t="s">
        <v>8223</v>
      </c>
      <c r="G420" s="82">
        <v>75.0</v>
      </c>
      <c r="H420" s="82" t="s">
        <v>8231</v>
      </c>
      <c r="I420" s="82">
        <v>75.0</v>
      </c>
      <c r="J420" s="281" t="s">
        <v>971</v>
      </c>
    </row>
    <row r="421" ht="15.0" customHeight="1">
      <c r="A421" s="82" t="s">
        <v>8164</v>
      </c>
      <c r="B421" s="82" t="s">
        <v>182</v>
      </c>
      <c r="C421" s="82" t="s">
        <v>8232</v>
      </c>
      <c r="D421" s="82" t="s">
        <v>8233</v>
      </c>
      <c r="E421" s="327" t="s">
        <v>8234</v>
      </c>
      <c r="F421" s="325" t="s">
        <v>8223</v>
      </c>
      <c r="G421" s="82">
        <v>100.0</v>
      </c>
      <c r="H421" s="82" t="s">
        <v>8235</v>
      </c>
      <c r="I421" s="82">
        <v>100.0</v>
      </c>
      <c r="J421" s="281" t="s">
        <v>971</v>
      </c>
    </row>
    <row r="422" ht="15.0" customHeight="1">
      <c r="A422" s="82" t="s">
        <v>8164</v>
      </c>
      <c r="B422" s="82" t="s">
        <v>182</v>
      </c>
      <c r="C422" s="82" t="s">
        <v>8236</v>
      </c>
      <c r="D422" s="82" t="s">
        <v>8237</v>
      </c>
      <c r="E422" s="327" t="s">
        <v>8238</v>
      </c>
      <c r="F422" s="325" t="s">
        <v>8223</v>
      </c>
      <c r="G422" s="82">
        <v>75.0</v>
      </c>
      <c r="H422" s="82" t="s">
        <v>8231</v>
      </c>
      <c r="I422" s="82">
        <v>75.0</v>
      </c>
      <c r="J422" s="281" t="s">
        <v>971</v>
      </c>
    </row>
    <row r="423" ht="15.0" customHeight="1">
      <c r="A423" s="82" t="s">
        <v>8164</v>
      </c>
      <c r="B423" s="82" t="s">
        <v>182</v>
      </c>
      <c r="C423" s="82" t="s">
        <v>8239</v>
      </c>
      <c r="D423" s="82" t="s">
        <v>8233</v>
      </c>
      <c r="E423" s="327" t="s">
        <v>8240</v>
      </c>
      <c r="F423" s="325" t="s">
        <v>8223</v>
      </c>
      <c r="G423" s="82">
        <v>100.0</v>
      </c>
      <c r="H423" s="82" t="s">
        <v>8235</v>
      </c>
      <c r="I423" s="82">
        <v>100.0</v>
      </c>
      <c r="J423" s="281" t="s">
        <v>971</v>
      </c>
    </row>
    <row r="424" ht="15.0" customHeight="1">
      <c r="A424" s="82" t="s">
        <v>8241</v>
      </c>
      <c r="B424" s="100" t="s">
        <v>94</v>
      </c>
      <c r="C424" s="82" t="s">
        <v>8086</v>
      </c>
      <c r="D424" s="82" t="s">
        <v>1264</v>
      </c>
      <c r="E424" s="327" t="s">
        <v>8242</v>
      </c>
      <c r="F424" s="82">
        <v>2023.0</v>
      </c>
      <c r="G424" s="82">
        <v>100.0</v>
      </c>
      <c r="H424" s="82"/>
      <c r="I424" s="339">
        <v>100.0</v>
      </c>
      <c r="J424" s="281" t="s">
        <v>1047</v>
      </c>
    </row>
    <row r="425" ht="15.0" customHeight="1">
      <c r="A425" s="82" t="s">
        <v>8241</v>
      </c>
      <c r="B425" s="100" t="s">
        <v>94</v>
      </c>
      <c r="C425" s="85" t="s">
        <v>8243</v>
      </c>
      <c r="D425" s="82" t="s">
        <v>1264</v>
      </c>
      <c r="E425" s="331" t="s">
        <v>8244</v>
      </c>
      <c r="F425" s="386" t="s">
        <v>8245</v>
      </c>
      <c r="G425" s="99">
        <v>50.0</v>
      </c>
      <c r="H425" s="185"/>
      <c r="I425" s="339">
        <v>50.0</v>
      </c>
      <c r="J425" s="281" t="s">
        <v>1047</v>
      </c>
    </row>
    <row r="426" ht="15.0" customHeight="1">
      <c r="A426" s="82" t="s">
        <v>8241</v>
      </c>
      <c r="B426" s="100" t="s">
        <v>94</v>
      </c>
      <c r="C426" s="85" t="s">
        <v>8246</v>
      </c>
      <c r="D426" s="82" t="s">
        <v>1264</v>
      </c>
      <c r="E426" s="327" t="s">
        <v>8247</v>
      </c>
      <c r="F426" s="82" t="s">
        <v>8112</v>
      </c>
      <c r="G426" s="99">
        <v>50.0</v>
      </c>
      <c r="H426" s="92"/>
      <c r="I426" s="339">
        <v>50.0</v>
      </c>
      <c r="J426" s="281" t="s">
        <v>1047</v>
      </c>
    </row>
    <row r="427" ht="15.0" customHeight="1">
      <c r="A427" s="82" t="s">
        <v>8241</v>
      </c>
      <c r="B427" s="100" t="s">
        <v>94</v>
      </c>
      <c r="C427" s="85" t="s">
        <v>7913</v>
      </c>
      <c r="D427" s="82" t="s">
        <v>1264</v>
      </c>
      <c r="E427" s="82" t="s">
        <v>8248</v>
      </c>
      <c r="F427" s="82" t="s">
        <v>8249</v>
      </c>
      <c r="G427" s="99">
        <v>50.0</v>
      </c>
      <c r="H427" s="92"/>
      <c r="I427" s="339">
        <v>50.0</v>
      </c>
      <c r="J427" s="281" t="s">
        <v>1047</v>
      </c>
    </row>
    <row r="428" ht="15.0" customHeight="1">
      <c r="A428" s="82" t="s">
        <v>8241</v>
      </c>
      <c r="B428" s="100" t="s">
        <v>94</v>
      </c>
      <c r="C428" s="85" t="s">
        <v>8250</v>
      </c>
      <c r="D428" s="82" t="s">
        <v>1264</v>
      </c>
      <c r="E428" s="82" t="s">
        <v>8251</v>
      </c>
      <c r="F428" s="82" t="s">
        <v>8252</v>
      </c>
      <c r="G428" s="99">
        <v>50.0</v>
      </c>
      <c r="H428" s="92"/>
      <c r="I428" s="339">
        <v>50.0</v>
      </c>
      <c r="J428" s="281" t="s">
        <v>1047</v>
      </c>
    </row>
    <row r="429" ht="15.0" customHeight="1">
      <c r="A429" s="82" t="s">
        <v>8241</v>
      </c>
      <c r="B429" s="100" t="s">
        <v>94</v>
      </c>
      <c r="C429" s="85" t="s">
        <v>319</v>
      </c>
      <c r="D429" s="82" t="s">
        <v>1264</v>
      </c>
      <c r="E429" s="85" t="s">
        <v>8253</v>
      </c>
      <c r="F429" s="85" t="s">
        <v>8254</v>
      </c>
      <c r="G429" s="99">
        <v>50.0</v>
      </c>
      <c r="H429" s="91"/>
      <c r="I429" s="339">
        <v>50.0</v>
      </c>
      <c r="J429" s="281" t="s">
        <v>1047</v>
      </c>
    </row>
    <row r="430" ht="15.0" customHeight="1">
      <c r="A430" s="82" t="s">
        <v>8241</v>
      </c>
      <c r="B430" s="100" t="s">
        <v>94</v>
      </c>
      <c r="C430" s="85" t="s">
        <v>8250</v>
      </c>
      <c r="D430" s="82" t="s">
        <v>1264</v>
      </c>
      <c r="E430" s="327" t="s">
        <v>8255</v>
      </c>
      <c r="F430" s="85" t="s">
        <v>8256</v>
      </c>
      <c r="G430" s="99">
        <v>50.0</v>
      </c>
      <c r="H430" s="91"/>
      <c r="I430" s="339">
        <v>50.0</v>
      </c>
      <c r="J430" s="281" t="s">
        <v>1047</v>
      </c>
    </row>
    <row r="431" ht="15.0" customHeight="1">
      <c r="A431" s="82" t="s">
        <v>8241</v>
      </c>
      <c r="B431" s="100" t="s">
        <v>94</v>
      </c>
      <c r="C431" s="82" t="s">
        <v>8086</v>
      </c>
      <c r="D431" s="82" t="s">
        <v>1264</v>
      </c>
      <c r="E431" s="380" t="s">
        <v>8257</v>
      </c>
      <c r="F431" s="339" t="s">
        <v>8258</v>
      </c>
      <c r="G431" s="339">
        <v>100.0</v>
      </c>
      <c r="H431" s="339"/>
      <c r="I431" s="339">
        <v>100.0</v>
      </c>
      <c r="J431" s="281" t="s">
        <v>1047</v>
      </c>
    </row>
    <row r="432" ht="15.0" customHeight="1">
      <c r="A432" s="82" t="s">
        <v>4343</v>
      </c>
      <c r="B432" s="82" t="s">
        <v>94</v>
      </c>
      <c r="C432" s="82" t="s">
        <v>8259</v>
      </c>
      <c r="D432" s="83" t="s">
        <v>1264</v>
      </c>
      <c r="E432" s="82" t="s">
        <v>8260</v>
      </c>
      <c r="F432" s="82"/>
      <c r="G432" s="82">
        <v>50.0</v>
      </c>
      <c r="H432" s="326"/>
      <c r="I432" s="281">
        <f t="shared" ref="I432:I442" si="7">G432</f>
        <v>50</v>
      </c>
      <c r="J432" s="281" t="s">
        <v>4343</v>
      </c>
    </row>
    <row r="433" ht="15.0" customHeight="1">
      <c r="A433" s="82" t="s">
        <v>4343</v>
      </c>
      <c r="B433" s="82" t="s">
        <v>94</v>
      </c>
      <c r="C433" s="82" t="s">
        <v>8261</v>
      </c>
      <c r="D433" s="83" t="s">
        <v>1264</v>
      </c>
      <c r="E433" s="82" t="s">
        <v>8262</v>
      </c>
      <c r="F433" s="82"/>
      <c r="G433" s="82">
        <v>50.0</v>
      </c>
      <c r="H433" s="326"/>
      <c r="I433" s="281">
        <f t="shared" si="7"/>
        <v>50</v>
      </c>
      <c r="J433" s="281" t="s">
        <v>4343</v>
      </c>
    </row>
    <row r="434" ht="15.0" customHeight="1">
      <c r="A434" s="82" t="s">
        <v>4343</v>
      </c>
      <c r="B434" s="82" t="s">
        <v>94</v>
      </c>
      <c r="C434" s="82" t="s">
        <v>8263</v>
      </c>
      <c r="D434" s="83" t="s">
        <v>1264</v>
      </c>
      <c r="E434" s="82" t="s">
        <v>8264</v>
      </c>
      <c r="F434" s="82"/>
      <c r="G434" s="82">
        <v>50.0</v>
      </c>
      <c r="H434" s="326"/>
      <c r="I434" s="281">
        <f t="shared" si="7"/>
        <v>50</v>
      </c>
      <c r="J434" s="281" t="s">
        <v>4343</v>
      </c>
    </row>
    <row r="435" ht="15.0" customHeight="1">
      <c r="A435" s="82" t="s">
        <v>4343</v>
      </c>
      <c r="B435" s="82" t="s">
        <v>94</v>
      </c>
      <c r="C435" s="82" t="s">
        <v>319</v>
      </c>
      <c r="D435" s="83" t="s">
        <v>1264</v>
      </c>
      <c r="E435" s="82" t="s">
        <v>7805</v>
      </c>
      <c r="F435" s="82"/>
      <c r="G435" s="82">
        <v>50.0</v>
      </c>
      <c r="H435" s="326"/>
      <c r="I435" s="281">
        <f t="shared" si="7"/>
        <v>50</v>
      </c>
      <c r="J435" s="281" t="s">
        <v>4343</v>
      </c>
    </row>
    <row r="436" ht="15.0" customHeight="1">
      <c r="A436" s="82" t="s">
        <v>4343</v>
      </c>
      <c r="B436" s="82" t="s">
        <v>94</v>
      </c>
      <c r="C436" s="82" t="s">
        <v>8265</v>
      </c>
      <c r="D436" s="83" t="s">
        <v>1264</v>
      </c>
      <c r="E436" s="82" t="s">
        <v>8266</v>
      </c>
      <c r="F436" s="82"/>
      <c r="G436" s="82">
        <v>50.0</v>
      </c>
      <c r="H436" s="326"/>
      <c r="I436" s="281">
        <f t="shared" si="7"/>
        <v>50</v>
      </c>
      <c r="J436" s="281" t="s">
        <v>4343</v>
      </c>
    </row>
    <row r="437" ht="15.0" customHeight="1">
      <c r="A437" s="82" t="s">
        <v>4343</v>
      </c>
      <c r="B437" s="82" t="s">
        <v>94</v>
      </c>
      <c r="C437" s="82" t="s">
        <v>328</v>
      </c>
      <c r="D437" s="83" t="s">
        <v>1264</v>
      </c>
      <c r="E437" s="82" t="s">
        <v>7957</v>
      </c>
      <c r="F437" s="82"/>
      <c r="G437" s="82">
        <v>50.0</v>
      </c>
      <c r="H437" s="326"/>
      <c r="I437" s="281">
        <f t="shared" si="7"/>
        <v>50</v>
      </c>
      <c r="J437" s="281" t="s">
        <v>4343</v>
      </c>
    </row>
    <row r="438" ht="15.0" customHeight="1">
      <c r="A438" s="82" t="s">
        <v>4343</v>
      </c>
      <c r="B438" s="82" t="s">
        <v>94</v>
      </c>
      <c r="C438" s="82" t="s">
        <v>8267</v>
      </c>
      <c r="D438" s="83" t="s">
        <v>1264</v>
      </c>
      <c r="E438" s="82" t="s">
        <v>8268</v>
      </c>
      <c r="F438" s="82"/>
      <c r="G438" s="82">
        <v>50.0</v>
      </c>
      <c r="H438" s="326"/>
      <c r="I438" s="281">
        <f t="shared" si="7"/>
        <v>50</v>
      </c>
      <c r="J438" s="281" t="s">
        <v>4343</v>
      </c>
    </row>
    <row r="439" ht="15.0" customHeight="1">
      <c r="A439" s="82" t="s">
        <v>4343</v>
      </c>
      <c r="B439" s="82" t="s">
        <v>94</v>
      </c>
      <c r="C439" s="82" t="s">
        <v>319</v>
      </c>
      <c r="D439" s="83" t="s">
        <v>1264</v>
      </c>
      <c r="E439" s="82" t="s">
        <v>7805</v>
      </c>
      <c r="F439" s="82"/>
      <c r="G439" s="82">
        <v>50.0</v>
      </c>
      <c r="H439" s="326"/>
      <c r="I439" s="281">
        <f t="shared" si="7"/>
        <v>50</v>
      </c>
      <c r="J439" s="281" t="s">
        <v>4343</v>
      </c>
    </row>
    <row r="440" ht="15.0" customHeight="1">
      <c r="A440" s="82" t="s">
        <v>4343</v>
      </c>
      <c r="B440" s="82" t="s">
        <v>94</v>
      </c>
      <c r="C440" s="82" t="s">
        <v>8269</v>
      </c>
      <c r="D440" s="83" t="s">
        <v>1264</v>
      </c>
      <c r="E440" s="82" t="s">
        <v>8270</v>
      </c>
      <c r="F440" s="82"/>
      <c r="G440" s="82">
        <v>50.0</v>
      </c>
      <c r="H440" s="326"/>
      <c r="I440" s="281">
        <f t="shared" si="7"/>
        <v>50</v>
      </c>
      <c r="J440" s="281" t="s">
        <v>4343</v>
      </c>
    </row>
    <row r="441" ht="15.0" customHeight="1">
      <c r="A441" s="82" t="s">
        <v>4343</v>
      </c>
      <c r="B441" s="82" t="s">
        <v>94</v>
      </c>
      <c r="C441" s="82" t="s">
        <v>8261</v>
      </c>
      <c r="D441" s="83" t="s">
        <v>1264</v>
      </c>
      <c r="E441" s="82" t="s">
        <v>8262</v>
      </c>
      <c r="F441" s="82"/>
      <c r="G441" s="82">
        <v>50.0</v>
      </c>
      <c r="H441" s="326"/>
      <c r="I441" s="281">
        <f t="shared" si="7"/>
        <v>50</v>
      </c>
      <c r="J441" s="281" t="s">
        <v>4343</v>
      </c>
    </row>
    <row r="442" ht="15.0" customHeight="1">
      <c r="A442" s="82" t="s">
        <v>4343</v>
      </c>
      <c r="B442" s="82" t="s">
        <v>94</v>
      </c>
      <c r="C442" s="82" t="s">
        <v>8265</v>
      </c>
      <c r="D442" s="83" t="s">
        <v>1264</v>
      </c>
      <c r="E442" s="82" t="s">
        <v>8266</v>
      </c>
      <c r="F442" s="82"/>
      <c r="G442" s="82">
        <v>50.0</v>
      </c>
      <c r="H442" s="326"/>
      <c r="I442" s="281">
        <f t="shared" si="7"/>
        <v>50</v>
      </c>
      <c r="J442" s="281" t="s">
        <v>4343</v>
      </c>
    </row>
    <row r="443" ht="15.0" customHeight="1">
      <c r="A443" s="82" t="s">
        <v>1057</v>
      </c>
      <c r="B443" s="82" t="s">
        <v>147</v>
      </c>
      <c r="C443" s="82" t="s">
        <v>8271</v>
      </c>
      <c r="D443" s="82" t="s">
        <v>8272</v>
      </c>
      <c r="E443" s="82" t="s">
        <v>8273</v>
      </c>
      <c r="F443" s="82"/>
      <c r="G443" s="82">
        <v>100.0</v>
      </c>
      <c r="H443" s="326" t="s">
        <v>8274</v>
      </c>
      <c r="I443" s="387">
        <v>100.0</v>
      </c>
      <c r="J443" s="281" t="s">
        <v>153</v>
      </c>
    </row>
    <row r="444" ht="15.0" customHeight="1">
      <c r="A444" s="85" t="s">
        <v>1057</v>
      </c>
      <c r="B444" s="85" t="s">
        <v>147</v>
      </c>
      <c r="C444" s="85" t="s">
        <v>8275</v>
      </c>
      <c r="D444" s="78" t="s">
        <v>8276</v>
      </c>
      <c r="E444" s="78" t="s">
        <v>8277</v>
      </c>
      <c r="F444" s="78"/>
      <c r="G444" s="99">
        <v>100.0</v>
      </c>
      <c r="H444" s="332" t="s">
        <v>8274</v>
      </c>
      <c r="I444" s="387">
        <v>100.0</v>
      </c>
      <c r="J444" s="281" t="s">
        <v>153</v>
      </c>
    </row>
    <row r="445" ht="15.0" customHeight="1">
      <c r="A445" s="85" t="s">
        <v>1057</v>
      </c>
      <c r="B445" s="85" t="s">
        <v>147</v>
      </c>
      <c r="C445" s="85" t="s">
        <v>8278</v>
      </c>
      <c r="D445" s="78" t="s">
        <v>8279</v>
      </c>
      <c r="E445" s="78" t="s">
        <v>8280</v>
      </c>
      <c r="F445" s="78"/>
      <c r="G445" s="99">
        <v>50.0</v>
      </c>
      <c r="H445" s="332" t="s">
        <v>8281</v>
      </c>
      <c r="I445" s="387">
        <v>50.0</v>
      </c>
      <c r="J445" s="281" t="s">
        <v>153</v>
      </c>
    </row>
    <row r="446" ht="15.0" customHeight="1">
      <c r="A446" s="85" t="s">
        <v>1057</v>
      </c>
      <c r="B446" s="85" t="s">
        <v>147</v>
      </c>
      <c r="C446" s="85" t="s">
        <v>5223</v>
      </c>
      <c r="D446" s="78" t="s">
        <v>8282</v>
      </c>
      <c r="E446" s="78" t="s">
        <v>8283</v>
      </c>
      <c r="F446" s="78"/>
      <c r="G446" s="99">
        <v>50.0</v>
      </c>
      <c r="H446" s="332" t="s">
        <v>8281</v>
      </c>
      <c r="I446" s="387">
        <v>50.0</v>
      </c>
      <c r="J446" s="281" t="s">
        <v>153</v>
      </c>
    </row>
    <row r="447" ht="15.0" customHeight="1">
      <c r="A447" s="85" t="s">
        <v>1057</v>
      </c>
      <c r="B447" s="85" t="s">
        <v>147</v>
      </c>
      <c r="C447" s="85" t="s">
        <v>8284</v>
      </c>
      <c r="D447" s="78" t="s">
        <v>8285</v>
      </c>
      <c r="E447" s="78" t="s">
        <v>8286</v>
      </c>
      <c r="F447" s="78"/>
      <c r="G447" s="99">
        <v>200.0</v>
      </c>
      <c r="H447" s="332" t="s">
        <v>8274</v>
      </c>
      <c r="I447" s="387">
        <v>200.0</v>
      </c>
      <c r="J447" s="281" t="s">
        <v>153</v>
      </c>
    </row>
    <row r="448" ht="15.0" customHeight="1">
      <c r="A448" s="85" t="s">
        <v>1057</v>
      </c>
      <c r="B448" s="85" t="s">
        <v>147</v>
      </c>
      <c r="C448" s="85" t="s">
        <v>8287</v>
      </c>
      <c r="D448" s="78" t="s">
        <v>8288</v>
      </c>
      <c r="E448" s="78" t="s">
        <v>8289</v>
      </c>
      <c r="F448" s="78"/>
      <c r="G448" s="99">
        <v>75.0</v>
      </c>
      <c r="H448" s="332" t="s">
        <v>8290</v>
      </c>
      <c r="I448" s="387">
        <v>75.0</v>
      </c>
      <c r="J448" s="281" t="s">
        <v>153</v>
      </c>
    </row>
    <row r="449" ht="15.0" customHeight="1">
      <c r="A449" s="85" t="s">
        <v>8291</v>
      </c>
      <c r="B449" s="85" t="s">
        <v>147</v>
      </c>
      <c r="C449" s="85" t="s">
        <v>8292</v>
      </c>
      <c r="D449" s="78" t="s">
        <v>1264</v>
      </c>
      <c r="E449" s="78" t="s">
        <v>8293</v>
      </c>
      <c r="F449" s="78" t="s">
        <v>8294</v>
      </c>
      <c r="G449" s="99">
        <v>50.0</v>
      </c>
      <c r="H449" s="332"/>
      <c r="I449" s="387">
        <v>50.0</v>
      </c>
      <c r="J449" s="281" t="s">
        <v>153</v>
      </c>
    </row>
    <row r="450" ht="15.0" customHeight="1">
      <c r="A450" s="85" t="s">
        <v>8291</v>
      </c>
      <c r="B450" s="85" t="s">
        <v>147</v>
      </c>
      <c r="C450" s="85" t="s">
        <v>8295</v>
      </c>
      <c r="D450" s="78" t="s">
        <v>1264</v>
      </c>
      <c r="E450" s="78" t="s">
        <v>8296</v>
      </c>
      <c r="F450" s="78" t="s">
        <v>8297</v>
      </c>
      <c r="G450" s="99">
        <v>50.0</v>
      </c>
      <c r="H450" s="332"/>
      <c r="I450" s="387">
        <v>50.0</v>
      </c>
      <c r="J450" s="281" t="s">
        <v>153</v>
      </c>
    </row>
    <row r="451" ht="15.0" customHeight="1">
      <c r="A451" s="85" t="s">
        <v>8291</v>
      </c>
      <c r="B451" s="85" t="s">
        <v>147</v>
      </c>
      <c r="C451" s="85" t="s">
        <v>1050</v>
      </c>
      <c r="D451" s="78" t="s">
        <v>1264</v>
      </c>
      <c r="E451" s="78" t="s">
        <v>8298</v>
      </c>
      <c r="F451" s="78" t="s">
        <v>8299</v>
      </c>
      <c r="G451" s="99">
        <v>50.0</v>
      </c>
      <c r="H451" s="332"/>
      <c r="I451" s="387">
        <v>50.0</v>
      </c>
      <c r="J451" s="281" t="s">
        <v>153</v>
      </c>
    </row>
    <row r="452" ht="15.0" customHeight="1">
      <c r="A452" s="85" t="s">
        <v>8291</v>
      </c>
      <c r="B452" s="85" t="s">
        <v>147</v>
      </c>
      <c r="C452" s="85" t="s">
        <v>701</v>
      </c>
      <c r="D452" s="78" t="s">
        <v>1264</v>
      </c>
      <c r="E452" s="78" t="s">
        <v>7812</v>
      </c>
      <c r="F452" s="78" t="s">
        <v>8300</v>
      </c>
      <c r="G452" s="99">
        <v>50.0</v>
      </c>
      <c r="H452" s="332"/>
      <c r="I452" s="387">
        <v>50.0</v>
      </c>
      <c r="J452" s="281" t="s">
        <v>153</v>
      </c>
    </row>
    <row r="453" ht="15.0" customHeight="1">
      <c r="A453" s="85" t="s">
        <v>8291</v>
      </c>
      <c r="B453" s="85" t="s">
        <v>147</v>
      </c>
      <c r="C453" s="85" t="s">
        <v>8301</v>
      </c>
      <c r="D453" s="78" t="s">
        <v>1264</v>
      </c>
      <c r="E453" s="78" t="s">
        <v>8302</v>
      </c>
      <c r="F453" s="78" t="s">
        <v>8303</v>
      </c>
      <c r="G453" s="99">
        <v>50.0</v>
      </c>
      <c r="H453" s="332"/>
      <c r="I453" s="387">
        <v>50.0</v>
      </c>
      <c r="J453" s="281" t="s">
        <v>153</v>
      </c>
    </row>
    <row r="454" ht="15.0" customHeight="1">
      <c r="A454" s="85" t="s">
        <v>8304</v>
      </c>
      <c r="B454" s="85" t="s">
        <v>147</v>
      </c>
      <c r="C454" s="85" t="s">
        <v>8305</v>
      </c>
      <c r="D454" s="78" t="s">
        <v>8306</v>
      </c>
      <c r="E454" s="78"/>
      <c r="F454" s="78" t="s">
        <v>8307</v>
      </c>
      <c r="G454" s="99">
        <v>10.0</v>
      </c>
      <c r="H454" s="332" t="s">
        <v>8308</v>
      </c>
      <c r="I454" s="387">
        <v>10.0</v>
      </c>
      <c r="J454" s="281" t="s">
        <v>149</v>
      </c>
    </row>
    <row r="455" ht="15.0" customHeight="1">
      <c r="A455" s="85" t="s">
        <v>8304</v>
      </c>
      <c r="B455" s="85" t="s">
        <v>147</v>
      </c>
      <c r="C455" s="85" t="s">
        <v>5589</v>
      </c>
      <c r="D455" s="78" t="s">
        <v>5599</v>
      </c>
      <c r="E455" s="78" t="s">
        <v>8309</v>
      </c>
      <c r="F455" s="78" t="s">
        <v>7604</v>
      </c>
      <c r="G455" s="99">
        <v>50.0</v>
      </c>
      <c r="H455" s="332" t="s">
        <v>8310</v>
      </c>
      <c r="I455" s="387">
        <v>50.0</v>
      </c>
      <c r="J455" s="281" t="s">
        <v>149</v>
      </c>
    </row>
    <row r="456" ht="15.0" customHeight="1">
      <c r="A456" s="85" t="s">
        <v>8304</v>
      </c>
      <c r="B456" s="85" t="s">
        <v>147</v>
      </c>
      <c r="C456" s="85" t="s">
        <v>8311</v>
      </c>
      <c r="D456" s="78" t="s">
        <v>1264</v>
      </c>
      <c r="E456" s="78" t="s">
        <v>8312</v>
      </c>
      <c r="F456" s="78"/>
      <c r="G456" s="99" t="s">
        <v>8313</v>
      </c>
      <c r="H456" s="332" t="s">
        <v>7655</v>
      </c>
      <c r="I456" s="387">
        <v>300.0</v>
      </c>
      <c r="J456" s="281" t="s">
        <v>149</v>
      </c>
    </row>
    <row r="457" ht="15.0" customHeight="1">
      <c r="A457" s="85" t="s">
        <v>8304</v>
      </c>
      <c r="B457" s="85" t="s">
        <v>147</v>
      </c>
      <c r="C457" s="85" t="s">
        <v>8314</v>
      </c>
      <c r="D457" s="78" t="s">
        <v>1264</v>
      </c>
      <c r="E457" s="78"/>
      <c r="F457" s="78" t="s">
        <v>8315</v>
      </c>
      <c r="G457" s="99" t="s">
        <v>7635</v>
      </c>
      <c r="H457" s="332" t="s">
        <v>8316</v>
      </c>
      <c r="I457" s="387">
        <v>50.0</v>
      </c>
      <c r="J457" s="281" t="s">
        <v>149</v>
      </c>
    </row>
    <row r="458" ht="15.0" customHeight="1">
      <c r="A458" s="85" t="s">
        <v>8317</v>
      </c>
      <c r="B458" s="85" t="s">
        <v>147</v>
      </c>
      <c r="C458" s="85" t="s">
        <v>328</v>
      </c>
      <c r="D458" s="78" t="s">
        <v>8318</v>
      </c>
      <c r="E458" s="78" t="s">
        <v>7564</v>
      </c>
      <c r="F458" s="78" t="s">
        <v>7596</v>
      </c>
      <c r="G458" s="99" t="s">
        <v>8046</v>
      </c>
      <c r="H458" s="332"/>
      <c r="I458" s="387">
        <v>50.0</v>
      </c>
      <c r="J458" s="281" t="s">
        <v>150</v>
      </c>
    </row>
    <row r="459" ht="15.0" customHeight="1">
      <c r="A459" s="85" t="s">
        <v>8319</v>
      </c>
      <c r="B459" s="85" t="s">
        <v>147</v>
      </c>
      <c r="C459" s="85" t="s">
        <v>8320</v>
      </c>
      <c r="D459" s="78" t="s">
        <v>1264</v>
      </c>
      <c r="E459" s="78" t="s">
        <v>8321</v>
      </c>
      <c r="F459" s="333">
        <v>44938.0</v>
      </c>
      <c r="G459" s="99">
        <v>10.0</v>
      </c>
      <c r="H459" s="332"/>
      <c r="I459" s="387">
        <v>50.0</v>
      </c>
      <c r="J459" s="281" t="s">
        <v>4738</v>
      </c>
    </row>
    <row r="460" ht="15.0" customHeight="1">
      <c r="A460" s="85" t="s">
        <v>156</v>
      </c>
      <c r="B460" s="85" t="s">
        <v>147</v>
      </c>
      <c r="C460" s="85" t="s">
        <v>5599</v>
      </c>
      <c r="D460" s="78" t="s">
        <v>5582</v>
      </c>
      <c r="E460" s="78" t="s">
        <v>8322</v>
      </c>
      <c r="F460" s="78"/>
      <c r="G460" s="99">
        <v>50.0</v>
      </c>
      <c r="H460" s="332">
        <v>1.0</v>
      </c>
      <c r="I460" s="387">
        <v>50.0</v>
      </c>
      <c r="J460" s="281" t="s">
        <v>156</v>
      </c>
    </row>
    <row r="461" ht="15.0" customHeight="1">
      <c r="A461" s="85" t="s">
        <v>8323</v>
      </c>
      <c r="B461" s="85" t="s">
        <v>147</v>
      </c>
      <c r="C461" s="85" t="s">
        <v>5599</v>
      </c>
      <c r="D461" s="78" t="s">
        <v>8324</v>
      </c>
      <c r="E461" s="78" t="s">
        <v>8322</v>
      </c>
      <c r="F461" s="78" t="s">
        <v>8325</v>
      </c>
      <c r="G461" s="99">
        <v>100.0</v>
      </c>
      <c r="H461" s="332">
        <v>1.0</v>
      </c>
      <c r="I461" s="387">
        <v>100.0</v>
      </c>
      <c r="J461" s="281" t="s">
        <v>4845</v>
      </c>
    </row>
    <row r="462" ht="15.0" customHeight="1">
      <c r="A462" s="85" t="s">
        <v>8326</v>
      </c>
      <c r="B462" s="85" t="s">
        <v>147</v>
      </c>
      <c r="C462" s="85" t="s">
        <v>5611</v>
      </c>
      <c r="D462" s="78" t="s">
        <v>7057</v>
      </c>
      <c r="E462" s="78"/>
      <c r="F462" s="78" t="s">
        <v>7842</v>
      </c>
      <c r="G462" s="99">
        <v>10.0</v>
      </c>
      <c r="H462" s="332"/>
      <c r="I462" s="387">
        <v>10.0</v>
      </c>
      <c r="J462" s="281" t="s">
        <v>4845</v>
      </c>
    </row>
    <row r="463" ht="15.0" customHeight="1">
      <c r="A463" s="85" t="s">
        <v>8326</v>
      </c>
      <c r="B463" s="85" t="s">
        <v>147</v>
      </c>
      <c r="C463" s="85" t="s">
        <v>5611</v>
      </c>
      <c r="D463" s="78" t="s">
        <v>7057</v>
      </c>
      <c r="E463" s="78"/>
      <c r="F463" s="78" t="s">
        <v>8327</v>
      </c>
      <c r="G463" s="99">
        <v>10.0</v>
      </c>
      <c r="H463" s="332"/>
      <c r="I463" s="387">
        <v>10.0</v>
      </c>
      <c r="J463" s="281" t="s">
        <v>4845</v>
      </c>
    </row>
    <row r="464" ht="15.0" customHeight="1">
      <c r="A464" s="85" t="s">
        <v>8328</v>
      </c>
      <c r="B464" s="85" t="s">
        <v>147</v>
      </c>
      <c r="C464" s="85" t="s">
        <v>5599</v>
      </c>
      <c r="D464" s="78" t="s">
        <v>8324</v>
      </c>
      <c r="E464" s="78" t="s">
        <v>8322</v>
      </c>
      <c r="F464" s="78"/>
      <c r="G464" s="99">
        <v>50.0</v>
      </c>
      <c r="H464" s="332">
        <v>1.0</v>
      </c>
      <c r="I464" s="387">
        <v>50.0</v>
      </c>
      <c r="J464" s="281" t="s">
        <v>158</v>
      </c>
    </row>
    <row r="465" ht="15.0" customHeight="1">
      <c r="A465" s="85" t="s">
        <v>8328</v>
      </c>
      <c r="B465" s="85" t="s">
        <v>147</v>
      </c>
      <c r="C465" s="85" t="s">
        <v>8329</v>
      </c>
      <c r="D465" s="78" t="s">
        <v>1184</v>
      </c>
      <c r="E465" s="78" t="s">
        <v>8330</v>
      </c>
      <c r="F465" s="78" t="s">
        <v>8331</v>
      </c>
      <c r="G465" s="99">
        <v>10.0</v>
      </c>
      <c r="H465" s="332">
        <v>1.0</v>
      </c>
      <c r="I465" s="387">
        <v>10.0</v>
      </c>
      <c r="J465" s="281" t="s">
        <v>158</v>
      </c>
    </row>
    <row r="466" ht="15.0" customHeight="1">
      <c r="A466" s="85" t="s">
        <v>8328</v>
      </c>
      <c r="B466" s="85" t="s">
        <v>147</v>
      </c>
      <c r="C466" s="85" t="s">
        <v>8329</v>
      </c>
      <c r="D466" s="78" t="s">
        <v>1184</v>
      </c>
      <c r="E466" s="78" t="s">
        <v>8330</v>
      </c>
      <c r="F466" s="78" t="s">
        <v>7842</v>
      </c>
      <c r="G466" s="99">
        <v>10.0</v>
      </c>
      <c r="H466" s="332">
        <v>1.0</v>
      </c>
      <c r="I466" s="387">
        <v>10.0</v>
      </c>
      <c r="J466" s="281" t="s">
        <v>158</v>
      </c>
    </row>
    <row r="467" ht="15.0" customHeight="1">
      <c r="A467" s="85" t="s">
        <v>1144</v>
      </c>
      <c r="B467" s="85" t="s">
        <v>147</v>
      </c>
      <c r="C467" s="85" t="s">
        <v>8332</v>
      </c>
      <c r="D467" s="78" t="s">
        <v>8333</v>
      </c>
      <c r="E467" s="78" t="s">
        <v>8273</v>
      </c>
      <c r="F467" s="78" t="s">
        <v>8334</v>
      </c>
      <c r="G467" s="99">
        <v>50.0</v>
      </c>
      <c r="H467" s="332" t="s">
        <v>8163</v>
      </c>
      <c r="I467" s="387">
        <v>50.0</v>
      </c>
      <c r="J467" s="281" t="s">
        <v>159</v>
      </c>
    </row>
    <row r="468" ht="15.0" customHeight="1">
      <c r="A468" s="85" t="s">
        <v>1144</v>
      </c>
      <c r="B468" s="85" t="s">
        <v>147</v>
      </c>
      <c r="C468" s="85" t="s">
        <v>8335</v>
      </c>
      <c r="D468" s="78" t="s">
        <v>7362</v>
      </c>
      <c r="E468" s="78" t="s">
        <v>8336</v>
      </c>
      <c r="F468" s="78" t="s">
        <v>8334</v>
      </c>
      <c r="G468" s="99">
        <v>50.0</v>
      </c>
      <c r="H468" s="332" t="s">
        <v>8163</v>
      </c>
      <c r="I468" s="387">
        <v>50.0</v>
      </c>
      <c r="J468" s="281" t="s">
        <v>159</v>
      </c>
    </row>
    <row r="469" ht="15.0" customHeight="1">
      <c r="A469" s="85" t="s">
        <v>1144</v>
      </c>
      <c r="B469" s="85" t="s">
        <v>147</v>
      </c>
      <c r="C469" s="85" t="s">
        <v>8337</v>
      </c>
      <c r="D469" s="78" t="s">
        <v>8338</v>
      </c>
      <c r="E469" s="78" t="s">
        <v>8339</v>
      </c>
      <c r="F469" s="78"/>
      <c r="G469" s="99">
        <v>200.0</v>
      </c>
      <c r="H469" s="332" t="s">
        <v>8340</v>
      </c>
      <c r="I469" s="387">
        <v>300.0</v>
      </c>
      <c r="J469" s="281" t="s">
        <v>159</v>
      </c>
    </row>
    <row r="470" ht="15.0" customHeight="1">
      <c r="A470" s="85" t="s">
        <v>1144</v>
      </c>
      <c r="B470" s="85" t="s">
        <v>147</v>
      </c>
      <c r="C470" s="85" t="s">
        <v>8341</v>
      </c>
      <c r="D470" s="78" t="s">
        <v>1264</v>
      </c>
      <c r="E470" s="78" t="s">
        <v>8342</v>
      </c>
      <c r="F470" s="78" t="s">
        <v>8343</v>
      </c>
      <c r="G470" s="99">
        <v>50.0</v>
      </c>
      <c r="H470" s="332" t="s">
        <v>8344</v>
      </c>
      <c r="I470" s="387">
        <v>50.0</v>
      </c>
      <c r="J470" s="281" t="s">
        <v>159</v>
      </c>
    </row>
    <row r="471" ht="15.0" customHeight="1">
      <c r="A471" s="85" t="s">
        <v>1144</v>
      </c>
      <c r="B471" s="85" t="s">
        <v>147</v>
      </c>
      <c r="C471" s="85" t="s">
        <v>8345</v>
      </c>
      <c r="D471" s="78" t="s">
        <v>1264</v>
      </c>
      <c r="E471" s="78" t="s">
        <v>8346</v>
      </c>
      <c r="F471" s="78" t="s">
        <v>8347</v>
      </c>
      <c r="G471" s="99">
        <v>50.0</v>
      </c>
      <c r="H471" s="332" t="s">
        <v>8348</v>
      </c>
      <c r="I471" s="387">
        <v>50.0</v>
      </c>
      <c r="J471" s="281" t="s">
        <v>159</v>
      </c>
    </row>
    <row r="472" ht="15.0" customHeight="1">
      <c r="A472" s="85" t="s">
        <v>1144</v>
      </c>
      <c r="B472" s="85" t="s">
        <v>147</v>
      </c>
      <c r="C472" s="85" t="s">
        <v>8349</v>
      </c>
      <c r="D472" s="78" t="s">
        <v>1264</v>
      </c>
      <c r="E472" s="78" t="s">
        <v>8350</v>
      </c>
      <c r="F472" s="78" t="s">
        <v>8351</v>
      </c>
      <c r="G472" s="99">
        <v>50.0</v>
      </c>
      <c r="H472" s="332" t="s">
        <v>8340</v>
      </c>
      <c r="I472" s="387">
        <v>50.0</v>
      </c>
      <c r="J472" s="281" t="s">
        <v>159</v>
      </c>
    </row>
    <row r="473" ht="15.0" customHeight="1">
      <c r="A473" s="85" t="s">
        <v>1144</v>
      </c>
      <c r="B473" s="85" t="s">
        <v>147</v>
      </c>
      <c r="C473" s="85" t="s">
        <v>7594</v>
      </c>
      <c r="D473" s="78" t="s">
        <v>1264</v>
      </c>
      <c r="E473" s="78" t="s">
        <v>7550</v>
      </c>
      <c r="F473" s="78" t="s">
        <v>8352</v>
      </c>
      <c r="G473" s="99">
        <v>50.0</v>
      </c>
      <c r="H473" s="332" t="s">
        <v>8353</v>
      </c>
      <c r="I473" s="387">
        <v>50.0</v>
      </c>
      <c r="J473" s="281" t="s">
        <v>159</v>
      </c>
    </row>
    <row r="474" ht="15.0" customHeight="1">
      <c r="A474" s="85" t="s">
        <v>1144</v>
      </c>
      <c r="B474" s="85" t="s">
        <v>147</v>
      </c>
      <c r="C474" s="85" t="s">
        <v>8354</v>
      </c>
      <c r="D474" s="78" t="s">
        <v>1264</v>
      </c>
      <c r="E474" s="78" t="s">
        <v>8355</v>
      </c>
      <c r="F474" s="78" t="s">
        <v>8356</v>
      </c>
      <c r="G474" s="99">
        <v>50.0</v>
      </c>
      <c r="H474" s="332" t="s">
        <v>8340</v>
      </c>
      <c r="I474" s="387">
        <v>50.0</v>
      </c>
      <c r="J474" s="281" t="s">
        <v>159</v>
      </c>
    </row>
    <row r="475" ht="15.0" customHeight="1">
      <c r="A475" s="85" t="s">
        <v>1144</v>
      </c>
      <c r="B475" s="85" t="s">
        <v>147</v>
      </c>
      <c r="C475" s="85" t="s">
        <v>8357</v>
      </c>
      <c r="D475" s="78" t="s">
        <v>1264</v>
      </c>
      <c r="E475" s="78" t="s">
        <v>8358</v>
      </c>
      <c r="F475" s="78" t="s">
        <v>8359</v>
      </c>
      <c r="G475" s="99">
        <v>50.0</v>
      </c>
      <c r="H475" s="332" t="s">
        <v>8340</v>
      </c>
      <c r="I475" s="387">
        <v>50.0</v>
      </c>
      <c r="J475" s="281" t="s">
        <v>159</v>
      </c>
    </row>
    <row r="476" ht="15.0" customHeight="1">
      <c r="A476" s="85" t="s">
        <v>8360</v>
      </c>
      <c r="B476" s="85" t="s">
        <v>147</v>
      </c>
      <c r="C476" s="85" t="s">
        <v>8361</v>
      </c>
      <c r="D476" s="78" t="s">
        <v>5227</v>
      </c>
      <c r="E476" s="78" t="s">
        <v>8362</v>
      </c>
      <c r="F476" s="78" t="s">
        <v>8249</v>
      </c>
      <c r="G476" s="99">
        <v>10.0</v>
      </c>
      <c r="H476" s="332" t="s">
        <v>8363</v>
      </c>
      <c r="I476" s="387">
        <v>10.0</v>
      </c>
      <c r="J476" s="281" t="s">
        <v>161</v>
      </c>
    </row>
    <row r="477" ht="15.0" customHeight="1">
      <c r="A477" s="85" t="s">
        <v>8360</v>
      </c>
      <c r="B477" s="85" t="s">
        <v>147</v>
      </c>
      <c r="C477" s="85" t="s">
        <v>8364</v>
      </c>
      <c r="D477" s="78" t="s">
        <v>8365</v>
      </c>
      <c r="E477" s="78" t="s">
        <v>8366</v>
      </c>
      <c r="F477" s="78" t="s">
        <v>8367</v>
      </c>
      <c r="G477" s="99">
        <v>50.0</v>
      </c>
      <c r="H477" s="332" t="s">
        <v>8368</v>
      </c>
      <c r="I477" s="387">
        <v>50.0</v>
      </c>
      <c r="J477" s="281" t="s">
        <v>161</v>
      </c>
    </row>
    <row r="478" ht="15.0" customHeight="1">
      <c r="A478" s="85" t="s">
        <v>8360</v>
      </c>
      <c r="B478" s="85" t="s">
        <v>147</v>
      </c>
      <c r="C478" s="85" t="s">
        <v>8369</v>
      </c>
      <c r="D478" s="78" t="s">
        <v>5227</v>
      </c>
      <c r="E478" s="78" t="s">
        <v>8370</v>
      </c>
      <c r="F478" s="78" t="s">
        <v>8371</v>
      </c>
      <c r="G478" s="99">
        <v>10.0</v>
      </c>
      <c r="H478" s="332" t="s">
        <v>8372</v>
      </c>
      <c r="I478" s="387">
        <v>10.0</v>
      </c>
      <c r="J478" s="281" t="s">
        <v>161</v>
      </c>
    </row>
    <row r="479" ht="15.0" customHeight="1">
      <c r="A479" s="85" t="s">
        <v>8360</v>
      </c>
      <c r="B479" s="85" t="s">
        <v>147</v>
      </c>
      <c r="C479" s="85" t="s">
        <v>8373</v>
      </c>
      <c r="D479" s="78" t="s">
        <v>8365</v>
      </c>
      <c r="E479" s="78" t="s">
        <v>8374</v>
      </c>
      <c r="F479" s="78" t="s">
        <v>7610</v>
      </c>
      <c r="G479" s="99">
        <v>50.0</v>
      </c>
      <c r="H479" s="332" t="s">
        <v>8375</v>
      </c>
      <c r="I479" s="387">
        <v>50.0</v>
      </c>
      <c r="J479" s="281" t="s">
        <v>161</v>
      </c>
    </row>
    <row r="480" ht="15.0" customHeight="1">
      <c r="A480" s="85" t="s">
        <v>8360</v>
      </c>
      <c r="B480" s="85" t="s">
        <v>147</v>
      </c>
      <c r="C480" s="85" t="s">
        <v>7586</v>
      </c>
      <c r="D480" s="78" t="s">
        <v>8365</v>
      </c>
      <c r="E480" s="78" t="s">
        <v>7535</v>
      </c>
      <c r="F480" s="78" t="s">
        <v>8376</v>
      </c>
      <c r="G480" s="99">
        <v>50.0</v>
      </c>
      <c r="H480" s="332" t="s">
        <v>8375</v>
      </c>
      <c r="I480" s="387">
        <v>50.0</v>
      </c>
      <c r="J480" s="281" t="s">
        <v>161</v>
      </c>
    </row>
    <row r="481" ht="15.0" customHeight="1">
      <c r="A481" s="85" t="s">
        <v>8360</v>
      </c>
      <c r="B481" s="85" t="s">
        <v>147</v>
      </c>
      <c r="C481" s="85" t="s">
        <v>8377</v>
      </c>
      <c r="D481" s="78" t="s">
        <v>8365</v>
      </c>
      <c r="E481" s="78" t="s">
        <v>8378</v>
      </c>
      <c r="F481" s="78" t="s">
        <v>8379</v>
      </c>
      <c r="G481" s="99">
        <v>50.0</v>
      </c>
      <c r="H481" s="332" t="s">
        <v>8375</v>
      </c>
      <c r="I481" s="387">
        <v>50.0</v>
      </c>
      <c r="J481" s="281" t="s">
        <v>161</v>
      </c>
    </row>
    <row r="482" ht="15.0" customHeight="1">
      <c r="A482" s="85" t="s">
        <v>8360</v>
      </c>
      <c r="B482" s="85" t="s">
        <v>147</v>
      </c>
      <c r="C482" s="85" t="s">
        <v>7590</v>
      </c>
      <c r="D482" s="78" t="s">
        <v>8365</v>
      </c>
      <c r="E482" s="78" t="s">
        <v>7539</v>
      </c>
      <c r="F482" s="78" t="s">
        <v>8380</v>
      </c>
      <c r="G482" s="99">
        <v>50.0</v>
      </c>
      <c r="H482" s="332" t="s">
        <v>8375</v>
      </c>
      <c r="I482" s="387">
        <v>50.0</v>
      </c>
      <c r="J482" s="281" t="s">
        <v>161</v>
      </c>
    </row>
    <row r="483" ht="15.0" customHeight="1">
      <c r="A483" s="85" t="s">
        <v>8360</v>
      </c>
      <c r="B483" s="85" t="s">
        <v>147</v>
      </c>
      <c r="C483" s="85" t="s">
        <v>7590</v>
      </c>
      <c r="D483" s="78" t="s">
        <v>8365</v>
      </c>
      <c r="E483" s="78" t="s">
        <v>7539</v>
      </c>
      <c r="F483" s="78" t="s">
        <v>8381</v>
      </c>
      <c r="G483" s="99">
        <v>50.0</v>
      </c>
      <c r="H483" s="332" t="s">
        <v>8375</v>
      </c>
      <c r="I483" s="387">
        <v>50.0</v>
      </c>
      <c r="J483" s="281" t="s">
        <v>161</v>
      </c>
    </row>
    <row r="484" ht="15.0" customHeight="1">
      <c r="A484" s="85" t="s">
        <v>8360</v>
      </c>
      <c r="B484" s="85" t="s">
        <v>147</v>
      </c>
      <c r="C484" s="85" t="s">
        <v>7590</v>
      </c>
      <c r="D484" s="78" t="s">
        <v>8365</v>
      </c>
      <c r="E484" s="78" t="s">
        <v>7539</v>
      </c>
      <c r="F484" s="78" t="s">
        <v>8382</v>
      </c>
      <c r="G484" s="99">
        <v>50.0</v>
      </c>
      <c r="H484" s="332" t="s">
        <v>8375</v>
      </c>
      <c r="I484" s="387">
        <v>50.0</v>
      </c>
      <c r="J484" s="281" t="s">
        <v>161</v>
      </c>
    </row>
    <row r="485" ht="15.0" customHeight="1">
      <c r="A485" s="85" t="s">
        <v>8360</v>
      </c>
      <c r="B485" s="85" t="s">
        <v>147</v>
      </c>
      <c r="C485" s="85" t="s">
        <v>7590</v>
      </c>
      <c r="D485" s="78" t="s">
        <v>8365</v>
      </c>
      <c r="E485" s="78" t="s">
        <v>7539</v>
      </c>
      <c r="F485" s="78" t="s">
        <v>8383</v>
      </c>
      <c r="G485" s="99">
        <v>50.0</v>
      </c>
      <c r="H485" s="332" t="s">
        <v>8375</v>
      </c>
      <c r="I485" s="387">
        <v>50.0</v>
      </c>
      <c r="J485" s="281" t="s">
        <v>161</v>
      </c>
    </row>
    <row r="486" ht="15.0" customHeight="1">
      <c r="A486" s="85" t="s">
        <v>8360</v>
      </c>
      <c r="B486" s="85" t="s">
        <v>147</v>
      </c>
      <c r="C486" s="85" t="s">
        <v>8384</v>
      </c>
      <c r="D486" s="78" t="s">
        <v>8365</v>
      </c>
      <c r="E486" s="78" t="s">
        <v>8385</v>
      </c>
      <c r="F486" s="78" t="s">
        <v>8096</v>
      </c>
      <c r="G486" s="99">
        <v>50.0</v>
      </c>
      <c r="H486" s="332" t="s">
        <v>8386</v>
      </c>
      <c r="I486" s="387">
        <v>50.0</v>
      </c>
      <c r="J486" s="281" t="s">
        <v>161</v>
      </c>
    </row>
    <row r="487" ht="15.0" customHeight="1">
      <c r="A487" s="85" t="s">
        <v>8360</v>
      </c>
      <c r="B487" s="85" t="s">
        <v>147</v>
      </c>
      <c r="C487" s="85" t="s">
        <v>8384</v>
      </c>
      <c r="D487" s="78" t="s">
        <v>8365</v>
      </c>
      <c r="E487" s="78" t="s">
        <v>8385</v>
      </c>
      <c r="F487" s="78" t="s">
        <v>8387</v>
      </c>
      <c r="G487" s="99">
        <v>50.0</v>
      </c>
      <c r="H487" s="332" t="s">
        <v>8386</v>
      </c>
      <c r="I487" s="387">
        <v>50.0</v>
      </c>
      <c r="J487" s="281" t="s">
        <v>161</v>
      </c>
    </row>
    <row r="488" ht="15.0" customHeight="1">
      <c r="A488" s="85" t="s">
        <v>8360</v>
      </c>
      <c r="B488" s="85" t="s">
        <v>147</v>
      </c>
      <c r="C488" s="85" t="s">
        <v>8384</v>
      </c>
      <c r="D488" s="78" t="s">
        <v>8365</v>
      </c>
      <c r="E488" s="78" t="s">
        <v>8385</v>
      </c>
      <c r="F488" s="78" t="s">
        <v>8388</v>
      </c>
      <c r="G488" s="99">
        <v>50.0</v>
      </c>
      <c r="H488" s="332" t="s">
        <v>8386</v>
      </c>
      <c r="I488" s="387">
        <v>50.0</v>
      </c>
      <c r="J488" s="281" t="s">
        <v>161</v>
      </c>
    </row>
    <row r="489" ht="15.0" customHeight="1">
      <c r="A489" s="85" t="s">
        <v>8360</v>
      </c>
      <c r="B489" s="85" t="s">
        <v>147</v>
      </c>
      <c r="C489" s="85" t="s">
        <v>8384</v>
      </c>
      <c r="D489" s="78" t="s">
        <v>8365</v>
      </c>
      <c r="E489" s="78" t="s">
        <v>8389</v>
      </c>
      <c r="F489" s="78" t="s">
        <v>8390</v>
      </c>
      <c r="G489" s="99">
        <v>50.0</v>
      </c>
      <c r="H489" s="332" t="s">
        <v>8386</v>
      </c>
      <c r="I489" s="387">
        <v>50.0</v>
      </c>
      <c r="J489" s="281" t="s">
        <v>161</v>
      </c>
    </row>
    <row r="490" ht="15.0" customHeight="1">
      <c r="A490" s="85" t="s">
        <v>8360</v>
      </c>
      <c r="B490" s="85" t="s">
        <v>147</v>
      </c>
      <c r="C490" s="85" t="s">
        <v>8384</v>
      </c>
      <c r="D490" s="78" t="s">
        <v>8365</v>
      </c>
      <c r="E490" s="78" t="s">
        <v>8385</v>
      </c>
      <c r="F490" s="78" t="s">
        <v>8379</v>
      </c>
      <c r="G490" s="99">
        <v>50.0</v>
      </c>
      <c r="H490" s="332" t="s">
        <v>8386</v>
      </c>
      <c r="I490" s="387">
        <v>50.0</v>
      </c>
      <c r="J490" s="281" t="s">
        <v>161</v>
      </c>
    </row>
    <row r="491" ht="15.0" customHeight="1">
      <c r="A491" s="85" t="s">
        <v>8360</v>
      </c>
      <c r="B491" s="85" t="s">
        <v>147</v>
      </c>
      <c r="C491" s="85" t="s">
        <v>1105</v>
      </c>
      <c r="D491" s="78" t="s">
        <v>8365</v>
      </c>
      <c r="E491" s="78" t="s">
        <v>7719</v>
      </c>
      <c r="F491" s="78" t="s">
        <v>8391</v>
      </c>
      <c r="G491" s="99">
        <v>50.0</v>
      </c>
      <c r="H491" s="332" t="s">
        <v>8375</v>
      </c>
      <c r="I491" s="387">
        <v>50.0</v>
      </c>
      <c r="J491" s="281" t="s">
        <v>161</v>
      </c>
    </row>
    <row r="492" ht="15.0" customHeight="1">
      <c r="A492" s="85" t="s">
        <v>8360</v>
      </c>
      <c r="B492" s="85" t="s">
        <v>147</v>
      </c>
      <c r="C492" s="85" t="s">
        <v>1105</v>
      </c>
      <c r="D492" s="78" t="s">
        <v>8365</v>
      </c>
      <c r="E492" s="78" t="s">
        <v>7719</v>
      </c>
      <c r="F492" s="78" t="s">
        <v>8392</v>
      </c>
      <c r="G492" s="99">
        <v>50.0</v>
      </c>
      <c r="H492" s="332" t="s">
        <v>8375</v>
      </c>
      <c r="I492" s="387">
        <v>50.0</v>
      </c>
      <c r="J492" s="281" t="s">
        <v>161</v>
      </c>
    </row>
    <row r="493" ht="15.0" customHeight="1">
      <c r="A493" s="85" t="s">
        <v>8360</v>
      </c>
      <c r="B493" s="85" t="s">
        <v>147</v>
      </c>
      <c r="C493" s="85" t="s">
        <v>1105</v>
      </c>
      <c r="D493" s="78" t="s">
        <v>8365</v>
      </c>
      <c r="E493" s="78" t="s">
        <v>7719</v>
      </c>
      <c r="F493" s="78" t="s">
        <v>8376</v>
      </c>
      <c r="G493" s="99">
        <v>50.0</v>
      </c>
      <c r="H493" s="332" t="s">
        <v>8375</v>
      </c>
      <c r="I493" s="387">
        <v>50.0</v>
      </c>
      <c r="J493" s="281" t="s">
        <v>161</v>
      </c>
    </row>
    <row r="494" ht="15.0" customHeight="1">
      <c r="A494" s="85" t="s">
        <v>8393</v>
      </c>
      <c r="B494" s="85" t="s">
        <v>147</v>
      </c>
      <c r="C494" s="85" t="s">
        <v>8394</v>
      </c>
      <c r="D494" s="78"/>
      <c r="E494" s="78" t="s">
        <v>8395</v>
      </c>
      <c r="F494" s="78" t="s">
        <v>8396</v>
      </c>
      <c r="G494" s="99">
        <v>10.0</v>
      </c>
      <c r="H494" s="332" t="s">
        <v>8163</v>
      </c>
      <c r="I494" s="387">
        <v>10.0</v>
      </c>
      <c r="J494" s="281" t="s">
        <v>164</v>
      </c>
    </row>
    <row r="495" ht="15.0" customHeight="1">
      <c r="A495" s="85" t="s">
        <v>8393</v>
      </c>
      <c r="B495" s="85" t="s">
        <v>94</v>
      </c>
      <c r="C495" s="85" t="s">
        <v>8397</v>
      </c>
      <c r="D495" s="78"/>
      <c r="E495" s="78" t="s">
        <v>8395</v>
      </c>
      <c r="F495" s="78" t="s">
        <v>8398</v>
      </c>
      <c r="G495" s="99">
        <v>10.0</v>
      </c>
      <c r="H495" s="332" t="s">
        <v>8163</v>
      </c>
      <c r="I495" s="387">
        <v>10.0</v>
      </c>
      <c r="J495" s="281" t="s">
        <v>164</v>
      </c>
    </row>
    <row r="496" ht="15.0" customHeight="1">
      <c r="A496" s="85" t="s">
        <v>1160</v>
      </c>
      <c r="B496" s="85" t="s">
        <v>147</v>
      </c>
      <c r="C496" s="85" t="s">
        <v>8399</v>
      </c>
      <c r="D496" s="78" t="s">
        <v>1256</v>
      </c>
      <c r="E496" s="78" t="s">
        <v>8400</v>
      </c>
      <c r="F496" s="78" t="s">
        <v>8401</v>
      </c>
      <c r="G496" s="99">
        <v>10.0</v>
      </c>
      <c r="H496" s="332"/>
      <c r="I496" s="387">
        <v>50.0</v>
      </c>
      <c r="J496" s="281" t="s">
        <v>165</v>
      </c>
    </row>
    <row r="497" ht="15.0" customHeight="1">
      <c r="A497" s="85" t="s">
        <v>1160</v>
      </c>
      <c r="B497" s="85" t="s">
        <v>147</v>
      </c>
      <c r="C497" s="85" t="s">
        <v>8402</v>
      </c>
      <c r="D497" s="78" t="s">
        <v>1256</v>
      </c>
      <c r="E497" s="78" t="s">
        <v>8403</v>
      </c>
      <c r="F497" s="78" t="s">
        <v>8404</v>
      </c>
      <c r="G497" s="99">
        <v>10.0</v>
      </c>
      <c r="H497" s="332"/>
      <c r="I497" s="387">
        <v>50.0</v>
      </c>
      <c r="J497" s="281" t="s">
        <v>165</v>
      </c>
    </row>
    <row r="498" ht="15.0" customHeight="1">
      <c r="A498" s="85" t="s">
        <v>1160</v>
      </c>
      <c r="B498" s="85" t="s">
        <v>147</v>
      </c>
      <c r="C498" s="85" t="s">
        <v>8405</v>
      </c>
      <c r="D498" s="78" t="s">
        <v>1256</v>
      </c>
      <c r="E498" s="78" t="s">
        <v>8406</v>
      </c>
      <c r="F498" s="78" t="s">
        <v>8407</v>
      </c>
      <c r="G498" s="99">
        <v>10.0</v>
      </c>
      <c r="H498" s="332"/>
      <c r="I498" s="387">
        <v>50.0</v>
      </c>
      <c r="J498" s="281" t="s">
        <v>165</v>
      </c>
    </row>
    <row r="499" ht="15.0" customHeight="1">
      <c r="A499" s="85" t="s">
        <v>1160</v>
      </c>
      <c r="B499" s="85" t="s">
        <v>147</v>
      </c>
      <c r="C499" s="85" t="s">
        <v>7943</v>
      </c>
      <c r="D499" s="78" t="s">
        <v>1256</v>
      </c>
      <c r="E499" s="78" t="s">
        <v>8408</v>
      </c>
      <c r="F499" s="78" t="s">
        <v>7945</v>
      </c>
      <c r="G499" s="99">
        <v>10.0</v>
      </c>
      <c r="H499" s="332"/>
      <c r="I499" s="387">
        <v>10.0</v>
      </c>
      <c r="J499" s="281" t="s">
        <v>165</v>
      </c>
    </row>
    <row r="500" ht="15.0" customHeight="1">
      <c r="A500" s="85" t="s">
        <v>8409</v>
      </c>
      <c r="B500" s="85" t="s">
        <v>147</v>
      </c>
      <c r="C500" s="85" t="s">
        <v>8410</v>
      </c>
      <c r="D500" s="78" t="s">
        <v>8411</v>
      </c>
      <c r="E500" s="78"/>
      <c r="F500" s="78" t="s">
        <v>8412</v>
      </c>
      <c r="G500" s="99">
        <v>10.0</v>
      </c>
      <c r="H500" s="332"/>
      <c r="I500" s="387">
        <v>50.0</v>
      </c>
      <c r="J500" s="281" t="s">
        <v>5077</v>
      </c>
    </row>
    <row r="501" ht="15.0" customHeight="1">
      <c r="A501" s="85" t="s">
        <v>8409</v>
      </c>
      <c r="B501" s="85" t="s">
        <v>147</v>
      </c>
      <c r="C501" s="85" t="s">
        <v>8413</v>
      </c>
      <c r="D501" s="78" t="s">
        <v>8414</v>
      </c>
      <c r="E501" s="78"/>
      <c r="F501" s="78" t="s">
        <v>8415</v>
      </c>
      <c r="G501" s="99">
        <v>10.0</v>
      </c>
      <c r="H501" s="332"/>
      <c r="I501" s="387">
        <v>50.0</v>
      </c>
      <c r="J501" s="281" t="s">
        <v>5077</v>
      </c>
    </row>
    <row r="502" ht="15.0" customHeight="1">
      <c r="A502" s="85" t="s">
        <v>8409</v>
      </c>
      <c r="B502" s="85" t="s">
        <v>147</v>
      </c>
      <c r="C502" s="85" t="s">
        <v>5223</v>
      </c>
      <c r="D502" s="78" t="s">
        <v>5589</v>
      </c>
      <c r="E502" s="78" t="s">
        <v>8416</v>
      </c>
      <c r="F502" s="78"/>
      <c r="G502" s="99">
        <v>50.0</v>
      </c>
      <c r="H502" s="332"/>
      <c r="I502" s="387">
        <v>50.0</v>
      </c>
      <c r="J502" s="281" t="s">
        <v>5077</v>
      </c>
    </row>
    <row r="503" ht="15.0" customHeight="1">
      <c r="A503" s="85" t="s">
        <v>8417</v>
      </c>
      <c r="B503" s="85" t="s">
        <v>147</v>
      </c>
      <c r="C503" s="85" t="s">
        <v>8418</v>
      </c>
      <c r="D503" s="78" t="s">
        <v>1264</v>
      </c>
      <c r="E503" s="78" t="s">
        <v>8419</v>
      </c>
      <c r="F503" s="333">
        <v>45172.0</v>
      </c>
      <c r="G503" s="99">
        <v>50.0</v>
      </c>
      <c r="H503" s="332"/>
      <c r="I503" s="387">
        <v>50.0</v>
      </c>
      <c r="J503" s="281" t="s">
        <v>5101</v>
      </c>
    </row>
    <row r="504" ht="15.0" customHeight="1">
      <c r="A504" s="85" t="s">
        <v>8420</v>
      </c>
      <c r="B504" s="85" t="s">
        <v>147</v>
      </c>
      <c r="C504" s="85" t="s">
        <v>8421</v>
      </c>
      <c r="D504" s="78" t="s">
        <v>1184</v>
      </c>
      <c r="E504" s="78" t="s">
        <v>8422</v>
      </c>
      <c r="F504" s="78" t="s">
        <v>7842</v>
      </c>
      <c r="G504" s="99">
        <v>10.0</v>
      </c>
      <c r="H504" s="332">
        <v>1.0</v>
      </c>
      <c r="I504" s="387">
        <v>10.0</v>
      </c>
      <c r="J504" s="281" t="s">
        <v>8420</v>
      </c>
    </row>
    <row r="505" ht="15.0" customHeight="1">
      <c r="A505" s="193" t="s">
        <v>185</v>
      </c>
      <c r="B505" s="61"/>
      <c r="C505" s="61"/>
      <c r="D505" s="61"/>
      <c r="E505" s="61"/>
      <c r="F505" s="61"/>
      <c r="G505" s="110"/>
      <c r="H505" s="3"/>
      <c r="I505" s="283">
        <f>SUM(I16:I504)</f>
        <v>29930</v>
      </c>
      <c r="J505" s="3"/>
    </row>
    <row r="506" ht="15.0" customHeight="1">
      <c r="A506" s="104"/>
      <c r="B506" s="61"/>
      <c r="C506" s="61"/>
      <c r="D506" s="61"/>
      <c r="E506" s="61"/>
      <c r="F506" s="61"/>
      <c r="G506" s="61"/>
      <c r="H506" s="1"/>
      <c r="I506" s="3"/>
      <c r="J506" s="3"/>
    </row>
    <row r="507" ht="15.0" customHeight="1">
      <c r="A507" s="284" t="s">
        <v>1169</v>
      </c>
      <c r="B507" s="103"/>
      <c r="C507" s="103"/>
      <c r="D507" s="103"/>
      <c r="E507" s="103"/>
      <c r="F507" s="103"/>
      <c r="G507" s="103"/>
      <c r="H507" s="103"/>
      <c r="I507" s="3"/>
      <c r="J507" s="3"/>
    </row>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2">
    <mergeCell ref="A10:I10"/>
    <mergeCell ref="A11:I11"/>
    <mergeCell ref="A12:I12"/>
    <mergeCell ref="A13:I13"/>
    <mergeCell ref="A507:H507"/>
    <mergeCell ref="A2:I2"/>
    <mergeCell ref="A4:I4"/>
    <mergeCell ref="A5:I5"/>
    <mergeCell ref="A6:I6"/>
    <mergeCell ref="A7:I7"/>
    <mergeCell ref="A8:I8"/>
    <mergeCell ref="A9:I9"/>
  </mergeCells>
  <hyperlinks>
    <hyperlink r:id="rId1" ref="E16"/>
    <hyperlink r:id="rId2" ref="E21"/>
    <hyperlink r:id="rId3" ref="E22"/>
    <hyperlink r:id="rId4" ref="E23"/>
    <hyperlink r:id="rId5" ref="E25"/>
    <hyperlink r:id="rId6" ref="E26"/>
    <hyperlink r:id="rId7" ref="E28"/>
    <hyperlink r:id="rId8" ref="E30"/>
    <hyperlink r:id="rId9" ref="E31"/>
    <hyperlink r:id="rId10" ref="E32"/>
    <hyperlink r:id="rId11" ref="E33"/>
    <hyperlink r:id="rId12" ref="E34"/>
    <hyperlink r:id="rId13" ref="E35"/>
    <hyperlink r:id="rId14" ref="E36"/>
    <hyperlink r:id="rId15" ref="E38"/>
    <hyperlink r:id="rId16" ref="E39"/>
    <hyperlink r:id="rId17" ref="E40"/>
    <hyperlink r:id="rId18" ref="E41"/>
    <hyperlink r:id="rId19" ref="E59"/>
    <hyperlink r:id="rId20" ref="E60"/>
    <hyperlink r:id="rId21" ref="E61"/>
    <hyperlink r:id="rId22" ref="E62"/>
    <hyperlink r:id="rId23" ref="E63"/>
    <hyperlink r:id="rId24" ref="E64"/>
    <hyperlink r:id="rId25" ref="E68"/>
    <hyperlink r:id="rId26" ref="E73"/>
    <hyperlink r:id="rId27" ref="E78"/>
    <hyperlink r:id="rId28" ref="E79"/>
    <hyperlink r:id="rId29" ref="E80"/>
    <hyperlink r:id="rId30" ref="E82"/>
    <hyperlink r:id="rId31" ref="E83"/>
    <hyperlink r:id="rId32" ref="E85"/>
    <hyperlink r:id="rId33" ref="E87"/>
    <hyperlink r:id="rId34" ref="E88"/>
    <hyperlink r:id="rId35" ref="E89"/>
    <hyperlink r:id="rId36" ref="E90"/>
    <hyperlink r:id="rId37" ref="E93"/>
    <hyperlink r:id="rId38" ref="E94"/>
    <hyperlink r:id="rId39" ref="E95"/>
    <hyperlink r:id="rId40" ref="E97"/>
    <hyperlink r:id="rId41" ref="E98"/>
    <hyperlink r:id="rId42" ref="E99"/>
    <hyperlink r:id="rId43" ref="E100"/>
    <hyperlink r:id="rId44" ref="E102"/>
    <hyperlink r:id="rId45" ref="E103"/>
    <hyperlink r:id="rId46" ref="E106"/>
    <hyperlink r:id="rId47" ref="E107"/>
    <hyperlink r:id="rId48" ref="E108"/>
    <hyperlink r:id="rId49" ref="E109"/>
    <hyperlink r:id="rId50" ref="E110"/>
    <hyperlink r:id="rId51" ref="E111"/>
    <hyperlink r:id="rId52" ref="E112"/>
    <hyperlink r:id="rId53" ref="E113"/>
    <hyperlink r:id="rId54" ref="E114"/>
    <hyperlink r:id="rId55" ref="E115"/>
    <hyperlink r:id="rId56" ref="E116"/>
    <hyperlink r:id="rId57" ref="E117"/>
    <hyperlink r:id="rId58" ref="E118"/>
    <hyperlink r:id="rId59" ref="E119"/>
    <hyperlink r:id="rId60" ref="E120"/>
    <hyperlink r:id="rId61" ref="E121"/>
    <hyperlink r:id="rId62" ref="E122"/>
    <hyperlink r:id="rId63" ref="E123"/>
    <hyperlink r:id="rId64" ref="E125"/>
    <hyperlink r:id="rId65" ref="E149"/>
    <hyperlink r:id="rId66" ref="E154"/>
    <hyperlink r:id="rId67" ref="E157"/>
    <hyperlink r:id="rId68" ref="E158"/>
    <hyperlink r:id="rId69" ref="E159"/>
    <hyperlink r:id="rId70" ref="E163"/>
    <hyperlink r:id="rId71" ref="E165"/>
    <hyperlink r:id="rId72" ref="E167"/>
    <hyperlink r:id="rId73" ref="E170"/>
    <hyperlink r:id="rId74" ref="E171"/>
    <hyperlink r:id="rId75" ref="E172"/>
    <hyperlink r:id="rId76" ref="E173"/>
    <hyperlink r:id="rId77" ref="E175"/>
    <hyperlink r:id="rId78" ref="E176"/>
    <hyperlink r:id="rId79" ref="E177"/>
    <hyperlink r:id="rId80" ref="E178"/>
    <hyperlink r:id="rId81" ref="E180"/>
    <hyperlink r:id="rId82" ref="E181"/>
    <hyperlink r:id="rId83" ref="E182"/>
    <hyperlink r:id="rId84" ref="E183"/>
    <hyperlink r:id="rId85" ref="E184"/>
    <hyperlink r:id="rId86" ref="E185"/>
    <hyperlink r:id="rId87" ref="E186"/>
    <hyperlink r:id="rId88" ref="E187"/>
    <hyperlink r:id="rId89" ref="E189"/>
    <hyperlink r:id="rId90" ref="E190"/>
    <hyperlink r:id="rId91" ref="E191"/>
    <hyperlink r:id="rId92" ref="E192"/>
    <hyperlink r:id="rId93" ref="E193"/>
    <hyperlink r:id="rId94" ref="E194"/>
    <hyperlink r:id="rId95" ref="E195"/>
    <hyperlink r:id="rId96" ref="E196"/>
    <hyperlink r:id="rId97" ref="E197"/>
    <hyperlink r:id="rId98" ref="E198"/>
    <hyperlink r:id="rId99" ref="E199"/>
    <hyperlink r:id="rId100" ref="E200"/>
    <hyperlink r:id="rId101" ref="E201"/>
    <hyperlink r:id="rId102" ref="E202"/>
    <hyperlink r:id="rId103" ref="E205"/>
    <hyperlink r:id="rId104" ref="E209"/>
    <hyperlink r:id="rId105" ref="E210"/>
    <hyperlink r:id="rId106" ref="E211"/>
    <hyperlink r:id="rId107" ref="E212"/>
    <hyperlink r:id="rId108" ref="E213"/>
    <hyperlink r:id="rId109" ref="E214"/>
    <hyperlink r:id="rId110" ref="E215"/>
    <hyperlink r:id="rId111" ref="E216"/>
    <hyperlink r:id="rId112" ref="E217"/>
    <hyperlink r:id="rId113" ref="E218"/>
    <hyperlink r:id="rId114" ref="E219"/>
    <hyperlink r:id="rId115" ref="E220"/>
    <hyperlink r:id="rId116" ref="E225"/>
    <hyperlink r:id="rId117" ref="E226"/>
    <hyperlink r:id="rId118" ref="E237"/>
    <hyperlink r:id="rId119" ref="D239"/>
    <hyperlink r:id="rId120" ref="E239"/>
    <hyperlink r:id="rId121" ref="D240"/>
    <hyperlink r:id="rId122" ref="E244"/>
    <hyperlink r:id="rId123" ref="D249"/>
    <hyperlink r:id="rId124" ref="E249"/>
    <hyperlink r:id="rId125" ref="E250"/>
    <hyperlink r:id="rId126" ref="E251"/>
    <hyperlink r:id="rId127" ref="E252"/>
    <hyperlink r:id="rId128" ref="E253"/>
    <hyperlink r:id="rId129" ref="E254"/>
    <hyperlink r:id="rId130" ref="E255"/>
    <hyperlink r:id="rId131" ref="E256"/>
    <hyperlink r:id="rId132" ref="E257"/>
    <hyperlink r:id="rId133" ref="E258"/>
    <hyperlink r:id="rId134" ref="E259"/>
    <hyperlink r:id="rId135" ref="E260"/>
    <hyperlink r:id="rId136" ref="E262"/>
    <hyperlink r:id="rId137" ref="E263"/>
    <hyperlink r:id="rId138" ref="E264"/>
    <hyperlink r:id="rId139" ref="E265"/>
    <hyperlink r:id="rId140" ref="E266"/>
    <hyperlink r:id="rId141" ref="E267"/>
    <hyperlink r:id="rId142" ref="E268"/>
    <hyperlink r:id="rId143" ref="E269"/>
    <hyperlink r:id="rId144" ref="E270"/>
    <hyperlink r:id="rId145" ref="E271"/>
    <hyperlink r:id="rId146" ref="E272"/>
    <hyperlink r:id="rId147" ref="E273"/>
    <hyperlink r:id="rId148" ref="E274"/>
    <hyperlink r:id="rId149" ref="E275"/>
    <hyperlink r:id="rId150" ref="E276"/>
    <hyperlink r:id="rId151" ref="E277"/>
    <hyperlink r:id="rId152" ref="E278"/>
    <hyperlink r:id="rId153" ref="E279"/>
    <hyperlink r:id="rId154" ref="E280"/>
    <hyperlink r:id="rId155" ref="E282"/>
    <hyperlink r:id="rId156" ref="E283"/>
    <hyperlink r:id="rId157" ref="E288"/>
    <hyperlink r:id="rId158" ref="E289"/>
    <hyperlink r:id="rId159" ref="E290"/>
    <hyperlink r:id="rId160" ref="E291"/>
    <hyperlink r:id="rId161" ref="E292"/>
    <hyperlink r:id="rId162" ref="E293"/>
    <hyperlink r:id="rId163" ref="E294"/>
    <hyperlink r:id="rId164" ref="E295"/>
    <hyperlink r:id="rId165" ref="E296"/>
    <hyperlink r:id="rId166" ref="E297"/>
    <hyperlink r:id="rId167" ref="E298"/>
    <hyperlink r:id="rId168" ref="E300"/>
    <hyperlink r:id="rId169" ref="E301"/>
    <hyperlink r:id="rId170" ref="E303"/>
    <hyperlink r:id="rId171" ref="E304"/>
    <hyperlink r:id="rId172" ref="E305"/>
    <hyperlink r:id="rId173" ref="E306"/>
    <hyperlink r:id="rId174" ref="E307"/>
    <hyperlink r:id="rId175" ref="E308"/>
    <hyperlink r:id="rId176" ref="E309"/>
    <hyperlink r:id="rId177" ref="E310"/>
    <hyperlink r:id="rId178" ref="E311"/>
    <hyperlink r:id="rId179" ref="E312"/>
    <hyperlink r:id="rId180" ref="E313"/>
    <hyperlink r:id="rId181" ref="E314"/>
    <hyperlink r:id="rId182" ref="E315"/>
    <hyperlink r:id="rId183" ref="E316"/>
    <hyperlink r:id="rId184" ref="E317"/>
    <hyperlink r:id="rId185" ref="E318"/>
    <hyperlink r:id="rId186" ref="C320"/>
    <hyperlink r:id="rId187" ref="C323"/>
    <hyperlink r:id="rId188" ref="C324"/>
    <hyperlink r:id="rId189" ref="C325"/>
    <hyperlink r:id="rId190" ref="C326"/>
    <hyperlink r:id="rId191" ref="C327"/>
    <hyperlink r:id="rId192" ref="C328"/>
    <hyperlink r:id="rId193" ref="C329"/>
    <hyperlink r:id="rId194" ref="C330"/>
    <hyperlink r:id="rId195" ref="C331"/>
    <hyperlink r:id="rId196" ref="C332"/>
    <hyperlink r:id="rId197" ref="C333"/>
    <hyperlink r:id="rId198" ref="C334"/>
    <hyperlink r:id="rId199" ref="C335"/>
    <hyperlink r:id="rId200" ref="E338"/>
    <hyperlink r:id="rId201" ref="E339"/>
    <hyperlink r:id="rId202" ref="E340"/>
    <hyperlink r:id="rId203" ref="E341"/>
    <hyperlink r:id="rId204" ref="E342"/>
    <hyperlink r:id="rId205" ref="E343"/>
    <hyperlink r:id="rId206" ref="E344"/>
    <hyperlink r:id="rId207" ref="E345"/>
    <hyperlink r:id="rId208" ref="E346"/>
    <hyperlink r:id="rId209" ref="E347"/>
    <hyperlink r:id="rId210" ref="E348"/>
    <hyperlink r:id="rId211" ref="E349"/>
    <hyperlink r:id="rId212" ref="E350"/>
    <hyperlink r:id="rId213" ref="E351"/>
    <hyperlink r:id="rId214" ref="E352"/>
    <hyperlink r:id="rId215" ref="E353"/>
    <hyperlink r:id="rId216" ref="E354"/>
    <hyperlink r:id="rId217" ref="E355"/>
    <hyperlink r:id="rId218" ref="E356"/>
    <hyperlink r:id="rId219" ref="E357"/>
    <hyperlink r:id="rId220" ref="E358"/>
    <hyperlink r:id="rId221" ref="E359"/>
    <hyperlink r:id="rId222" ref="E360"/>
    <hyperlink r:id="rId223" ref="E361"/>
    <hyperlink r:id="rId224" ref="E362"/>
    <hyperlink r:id="rId225" ref="E363"/>
    <hyperlink r:id="rId226" ref="E364"/>
    <hyperlink r:id="rId227" ref="E365"/>
    <hyperlink r:id="rId228" ref="E366"/>
    <hyperlink r:id="rId229" ref="E367"/>
    <hyperlink r:id="rId230" ref="E368"/>
    <hyperlink r:id="rId231" ref="E369"/>
    <hyperlink r:id="rId232" ref="E370"/>
    <hyperlink r:id="rId233" ref="E371"/>
    <hyperlink r:id="rId234" ref="E372"/>
    <hyperlink r:id="rId235" ref="E373"/>
    <hyperlink r:id="rId236" ref="E374"/>
    <hyperlink r:id="rId237" ref="E375"/>
    <hyperlink r:id="rId238" ref="E376"/>
    <hyperlink r:id="rId239" ref="E377"/>
    <hyperlink r:id="rId240" ref="E378"/>
    <hyperlink r:id="rId241" ref="E379"/>
    <hyperlink r:id="rId242" ref="E380"/>
    <hyperlink r:id="rId243" ref="E381"/>
    <hyperlink r:id="rId244" ref="E382"/>
    <hyperlink r:id="rId245" ref="E383"/>
    <hyperlink r:id="rId246" ref="E384"/>
    <hyperlink r:id="rId247" ref="E385"/>
    <hyperlink r:id="rId248" ref="E386"/>
    <hyperlink r:id="rId249" ref="E387"/>
    <hyperlink r:id="rId250" ref="E388"/>
    <hyperlink r:id="rId251" ref="E389"/>
    <hyperlink r:id="rId252" ref="E390"/>
    <hyperlink r:id="rId253" ref="E391"/>
    <hyperlink r:id="rId254" ref="E392"/>
    <hyperlink r:id="rId255" ref="E393"/>
    <hyperlink r:id="rId256" ref="E394"/>
    <hyperlink r:id="rId257" ref="E395"/>
    <hyperlink r:id="rId258" ref="E396"/>
    <hyperlink r:id="rId259" ref="E397"/>
    <hyperlink r:id="rId260" ref="E398"/>
    <hyperlink r:id="rId261" ref="E399"/>
    <hyperlink r:id="rId262" ref="E400"/>
    <hyperlink r:id="rId263" ref="E401"/>
    <hyperlink r:id="rId264" ref="E402"/>
    <hyperlink r:id="rId265" ref="E403"/>
    <hyperlink r:id="rId266" ref="E404"/>
    <hyperlink r:id="rId267" ref="E405"/>
    <hyperlink r:id="rId268" ref="E406"/>
    <hyperlink r:id="rId269" ref="E407"/>
    <hyperlink r:id="rId270" ref="E409"/>
    <hyperlink r:id="rId271" ref="E410"/>
    <hyperlink r:id="rId272" ref="E411"/>
    <hyperlink r:id="rId273" ref="E412"/>
    <hyperlink r:id="rId274" ref="E418"/>
    <hyperlink r:id="rId275" ref="E419"/>
    <hyperlink r:id="rId276" ref="E420"/>
    <hyperlink r:id="rId277" ref="E421"/>
    <hyperlink r:id="rId278" ref="E422"/>
    <hyperlink r:id="rId279" ref="E423"/>
    <hyperlink r:id="rId280" ref="E424"/>
    <hyperlink r:id="rId281" ref="E425"/>
    <hyperlink r:id="rId282" ref="E426"/>
    <hyperlink r:id="rId283" ref="E430"/>
    <hyperlink r:id="rId284" ref="E431"/>
  </hyperlinks>
  <printOptions/>
  <pageMargins bottom="1.0" footer="0.0" header="0.0" left="0.75" right="0.75" top="1.0"/>
  <pageSetup orientation="landscape"/>
  <drawing r:id="rId285"/>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5" width="8.0"/>
    <col customWidth="1" min="16" max="16" width="28.57"/>
  </cols>
  <sheetData>
    <row r="1">
      <c r="A1" s="104"/>
      <c r="B1" s="61"/>
      <c r="C1" s="61"/>
      <c r="D1" s="61"/>
      <c r="E1" s="61"/>
      <c r="F1" s="61"/>
      <c r="G1" s="61"/>
      <c r="H1" s="1"/>
      <c r="I1" s="3"/>
      <c r="J1" s="3"/>
      <c r="K1" s="3"/>
      <c r="L1" s="3"/>
      <c r="M1" s="3"/>
      <c r="N1" s="3"/>
      <c r="O1" s="3"/>
      <c r="P1" s="3"/>
      <c r="Q1" s="3"/>
      <c r="R1" s="3"/>
      <c r="S1" s="3"/>
      <c r="T1" s="3"/>
      <c r="U1" s="3"/>
      <c r="V1" s="3"/>
      <c r="W1" s="3"/>
      <c r="X1" s="3"/>
      <c r="Y1" s="3"/>
      <c r="Z1" s="3"/>
    </row>
    <row r="2" ht="15.75" customHeight="1">
      <c r="A2" s="280" t="s">
        <v>8423</v>
      </c>
      <c r="B2" s="103"/>
      <c r="C2" s="103"/>
      <c r="D2" s="103"/>
      <c r="E2" s="103"/>
      <c r="F2" s="103"/>
      <c r="G2" s="103"/>
      <c r="H2" s="103"/>
      <c r="I2" s="103"/>
      <c r="J2" s="103"/>
      <c r="K2" s="103"/>
      <c r="L2" s="103"/>
      <c r="M2" s="103"/>
      <c r="N2" s="103"/>
      <c r="O2" s="103"/>
      <c r="P2" s="3"/>
      <c r="Q2" s="3"/>
      <c r="R2" s="3"/>
      <c r="S2" s="3"/>
      <c r="T2" s="3"/>
      <c r="U2" s="3"/>
      <c r="V2" s="3"/>
      <c r="W2" s="3"/>
      <c r="X2" s="3"/>
      <c r="Y2" s="3"/>
      <c r="Z2" s="3"/>
    </row>
    <row r="3">
      <c r="A3" s="127"/>
      <c r="B3" s="127"/>
      <c r="C3" s="127"/>
      <c r="D3" s="127"/>
      <c r="E3" s="127"/>
      <c r="F3" s="127"/>
      <c r="G3" s="127"/>
      <c r="H3" s="127"/>
      <c r="I3" s="3"/>
      <c r="J3" s="3"/>
      <c r="K3" s="3"/>
      <c r="L3" s="3"/>
      <c r="M3" s="3"/>
      <c r="N3" s="3"/>
      <c r="O3" s="3"/>
      <c r="P3" s="3"/>
      <c r="Q3" s="3"/>
      <c r="R3" s="3"/>
      <c r="S3" s="3"/>
      <c r="T3" s="3"/>
      <c r="U3" s="3"/>
      <c r="V3" s="3"/>
      <c r="W3" s="3"/>
      <c r="X3" s="3"/>
      <c r="Y3" s="3"/>
      <c r="Z3" s="3"/>
    </row>
    <row r="4" ht="21.75" customHeight="1">
      <c r="A4" s="238" t="s">
        <v>5192</v>
      </c>
      <c r="B4" s="64"/>
      <c r="C4" s="64"/>
      <c r="D4" s="64"/>
      <c r="E4" s="64"/>
      <c r="F4" s="64"/>
      <c r="G4" s="64"/>
      <c r="H4" s="64"/>
      <c r="I4" s="64"/>
      <c r="J4" s="64"/>
      <c r="K4" s="64"/>
      <c r="L4" s="64"/>
      <c r="M4" s="64"/>
      <c r="N4" s="64"/>
      <c r="O4" s="65"/>
      <c r="P4" s="3"/>
      <c r="Q4" s="3"/>
      <c r="R4" s="3"/>
      <c r="S4" s="3"/>
      <c r="T4" s="3"/>
      <c r="U4" s="3"/>
      <c r="V4" s="3"/>
      <c r="W4" s="3"/>
      <c r="X4" s="3"/>
      <c r="Y4" s="3"/>
      <c r="Z4" s="3"/>
    </row>
    <row r="5" ht="17.25" customHeight="1">
      <c r="A5" s="238" t="s">
        <v>8424</v>
      </c>
      <c r="B5" s="64"/>
      <c r="C5" s="64"/>
      <c r="D5" s="64"/>
      <c r="E5" s="64"/>
      <c r="F5" s="64"/>
      <c r="G5" s="64"/>
      <c r="H5" s="64"/>
      <c r="I5" s="64"/>
      <c r="J5" s="64"/>
      <c r="K5" s="64"/>
      <c r="L5" s="64"/>
      <c r="M5" s="64"/>
      <c r="N5" s="64"/>
      <c r="O5" s="65"/>
      <c r="P5" s="3"/>
      <c r="Q5" s="3"/>
      <c r="R5" s="3"/>
      <c r="S5" s="3"/>
      <c r="T5" s="3"/>
      <c r="U5" s="3"/>
      <c r="V5" s="3"/>
      <c r="W5" s="3"/>
      <c r="X5" s="3"/>
      <c r="Y5" s="3"/>
      <c r="Z5" s="3"/>
    </row>
    <row r="6" ht="26.25" customHeight="1">
      <c r="A6" s="388" t="s">
        <v>8425</v>
      </c>
      <c r="B6" s="64"/>
      <c r="C6" s="64"/>
      <c r="D6" s="64"/>
      <c r="E6" s="64"/>
      <c r="F6" s="64"/>
      <c r="G6" s="64"/>
      <c r="H6" s="64"/>
      <c r="I6" s="64"/>
      <c r="J6" s="64"/>
      <c r="K6" s="64"/>
      <c r="L6" s="64"/>
      <c r="M6" s="64"/>
      <c r="N6" s="64"/>
      <c r="O6" s="65"/>
      <c r="P6" s="3"/>
      <c r="Q6" s="3"/>
      <c r="R6" s="3"/>
      <c r="S6" s="3"/>
      <c r="T6" s="3"/>
      <c r="U6" s="3"/>
      <c r="V6" s="3"/>
      <c r="W6" s="3"/>
      <c r="X6" s="3"/>
      <c r="Y6" s="3"/>
      <c r="Z6" s="3"/>
    </row>
    <row r="7" ht="38.25" customHeight="1">
      <c r="A7" s="388" t="s">
        <v>8426</v>
      </c>
      <c r="B7" s="64"/>
      <c r="C7" s="64"/>
      <c r="D7" s="64"/>
      <c r="E7" s="64"/>
      <c r="F7" s="64"/>
      <c r="G7" s="64"/>
      <c r="H7" s="64"/>
      <c r="I7" s="64"/>
      <c r="J7" s="64"/>
      <c r="K7" s="64"/>
      <c r="L7" s="64"/>
      <c r="M7" s="64"/>
      <c r="N7" s="64"/>
      <c r="O7" s="65"/>
      <c r="P7" s="3"/>
      <c r="Q7" s="3"/>
      <c r="R7" s="3"/>
      <c r="S7" s="3"/>
      <c r="T7" s="3"/>
      <c r="U7" s="3"/>
      <c r="V7" s="3"/>
      <c r="W7" s="3"/>
      <c r="X7" s="3"/>
      <c r="Y7" s="3"/>
      <c r="Z7" s="3"/>
    </row>
    <row r="8" ht="14.25" customHeight="1">
      <c r="A8" s="388" t="s">
        <v>8427</v>
      </c>
      <c r="B8" s="64"/>
      <c r="C8" s="64"/>
      <c r="D8" s="64"/>
      <c r="E8" s="64"/>
      <c r="F8" s="64"/>
      <c r="G8" s="64"/>
      <c r="H8" s="64"/>
      <c r="I8" s="64"/>
      <c r="J8" s="64"/>
      <c r="K8" s="64"/>
      <c r="L8" s="64"/>
      <c r="M8" s="64"/>
      <c r="N8" s="64"/>
      <c r="O8" s="65"/>
      <c r="P8" s="3"/>
      <c r="Q8" s="3"/>
      <c r="R8" s="3"/>
      <c r="S8" s="3"/>
      <c r="T8" s="3"/>
      <c r="U8" s="3"/>
      <c r="V8" s="3"/>
      <c r="W8" s="3"/>
      <c r="X8" s="3"/>
      <c r="Y8" s="3"/>
      <c r="Z8" s="3"/>
    </row>
    <row r="9" ht="14.25" customHeight="1">
      <c r="A9" s="388" t="s">
        <v>8428</v>
      </c>
      <c r="B9" s="64"/>
      <c r="C9" s="64"/>
      <c r="D9" s="64"/>
      <c r="E9" s="64"/>
      <c r="F9" s="64"/>
      <c r="G9" s="64"/>
      <c r="H9" s="64"/>
      <c r="I9" s="64"/>
      <c r="J9" s="64"/>
      <c r="K9" s="64"/>
      <c r="L9" s="64"/>
      <c r="M9" s="64"/>
      <c r="N9" s="64"/>
      <c r="O9" s="65"/>
      <c r="P9" s="3"/>
      <c r="Q9" s="3"/>
      <c r="R9" s="3"/>
      <c r="S9" s="3"/>
      <c r="T9" s="3"/>
      <c r="U9" s="3"/>
      <c r="V9" s="3"/>
      <c r="W9" s="3"/>
      <c r="X9" s="3"/>
      <c r="Y9" s="3"/>
      <c r="Z9" s="3"/>
    </row>
    <row r="10" ht="14.25" customHeight="1">
      <c r="A10" s="388" t="s">
        <v>8429</v>
      </c>
      <c r="B10" s="64"/>
      <c r="C10" s="64"/>
      <c r="D10" s="64"/>
      <c r="E10" s="64"/>
      <c r="F10" s="64"/>
      <c r="G10" s="64"/>
      <c r="H10" s="64"/>
      <c r="I10" s="64"/>
      <c r="J10" s="64"/>
      <c r="K10" s="64"/>
      <c r="L10" s="64"/>
      <c r="M10" s="64"/>
      <c r="N10" s="64"/>
      <c r="O10" s="65"/>
      <c r="P10" s="3"/>
      <c r="Q10" s="3"/>
      <c r="R10" s="3"/>
      <c r="S10" s="3"/>
      <c r="T10" s="3"/>
      <c r="U10" s="3"/>
      <c r="V10" s="3"/>
      <c r="W10" s="3"/>
      <c r="X10" s="3"/>
      <c r="Y10" s="3"/>
      <c r="Z10" s="3"/>
    </row>
    <row r="11" ht="240.0" customHeight="1">
      <c r="A11" s="389" t="s">
        <v>8430</v>
      </c>
      <c r="B11" s="64"/>
      <c r="C11" s="64"/>
      <c r="D11" s="64"/>
      <c r="E11" s="64"/>
      <c r="F11" s="64"/>
      <c r="G11" s="64"/>
      <c r="H11" s="64"/>
      <c r="I11" s="64"/>
      <c r="J11" s="64"/>
      <c r="K11" s="64"/>
      <c r="L11" s="64"/>
      <c r="M11" s="64"/>
      <c r="N11" s="64"/>
      <c r="O11" s="65"/>
      <c r="P11" s="3"/>
      <c r="Q11" s="3"/>
      <c r="R11" s="3"/>
      <c r="S11" s="3"/>
      <c r="T11" s="3"/>
      <c r="U11" s="3"/>
      <c r="V11" s="3"/>
      <c r="W11" s="3"/>
      <c r="X11" s="3"/>
      <c r="Y11" s="3"/>
      <c r="Z11" s="3"/>
    </row>
    <row r="12">
      <c r="A12" s="109"/>
      <c r="B12" s="110"/>
      <c r="C12" s="110"/>
      <c r="D12" s="110"/>
      <c r="E12" s="110"/>
      <c r="F12" s="110"/>
      <c r="G12" s="110"/>
      <c r="H12" s="109"/>
      <c r="I12" s="3"/>
      <c r="J12" s="3"/>
      <c r="K12" s="3"/>
      <c r="L12" s="3"/>
      <c r="M12" s="3"/>
      <c r="N12" s="3"/>
      <c r="O12" s="3"/>
      <c r="P12" s="3"/>
      <c r="Q12" s="3"/>
      <c r="R12" s="3"/>
      <c r="S12" s="3"/>
      <c r="T12" s="3"/>
      <c r="U12" s="3"/>
      <c r="V12" s="3"/>
      <c r="W12" s="3"/>
      <c r="X12" s="3"/>
      <c r="Y12" s="3"/>
      <c r="Z12" s="3"/>
    </row>
    <row r="13" ht="61.5" customHeight="1">
      <c r="A13" s="228" t="s">
        <v>7</v>
      </c>
      <c r="B13" s="132" t="s">
        <v>8</v>
      </c>
      <c r="C13" s="228" t="s">
        <v>8431</v>
      </c>
      <c r="D13" s="228" t="s">
        <v>8432</v>
      </c>
      <c r="E13" s="228" t="s">
        <v>8433</v>
      </c>
      <c r="F13" s="228" t="s">
        <v>8434</v>
      </c>
      <c r="G13" s="228" t="s">
        <v>8435</v>
      </c>
      <c r="H13" s="228" t="s">
        <v>8436</v>
      </c>
      <c r="I13" s="228" t="s">
        <v>8437</v>
      </c>
      <c r="J13" s="228" t="s">
        <v>8438</v>
      </c>
      <c r="K13" s="112" t="s">
        <v>214</v>
      </c>
      <c r="L13" s="112" t="s">
        <v>215</v>
      </c>
      <c r="M13" s="112" t="s">
        <v>216</v>
      </c>
      <c r="N13" s="228" t="s">
        <v>217</v>
      </c>
      <c r="O13" s="228" t="s">
        <v>221</v>
      </c>
      <c r="P13" s="113" t="s">
        <v>222</v>
      </c>
      <c r="Q13" s="3"/>
      <c r="R13" s="3"/>
      <c r="S13" s="3"/>
      <c r="T13" s="3"/>
      <c r="U13" s="3"/>
      <c r="V13" s="3"/>
      <c r="W13" s="3"/>
      <c r="X13" s="3"/>
      <c r="Y13" s="3"/>
      <c r="Z13" s="3"/>
    </row>
    <row r="14" ht="15.0" customHeight="1">
      <c r="A14" s="224" t="s">
        <v>61</v>
      </c>
      <c r="B14" s="224" t="s">
        <v>52</v>
      </c>
      <c r="C14" s="224" t="s">
        <v>8439</v>
      </c>
      <c r="D14" s="92" t="s">
        <v>8440</v>
      </c>
      <c r="E14" s="92" t="s">
        <v>8441</v>
      </c>
      <c r="F14" s="92" t="s">
        <v>8442</v>
      </c>
      <c r="G14" s="92" t="s">
        <v>8443</v>
      </c>
      <c r="H14" s="327" t="s">
        <v>8444</v>
      </c>
      <c r="I14" s="92" t="s">
        <v>8445</v>
      </c>
      <c r="J14" s="86" t="s">
        <v>8446</v>
      </c>
      <c r="K14" s="82">
        <v>1.0</v>
      </c>
      <c r="L14" s="82">
        <v>1.0</v>
      </c>
      <c r="M14" s="82">
        <v>1.0</v>
      </c>
      <c r="N14" s="281">
        <v>20.0</v>
      </c>
      <c r="O14" s="281">
        <v>20.0</v>
      </c>
      <c r="P14" s="281" t="s">
        <v>61</v>
      </c>
    </row>
    <row r="15" ht="15.0" customHeight="1">
      <c r="A15" s="224" t="s">
        <v>7526</v>
      </c>
      <c r="B15" s="224" t="s">
        <v>52</v>
      </c>
      <c r="C15" s="224" t="s">
        <v>8447</v>
      </c>
      <c r="D15" s="92" t="s">
        <v>8448</v>
      </c>
      <c r="E15" s="92" t="s">
        <v>8449</v>
      </c>
      <c r="F15" s="92" t="s">
        <v>8450</v>
      </c>
      <c r="G15" s="92" t="s">
        <v>8451</v>
      </c>
      <c r="H15" s="78" t="s">
        <v>8452</v>
      </c>
      <c r="I15" s="82" t="s">
        <v>8453</v>
      </c>
      <c r="J15" s="326" t="s">
        <v>8454</v>
      </c>
      <c r="K15" s="82"/>
      <c r="L15" s="82"/>
      <c r="M15" s="82"/>
      <c r="N15" s="281">
        <v>30.0</v>
      </c>
      <c r="O15" s="390">
        <v>120.0</v>
      </c>
      <c r="P15" s="281" t="s">
        <v>51</v>
      </c>
    </row>
    <row r="16" ht="15.0" customHeight="1">
      <c r="A16" s="224" t="s">
        <v>7526</v>
      </c>
      <c r="B16" s="224" t="s">
        <v>52</v>
      </c>
      <c r="C16" s="224" t="s">
        <v>8455</v>
      </c>
      <c r="D16" s="92" t="s">
        <v>8448</v>
      </c>
      <c r="E16" s="92" t="s">
        <v>8449</v>
      </c>
      <c r="F16" s="92" t="s">
        <v>1092</v>
      </c>
      <c r="G16" s="92"/>
      <c r="H16" s="78" t="s">
        <v>8456</v>
      </c>
      <c r="I16" s="82" t="s">
        <v>8457</v>
      </c>
      <c r="J16" s="326" t="s">
        <v>8458</v>
      </c>
      <c r="K16" s="82"/>
      <c r="L16" s="82"/>
      <c r="M16" s="82"/>
      <c r="N16" s="391">
        <v>50.0</v>
      </c>
      <c r="O16" s="390">
        <v>75.0</v>
      </c>
      <c r="P16" s="281" t="s">
        <v>51</v>
      </c>
    </row>
    <row r="17" ht="15.0" customHeight="1">
      <c r="A17" s="224" t="s">
        <v>7526</v>
      </c>
      <c r="B17" s="224" t="s">
        <v>52</v>
      </c>
      <c r="C17" s="224" t="s">
        <v>8459</v>
      </c>
      <c r="D17" s="92" t="s">
        <v>8460</v>
      </c>
      <c r="E17" s="92" t="s">
        <v>8449</v>
      </c>
      <c r="F17" s="92" t="s">
        <v>8461</v>
      </c>
      <c r="G17" s="92" t="s">
        <v>8462</v>
      </c>
      <c r="H17" s="78" t="s">
        <v>8463</v>
      </c>
      <c r="I17" s="82" t="s">
        <v>8464</v>
      </c>
      <c r="J17" s="392" t="s">
        <v>8446</v>
      </c>
      <c r="K17" s="82"/>
      <c r="L17" s="82"/>
      <c r="M17" s="82"/>
      <c r="N17" s="281">
        <v>20.0</v>
      </c>
      <c r="O17" s="390">
        <v>20.0</v>
      </c>
      <c r="P17" s="281" t="s">
        <v>51</v>
      </c>
    </row>
    <row r="18" ht="15.0" customHeight="1">
      <c r="A18" s="224" t="s">
        <v>73</v>
      </c>
      <c r="B18" s="224" t="s">
        <v>52</v>
      </c>
      <c r="C18" s="224" t="s">
        <v>8465</v>
      </c>
      <c r="D18" s="92" t="s">
        <v>8460</v>
      </c>
      <c r="E18" s="92" t="s">
        <v>8449</v>
      </c>
      <c r="F18" s="92" t="s">
        <v>8461</v>
      </c>
      <c r="G18" s="92"/>
      <c r="H18" s="393" t="s">
        <v>8463</v>
      </c>
      <c r="I18" s="82" t="s">
        <v>8466</v>
      </c>
      <c r="J18" s="394">
        <v>45198.0</v>
      </c>
      <c r="K18" s="82"/>
      <c r="L18" s="82"/>
      <c r="M18" s="82"/>
      <c r="N18" s="281">
        <v>20.0</v>
      </c>
      <c r="O18" s="281">
        <v>20.0</v>
      </c>
      <c r="P18" s="281" t="s">
        <v>73</v>
      </c>
    </row>
    <row r="19" ht="15.0" customHeight="1">
      <c r="A19" s="224" t="s">
        <v>58</v>
      </c>
      <c r="B19" s="224" t="s">
        <v>52</v>
      </c>
      <c r="C19" s="224" t="s">
        <v>8467</v>
      </c>
      <c r="D19" s="92" t="s">
        <v>8440</v>
      </c>
      <c r="E19" s="151" t="s">
        <v>8468</v>
      </c>
      <c r="F19" s="92" t="s">
        <v>8442</v>
      </c>
      <c r="G19" s="92" t="s">
        <v>8469</v>
      </c>
      <c r="H19" s="331" t="s">
        <v>8463</v>
      </c>
      <c r="I19" s="82" t="s">
        <v>8470</v>
      </c>
      <c r="J19" s="326" t="s">
        <v>8471</v>
      </c>
      <c r="K19" s="82">
        <v>5.0</v>
      </c>
      <c r="L19" s="82">
        <v>5.0</v>
      </c>
      <c r="M19" s="82">
        <v>5.0</v>
      </c>
      <c r="N19" s="281">
        <v>20.0</v>
      </c>
      <c r="O19" s="390">
        <v>20.0</v>
      </c>
      <c r="P19" s="281" t="s">
        <v>58</v>
      </c>
    </row>
    <row r="20" ht="15.0" customHeight="1">
      <c r="A20" s="224" t="s">
        <v>8472</v>
      </c>
      <c r="B20" s="224" t="s">
        <v>52</v>
      </c>
      <c r="C20" s="224" t="s">
        <v>8473</v>
      </c>
      <c r="D20" s="92" t="s">
        <v>8440</v>
      </c>
      <c r="E20" s="92" t="s">
        <v>8441</v>
      </c>
      <c r="F20" s="92" t="s">
        <v>8474</v>
      </c>
      <c r="G20" s="92">
        <v>200.0</v>
      </c>
      <c r="H20" s="331" t="s">
        <v>8444</v>
      </c>
      <c r="I20" s="82"/>
      <c r="J20" s="326" t="s">
        <v>8471</v>
      </c>
      <c r="K20" s="82">
        <v>8.0</v>
      </c>
      <c r="L20" s="82">
        <v>8.0</v>
      </c>
      <c r="M20" s="82">
        <v>8.0</v>
      </c>
      <c r="N20" s="281">
        <v>20.0</v>
      </c>
      <c r="O20" s="281">
        <v>20.0</v>
      </c>
      <c r="P20" s="281" t="s">
        <v>75</v>
      </c>
    </row>
    <row r="21" ht="15.0" customHeight="1">
      <c r="A21" s="224" t="s">
        <v>8475</v>
      </c>
      <c r="B21" s="224" t="s">
        <v>52</v>
      </c>
      <c r="C21" s="224" t="s">
        <v>8476</v>
      </c>
      <c r="D21" s="92" t="s">
        <v>8440</v>
      </c>
      <c r="E21" s="92" t="s">
        <v>8441</v>
      </c>
      <c r="F21" s="92" t="s">
        <v>8442</v>
      </c>
      <c r="G21" s="92" t="s">
        <v>8443</v>
      </c>
      <c r="H21" s="331" t="s">
        <v>8444</v>
      </c>
      <c r="I21" s="82" t="s">
        <v>8445</v>
      </c>
      <c r="J21" s="326" t="s">
        <v>8446</v>
      </c>
      <c r="K21" s="82">
        <v>1.0</v>
      </c>
      <c r="L21" s="82">
        <v>1.0</v>
      </c>
      <c r="M21" s="82">
        <v>1.0</v>
      </c>
      <c r="N21" s="281">
        <v>20.0</v>
      </c>
      <c r="O21" s="281">
        <v>20.0</v>
      </c>
      <c r="P21" s="281" t="s">
        <v>296</v>
      </c>
    </row>
    <row r="22" ht="15.0" customHeight="1">
      <c r="A22" s="224" t="s">
        <v>8475</v>
      </c>
      <c r="B22" s="224" t="s">
        <v>52</v>
      </c>
      <c r="C22" s="224" t="s">
        <v>8477</v>
      </c>
      <c r="D22" s="92" t="s">
        <v>8478</v>
      </c>
      <c r="E22" s="92" t="s">
        <v>8441</v>
      </c>
      <c r="F22" s="92" t="s">
        <v>8442</v>
      </c>
      <c r="G22" s="92" t="s">
        <v>8479</v>
      </c>
      <c r="H22" s="379" t="s">
        <v>8480</v>
      </c>
      <c r="I22" s="92" t="s">
        <v>8481</v>
      </c>
      <c r="J22" s="395">
        <v>45246.0</v>
      </c>
      <c r="K22" s="82">
        <v>5.0</v>
      </c>
      <c r="L22" s="82">
        <v>4.0</v>
      </c>
      <c r="M22" s="82">
        <v>5.0</v>
      </c>
      <c r="N22" s="281" t="s">
        <v>8482</v>
      </c>
      <c r="O22" s="281">
        <f>30*1.5</f>
        <v>45</v>
      </c>
      <c r="P22" s="281" t="s">
        <v>296</v>
      </c>
    </row>
    <row r="23" ht="15.0" customHeight="1">
      <c r="A23" s="252" t="s">
        <v>7653</v>
      </c>
      <c r="B23" s="252" t="s">
        <v>52</v>
      </c>
      <c r="C23" s="252" t="s">
        <v>8459</v>
      </c>
      <c r="D23" s="91" t="s">
        <v>8483</v>
      </c>
      <c r="E23" s="91" t="s">
        <v>8484</v>
      </c>
      <c r="F23" s="91" t="s">
        <v>8442</v>
      </c>
      <c r="G23" s="91" t="s">
        <v>8443</v>
      </c>
      <c r="H23" s="181" t="s">
        <v>8444</v>
      </c>
      <c r="I23" s="85" t="s">
        <v>8485</v>
      </c>
      <c r="J23" s="396">
        <v>44834.0</v>
      </c>
      <c r="K23" s="85">
        <v>1.0</v>
      </c>
      <c r="L23" s="85">
        <v>1.0</v>
      </c>
      <c r="M23" s="85">
        <v>1.0</v>
      </c>
      <c r="N23" s="85">
        <v>20.0</v>
      </c>
      <c r="O23" s="85">
        <v>20.0</v>
      </c>
      <c r="P23" s="281" t="s">
        <v>90</v>
      </c>
    </row>
    <row r="24" ht="15.0" customHeight="1">
      <c r="A24" s="397" t="s">
        <v>7653</v>
      </c>
      <c r="B24" s="224" t="s">
        <v>52</v>
      </c>
      <c r="C24" s="224" t="s">
        <v>8486</v>
      </c>
      <c r="D24" s="92" t="s">
        <v>8478</v>
      </c>
      <c r="E24" s="92" t="s">
        <v>8441</v>
      </c>
      <c r="F24" s="92" t="s">
        <v>8487</v>
      </c>
      <c r="G24" s="92" t="s">
        <v>8479</v>
      </c>
      <c r="H24" s="379" t="s">
        <v>8488</v>
      </c>
      <c r="I24" s="82" t="s">
        <v>8489</v>
      </c>
      <c r="J24" s="326" t="s">
        <v>8490</v>
      </c>
      <c r="K24" s="82">
        <v>4.0</v>
      </c>
      <c r="L24" s="82">
        <v>4.0</v>
      </c>
      <c r="M24" s="82">
        <v>4.0</v>
      </c>
      <c r="N24" s="82" t="s">
        <v>8491</v>
      </c>
      <c r="O24" s="82">
        <v>60.0</v>
      </c>
      <c r="P24" s="281" t="s">
        <v>90</v>
      </c>
    </row>
    <row r="25" ht="15.75" customHeight="1">
      <c r="A25" s="139" t="s">
        <v>92</v>
      </c>
      <c r="B25" s="139" t="s">
        <v>52</v>
      </c>
      <c r="C25" s="139" t="s">
        <v>8492</v>
      </c>
      <c r="D25" s="302" t="s">
        <v>8493</v>
      </c>
      <c r="E25" s="302" t="s">
        <v>8494</v>
      </c>
      <c r="F25" s="302" t="s">
        <v>8495</v>
      </c>
      <c r="G25" s="302" t="s">
        <v>8496</v>
      </c>
      <c r="H25" s="398" t="s">
        <v>8492</v>
      </c>
      <c r="I25" s="302" t="s">
        <v>8494</v>
      </c>
      <c r="J25" s="302" t="s">
        <v>8446</v>
      </c>
      <c r="K25" s="302"/>
      <c r="L25" s="302">
        <v>5.0</v>
      </c>
      <c r="M25" s="302">
        <v>5.0</v>
      </c>
      <c r="N25" s="302" t="s">
        <v>8497</v>
      </c>
      <c r="O25" s="302">
        <f>20/5*2</f>
        <v>8</v>
      </c>
      <c r="P25" s="281" t="s">
        <v>92</v>
      </c>
    </row>
    <row r="26" ht="15.75" customHeight="1">
      <c r="A26" s="139" t="s">
        <v>92</v>
      </c>
      <c r="B26" s="139" t="s">
        <v>52</v>
      </c>
      <c r="C26" s="139" t="s">
        <v>8498</v>
      </c>
      <c r="D26" s="149" t="s">
        <v>8493</v>
      </c>
      <c r="E26" s="149" t="s">
        <v>8484</v>
      </c>
      <c r="F26" s="149" t="s">
        <v>8495</v>
      </c>
      <c r="G26" s="149" t="s">
        <v>8499</v>
      </c>
      <c r="H26" s="399" t="s">
        <v>8500</v>
      </c>
      <c r="I26" s="149" t="s">
        <v>8484</v>
      </c>
      <c r="J26" s="149" t="s">
        <v>8501</v>
      </c>
      <c r="K26" s="149"/>
      <c r="L26" s="149" t="s">
        <v>1861</v>
      </c>
      <c r="M26" s="149" t="s">
        <v>1861</v>
      </c>
      <c r="N26" s="149" t="s">
        <v>8502</v>
      </c>
      <c r="O26" s="149">
        <v>15.0</v>
      </c>
      <c r="P26" s="281" t="s">
        <v>92</v>
      </c>
    </row>
    <row r="27" ht="15.0" customHeight="1">
      <c r="A27" s="224" t="s">
        <v>8503</v>
      </c>
      <c r="B27" s="224" t="s">
        <v>8504</v>
      </c>
      <c r="C27" s="224" t="s">
        <v>8505</v>
      </c>
      <c r="D27" s="92" t="s">
        <v>8493</v>
      </c>
      <c r="E27" s="92"/>
      <c r="F27" s="92" t="s">
        <v>8495</v>
      </c>
      <c r="G27" s="92" t="s">
        <v>8506</v>
      </c>
      <c r="H27" s="78" t="s">
        <v>8444</v>
      </c>
      <c r="I27" s="82" t="s">
        <v>8507</v>
      </c>
      <c r="J27" s="326" t="s">
        <v>8471</v>
      </c>
      <c r="K27" s="82">
        <v>0.0</v>
      </c>
      <c r="L27" s="82">
        <v>1.0</v>
      </c>
      <c r="M27" s="82">
        <v>1.0</v>
      </c>
      <c r="N27" s="282">
        <v>20.0</v>
      </c>
      <c r="O27" s="282">
        <v>20.0</v>
      </c>
      <c r="P27" s="281" t="s">
        <v>72</v>
      </c>
    </row>
    <row r="28" ht="15.0" customHeight="1">
      <c r="A28" s="224" t="s">
        <v>7659</v>
      </c>
      <c r="B28" s="224" t="s">
        <v>52</v>
      </c>
      <c r="C28" s="224" t="s">
        <v>8455</v>
      </c>
      <c r="D28" s="92" t="s">
        <v>8448</v>
      </c>
      <c r="E28" s="92" t="s">
        <v>8449</v>
      </c>
      <c r="F28" s="92" t="s">
        <v>1092</v>
      </c>
      <c r="G28" s="92"/>
      <c r="H28" s="78" t="s">
        <v>8456</v>
      </c>
      <c r="I28" s="82" t="s">
        <v>8457</v>
      </c>
      <c r="J28" s="326" t="s">
        <v>8458</v>
      </c>
      <c r="K28" s="82"/>
      <c r="L28" s="82"/>
      <c r="M28" s="82"/>
      <c r="N28" s="391">
        <v>50.0</v>
      </c>
      <c r="O28" s="390">
        <v>75.0</v>
      </c>
      <c r="P28" s="281" t="s">
        <v>60</v>
      </c>
    </row>
    <row r="29" ht="15.0" customHeight="1">
      <c r="A29" s="224" t="s">
        <v>7659</v>
      </c>
      <c r="B29" s="224" t="s">
        <v>52</v>
      </c>
      <c r="C29" s="224" t="s">
        <v>8508</v>
      </c>
      <c r="D29" s="92" t="s">
        <v>8448</v>
      </c>
      <c r="E29" s="92" t="s">
        <v>8449</v>
      </c>
      <c r="F29" s="92" t="s">
        <v>8509</v>
      </c>
      <c r="G29" s="92"/>
      <c r="H29" s="78" t="s">
        <v>8510</v>
      </c>
      <c r="I29" s="82" t="s">
        <v>8457</v>
      </c>
      <c r="J29" s="326" t="s">
        <v>8511</v>
      </c>
      <c r="K29" s="82"/>
      <c r="L29" s="82"/>
      <c r="M29" s="82"/>
      <c r="N29" s="281">
        <v>50.0</v>
      </c>
      <c r="O29" s="390">
        <f t="shared" ref="O29:O30" si="1">N29*1.5</f>
        <v>75</v>
      </c>
      <c r="P29" s="281" t="s">
        <v>60</v>
      </c>
    </row>
    <row r="30" ht="15.0" customHeight="1">
      <c r="A30" s="224" t="s">
        <v>7659</v>
      </c>
      <c r="B30" s="224" t="s">
        <v>52</v>
      </c>
      <c r="C30" s="224" t="s">
        <v>8512</v>
      </c>
      <c r="D30" s="92" t="s">
        <v>8448</v>
      </c>
      <c r="E30" s="92" t="s">
        <v>8449</v>
      </c>
      <c r="F30" s="92" t="s">
        <v>8461</v>
      </c>
      <c r="G30" s="92"/>
      <c r="H30" s="78" t="s">
        <v>8513</v>
      </c>
      <c r="I30" s="82" t="s">
        <v>8457</v>
      </c>
      <c r="J30" s="326" t="s">
        <v>8514</v>
      </c>
      <c r="K30" s="82"/>
      <c r="L30" s="82"/>
      <c r="M30" s="82"/>
      <c r="N30" s="281">
        <v>50.0</v>
      </c>
      <c r="O30" s="390">
        <f t="shared" si="1"/>
        <v>75</v>
      </c>
      <c r="P30" s="281" t="s">
        <v>60</v>
      </c>
    </row>
    <row r="31" ht="15.0" customHeight="1">
      <c r="A31" s="224" t="s">
        <v>7659</v>
      </c>
      <c r="B31" s="224" t="s">
        <v>52</v>
      </c>
      <c r="C31" s="224" t="s">
        <v>8459</v>
      </c>
      <c r="D31" s="92" t="s">
        <v>8460</v>
      </c>
      <c r="E31" s="92" t="s">
        <v>8449</v>
      </c>
      <c r="F31" s="92" t="s">
        <v>8461</v>
      </c>
      <c r="G31" s="92" t="s">
        <v>8462</v>
      </c>
      <c r="H31" s="78" t="s">
        <v>8463</v>
      </c>
      <c r="I31" s="82" t="s">
        <v>8464</v>
      </c>
      <c r="J31" s="392" t="s">
        <v>8446</v>
      </c>
      <c r="K31" s="82"/>
      <c r="L31" s="82"/>
      <c r="M31" s="82"/>
      <c r="N31" s="281">
        <v>20.0</v>
      </c>
      <c r="O31" s="390">
        <v>20.0</v>
      </c>
      <c r="P31" s="281" t="s">
        <v>60</v>
      </c>
    </row>
    <row r="32" ht="15.0" customHeight="1">
      <c r="A32" s="224" t="s">
        <v>8515</v>
      </c>
      <c r="B32" s="224" t="s">
        <v>52</v>
      </c>
      <c r="C32" s="224" t="s">
        <v>8486</v>
      </c>
      <c r="D32" s="92" t="s">
        <v>8478</v>
      </c>
      <c r="E32" s="92" t="s">
        <v>8441</v>
      </c>
      <c r="F32" s="92" t="s">
        <v>8516</v>
      </c>
      <c r="G32" s="92" t="s">
        <v>8479</v>
      </c>
      <c r="H32" s="327" t="s">
        <v>8517</v>
      </c>
      <c r="I32" s="92" t="s">
        <v>8481</v>
      </c>
      <c r="J32" s="82" t="s">
        <v>8518</v>
      </c>
      <c r="K32" s="82">
        <v>6.0</v>
      </c>
      <c r="L32" s="82">
        <v>6.0</v>
      </c>
      <c r="M32" s="82">
        <v>6.0</v>
      </c>
      <c r="N32" s="82" t="s">
        <v>8491</v>
      </c>
      <c r="O32" s="82">
        <v>60.0</v>
      </c>
      <c r="P32" s="281" t="s">
        <v>82</v>
      </c>
    </row>
    <row r="33" ht="15.0" customHeight="1">
      <c r="A33" s="224" t="s">
        <v>8515</v>
      </c>
      <c r="B33" s="224" t="s">
        <v>52</v>
      </c>
      <c r="C33" s="224" t="s">
        <v>8486</v>
      </c>
      <c r="D33" s="92" t="s">
        <v>8478</v>
      </c>
      <c r="E33" s="92" t="s">
        <v>8441</v>
      </c>
      <c r="F33" s="92" t="s">
        <v>8516</v>
      </c>
      <c r="G33" s="92" t="s">
        <v>8479</v>
      </c>
      <c r="H33" s="327" t="s">
        <v>8517</v>
      </c>
      <c r="I33" s="92" t="s">
        <v>8519</v>
      </c>
      <c r="J33" s="82" t="s">
        <v>8518</v>
      </c>
      <c r="K33" s="82">
        <v>6.0</v>
      </c>
      <c r="L33" s="82">
        <v>6.0</v>
      </c>
      <c r="M33" s="82">
        <v>6.0</v>
      </c>
      <c r="N33" s="82" t="s">
        <v>8520</v>
      </c>
      <c r="O33" s="92">
        <f>40/6</f>
        <v>6.666666667</v>
      </c>
      <c r="P33" s="281" t="s">
        <v>82</v>
      </c>
    </row>
    <row r="34" ht="15.0" customHeight="1">
      <c r="A34" s="224" t="s">
        <v>7704</v>
      </c>
      <c r="B34" s="224" t="s">
        <v>52</v>
      </c>
      <c r="C34" s="224" t="s">
        <v>8521</v>
      </c>
      <c r="D34" s="92" t="s">
        <v>8440</v>
      </c>
      <c r="E34" s="92" t="s">
        <v>8441</v>
      </c>
      <c r="F34" s="92" t="s">
        <v>8442</v>
      </c>
      <c r="G34" s="92" t="s">
        <v>8443</v>
      </c>
      <c r="H34" s="327" t="s">
        <v>8444</v>
      </c>
      <c r="I34" s="92" t="s">
        <v>8445</v>
      </c>
      <c r="J34" s="86" t="s">
        <v>8446</v>
      </c>
      <c r="K34" s="82">
        <v>1.0</v>
      </c>
      <c r="L34" s="82">
        <v>1.0</v>
      </c>
      <c r="M34" s="82">
        <v>1.0</v>
      </c>
      <c r="N34" s="82">
        <v>20.0</v>
      </c>
      <c r="O34" s="82">
        <v>20.0</v>
      </c>
      <c r="P34" s="281" t="s">
        <v>82</v>
      </c>
    </row>
    <row r="35" ht="15.0" customHeight="1">
      <c r="A35" s="224" t="s">
        <v>8522</v>
      </c>
      <c r="B35" s="224" t="s">
        <v>52</v>
      </c>
      <c r="C35" s="224" t="s">
        <v>8523</v>
      </c>
      <c r="D35" s="92" t="s">
        <v>8524</v>
      </c>
      <c r="E35" s="92" t="s">
        <v>8449</v>
      </c>
      <c r="F35" s="92" t="s">
        <v>8525</v>
      </c>
      <c r="G35" s="92">
        <v>200.0</v>
      </c>
      <c r="H35" s="331" t="s">
        <v>8444</v>
      </c>
      <c r="I35" s="82" t="s">
        <v>8526</v>
      </c>
      <c r="J35" s="326" t="s">
        <v>8471</v>
      </c>
      <c r="K35" s="82">
        <v>0.0</v>
      </c>
      <c r="L35" s="82">
        <v>1.0</v>
      </c>
      <c r="M35" s="82">
        <v>1.0</v>
      </c>
      <c r="N35" s="281">
        <v>20.0</v>
      </c>
      <c r="O35" s="281">
        <v>20.0</v>
      </c>
      <c r="P35" s="281" t="s">
        <v>80</v>
      </c>
    </row>
    <row r="36" ht="15.0" customHeight="1">
      <c r="A36" s="224" t="s">
        <v>8527</v>
      </c>
      <c r="B36" s="224" t="s">
        <v>52</v>
      </c>
      <c r="C36" s="224" t="s">
        <v>8528</v>
      </c>
      <c r="D36" s="92" t="s">
        <v>8529</v>
      </c>
      <c r="E36" s="92" t="s">
        <v>8530</v>
      </c>
      <c r="F36" s="92" t="s">
        <v>8525</v>
      </c>
      <c r="G36" s="92">
        <v>200.0</v>
      </c>
      <c r="H36" s="372" t="s">
        <v>8531</v>
      </c>
      <c r="I36" s="82" t="s">
        <v>8532</v>
      </c>
      <c r="J36" s="326" t="s">
        <v>8533</v>
      </c>
      <c r="K36" s="82">
        <v>1.0</v>
      </c>
      <c r="L36" s="82">
        <v>5.0</v>
      </c>
      <c r="M36" s="82">
        <v>6.0</v>
      </c>
      <c r="N36" s="281" t="s">
        <v>8534</v>
      </c>
      <c r="O36" s="281">
        <f>30*1.5/5</f>
        <v>9</v>
      </c>
      <c r="P36" s="281" t="s">
        <v>80</v>
      </c>
    </row>
    <row r="37" ht="15.0" customHeight="1">
      <c r="A37" s="224" t="s">
        <v>67</v>
      </c>
      <c r="B37" s="224" t="s">
        <v>52</v>
      </c>
      <c r="C37" s="224" t="s">
        <v>8535</v>
      </c>
      <c r="D37" s="92" t="s">
        <v>8493</v>
      </c>
      <c r="E37" s="92" t="s">
        <v>8484</v>
      </c>
      <c r="F37" s="92" t="s">
        <v>8461</v>
      </c>
      <c r="G37" s="92" t="s">
        <v>8496</v>
      </c>
      <c r="H37" s="331" t="s">
        <v>8444</v>
      </c>
      <c r="I37" s="82" t="s">
        <v>8507</v>
      </c>
      <c r="J37" s="395">
        <v>45198.0</v>
      </c>
      <c r="K37" s="82"/>
      <c r="L37" s="82"/>
      <c r="M37" s="82"/>
      <c r="N37" s="282">
        <v>20.0</v>
      </c>
      <c r="O37" s="282">
        <v>20.0</v>
      </c>
      <c r="P37" s="281" t="s">
        <v>67</v>
      </c>
    </row>
    <row r="38" ht="15.0" customHeight="1">
      <c r="A38" s="400" t="s">
        <v>8536</v>
      </c>
      <c r="B38" s="400" t="s">
        <v>52</v>
      </c>
      <c r="C38" s="400" t="s">
        <v>8537</v>
      </c>
      <c r="D38" s="162" t="s">
        <v>8460</v>
      </c>
      <c r="E38" s="162" t="s">
        <v>8441</v>
      </c>
      <c r="F38" s="162" t="s">
        <v>8442</v>
      </c>
      <c r="G38" s="162" t="s">
        <v>8443</v>
      </c>
      <c r="H38" s="401" t="s">
        <v>8538</v>
      </c>
      <c r="I38" s="148" t="s">
        <v>8445</v>
      </c>
      <c r="J38" s="402" t="s">
        <v>8539</v>
      </c>
      <c r="K38" s="148">
        <v>1.0</v>
      </c>
      <c r="L38" s="148">
        <v>1.0</v>
      </c>
      <c r="M38" s="148">
        <v>1.0</v>
      </c>
      <c r="N38" s="391">
        <v>20.0</v>
      </c>
      <c r="O38" s="391">
        <v>20.0</v>
      </c>
      <c r="P38" s="281" t="s">
        <v>87</v>
      </c>
    </row>
    <row r="39" ht="15.75" customHeight="1">
      <c r="A39" s="400" t="s">
        <v>8540</v>
      </c>
      <c r="B39" s="403" t="s">
        <v>52</v>
      </c>
      <c r="C39" s="400" t="s">
        <v>8541</v>
      </c>
      <c r="D39" s="404" t="s">
        <v>8478</v>
      </c>
      <c r="E39" s="162" t="s">
        <v>8542</v>
      </c>
      <c r="F39" s="162" t="s">
        <v>8543</v>
      </c>
      <c r="G39" s="404" t="s">
        <v>8544</v>
      </c>
      <c r="H39" s="405" t="s">
        <v>8545</v>
      </c>
      <c r="I39" s="404" t="s">
        <v>8441</v>
      </c>
      <c r="J39" s="406" t="s">
        <v>8546</v>
      </c>
      <c r="K39" s="148">
        <v>6.0</v>
      </c>
      <c r="L39" s="148">
        <v>6.0</v>
      </c>
      <c r="M39" s="148">
        <v>6.0</v>
      </c>
      <c r="N39" s="299">
        <f t="shared" ref="N39:N40" si="2">30*2</f>
        <v>60</v>
      </c>
      <c r="O39" s="407">
        <f t="shared" ref="O39:O40" si="3">N39*2/M39</f>
        <v>20</v>
      </c>
      <c r="P39" s="281" t="s">
        <v>87</v>
      </c>
    </row>
    <row r="40" ht="15.75" customHeight="1">
      <c r="A40" s="400" t="s">
        <v>8540</v>
      </c>
      <c r="B40" s="403" t="s">
        <v>52</v>
      </c>
      <c r="C40" s="400" t="s">
        <v>8541</v>
      </c>
      <c r="D40" s="404" t="s">
        <v>8478</v>
      </c>
      <c r="E40" s="162" t="s">
        <v>8547</v>
      </c>
      <c r="F40" s="162" t="s">
        <v>8543</v>
      </c>
      <c r="G40" s="404" t="s">
        <v>8544</v>
      </c>
      <c r="H40" s="405" t="s">
        <v>8545</v>
      </c>
      <c r="I40" s="404" t="s">
        <v>8441</v>
      </c>
      <c r="J40" s="406" t="s">
        <v>8546</v>
      </c>
      <c r="K40" s="148">
        <v>6.0</v>
      </c>
      <c r="L40" s="148">
        <v>6.0</v>
      </c>
      <c r="M40" s="148">
        <v>6.0</v>
      </c>
      <c r="N40" s="299">
        <f t="shared" si="2"/>
        <v>60</v>
      </c>
      <c r="O40" s="407">
        <f t="shared" si="3"/>
        <v>20</v>
      </c>
      <c r="P40" s="281" t="s">
        <v>87</v>
      </c>
    </row>
    <row r="41" ht="15.0" customHeight="1">
      <c r="A41" s="408" t="s">
        <v>7720</v>
      </c>
      <c r="B41" s="119" t="s">
        <v>52</v>
      </c>
      <c r="C41" s="252" t="s">
        <v>8541</v>
      </c>
      <c r="D41" s="92" t="s">
        <v>8478</v>
      </c>
      <c r="E41" s="92" t="s">
        <v>7529</v>
      </c>
      <c r="F41" s="92" t="s">
        <v>8543</v>
      </c>
      <c r="G41" s="92" t="s">
        <v>8544</v>
      </c>
      <c r="H41" s="79" t="s">
        <v>8548</v>
      </c>
      <c r="I41" s="92" t="s">
        <v>7529</v>
      </c>
      <c r="J41" s="326" t="s">
        <v>8546</v>
      </c>
      <c r="K41" s="82"/>
      <c r="L41" s="82"/>
      <c r="M41" s="82"/>
      <c r="N41" s="288">
        <v>50.0</v>
      </c>
      <c r="O41" s="288">
        <f>N41*2</f>
        <v>100</v>
      </c>
      <c r="P41" s="281" t="s">
        <v>59</v>
      </c>
    </row>
    <row r="42" ht="15.0" customHeight="1">
      <c r="A42" s="409" t="s">
        <v>7720</v>
      </c>
      <c r="B42" s="410" t="s">
        <v>52</v>
      </c>
      <c r="C42" s="252" t="s">
        <v>8541</v>
      </c>
      <c r="D42" s="151" t="s">
        <v>8478</v>
      </c>
      <c r="E42" s="151" t="s">
        <v>8549</v>
      </c>
      <c r="F42" s="92" t="s">
        <v>8543</v>
      </c>
      <c r="G42" s="151" t="s">
        <v>8544</v>
      </c>
      <c r="H42" s="154" t="s">
        <v>8545</v>
      </c>
      <c r="I42" s="151" t="s">
        <v>8441</v>
      </c>
      <c r="J42" s="326" t="s">
        <v>8546</v>
      </c>
      <c r="K42" s="100">
        <v>2.0</v>
      </c>
      <c r="L42" s="100">
        <v>2.0</v>
      </c>
      <c r="M42" s="100">
        <v>2.0</v>
      </c>
      <c r="N42" s="304">
        <v>60.0</v>
      </c>
      <c r="O42" s="304">
        <f t="shared" ref="O42:O44" si="4">N42*2/M42</f>
        <v>60</v>
      </c>
      <c r="P42" s="281" t="s">
        <v>59</v>
      </c>
    </row>
    <row r="43" ht="15.75" customHeight="1">
      <c r="A43" s="409" t="s">
        <v>7720</v>
      </c>
      <c r="B43" s="410" t="s">
        <v>52</v>
      </c>
      <c r="C43" s="252" t="s">
        <v>8541</v>
      </c>
      <c r="D43" s="151" t="s">
        <v>8478</v>
      </c>
      <c r="E43" s="162" t="s">
        <v>8542</v>
      </c>
      <c r="F43" s="92" t="s">
        <v>8543</v>
      </c>
      <c r="G43" s="151" t="s">
        <v>8544</v>
      </c>
      <c r="H43" s="154" t="s">
        <v>8545</v>
      </c>
      <c r="I43" s="151" t="s">
        <v>8441</v>
      </c>
      <c r="J43" s="326" t="s">
        <v>8546</v>
      </c>
      <c r="K43" s="82">
        <v>6.0</v>
      </c>
      <c r="L43" s="82">
        <v>6.0</v>
      </c>
      <c r="M43" s="82">
        <v>6.0</v>
      </c>
      <c r="N43" s="288">
        <v>60.0</v>
      </c>
      <c r="O43" s="304">
        <f t="shared" si="4"/>
        <v>20</v>
      </c>
      <c r="P43" s="281" t="s">
        <v>59</v>
      </c>
    </row>
    <row r="44" ht="15.75" customHeight="1">
      <c r="A44" s="409" t="s">
        <v>7720</v>
      </c>
      <c r="B44" s="410" t="s">
        <v>52</v>
      </c>
      <c r="C44" s="252" t="s">
        <v>8541</v>
      </c>
      <c r="D44" s="151" t="s">
        <v>8478</v>
      </c>
      <c r="E44" s="162" t="s">
        <v>8547</v>
      </c>
      <c r="F44" s="92" t="s">
        <v>8543</v>
      </c>
      <c r="G44" s="151" t="s">
        <v>8544</v>
      </c>
      <c r="H44" s="154" t="s">
        <v>8545</v>
      </c>
      <c r="I44" s="151" t="s">
        <v>8441</v>
      </c>
      <c r="J44" s="326" t="s">
        <v>8546</v>
      </c>
      <c r="K44" s="82">
        <v>6.0</v>
      </c>
      <c r="L44" s="82">
        <v>6.0</v>
      </c>
      <c r="M44" s="82">
        <v>6.0</v>
      </c>
      <c r="N44" s="288">
        <v>60.0</v>
      </c>
      <c r="O44" s="304">
        <f t="shared" si="4"/>
        <v>20</v>
      </c>
      <c r="P44" s="281" t="s">
        <v>59</v>
      </c>
    </row>
    <row r="45" ht="15.0" customHeight="1">
      <c r="A45" s="408" t="s">
        <v>7720</v>
      </c>
      <c r="B45" s="119" t="s">
        <v>52</v>
      </c>
      <c r="C45" s="224" t="s">
        <v>8537</v>
      </c>
      <c r="D45" s="92" t="s">
        <v>8440</v>
      </c>
      <c r="E45" s="151" t="s">
        <v>8550</v>
      </c>
      <c r="F45" s="92" t="s">
        <v>8442</v>
      </c>
      <c r="G45" s="92" t="s">
        <v>8469</v>
      </c>
      <c r="H45" s="80"/>
      <c r="I45" s="82" t="s">
        <v>8470</v>
      </c>
      <c r="J45" s="394">
        <v>45198.0</v>
      </c>
      <c r="K45" s="82">
        <v>5.0</v>
      </c>
      <c r="L45" s="82">
        <v>5.0</v>
      </c>
      <c r="M45" s="82">
        <v>5.0</v>
      </c>
      <c r="N45" s="288">
        <v>20.0</v>
      </c>
      <c r="O45" s="288">
        <f>N45</f>
        <v>20</v>
      </c>
      <c r="P45" s="281" t="s">
        <v>59</v>
      </c>
    </row>
    <row r="46" ht="15.0" customHeight="1">
      <c r="A46" s="224" t="s">
        <v>91</v>
      </c>
      <c r="B46" s="224" t="s">
        <v>52</v>
      </c>
      <c r="C46" s="224" t="s">
        <v>8473</v>
      </c>
      <c r="D46" s="92" t="s">
        <v>8483</v>
      </c>
      <c r="E46" s="92" t="s">
        <v>8484</v>
      </c>
      <c r="F46" s="92" t="s">
        <v>8442</v>
      </c>
      <c r="G46" s="92" t="s">
        <v>8496</v>
      </c>
      <c r="H46" s="78" t="s">
        <v>8444</v>
      </c>
      <c r="I46" s="82" t="s">
        <v>8507</v>
      </c>
      <c r="J46" s="326" t="s">
        <v>8471</v>
      </c>
      <c r="K46" s="82"/>
      <c r="L46" s="82"/>
      <c r="M46" s="82"/>
      <c r="N46" s="82">
        <v>20.0</v>
      </c>
      <c r="O46" s="82">
        <v>20.0</v>
      </c>
      <c r="P46" s="281" t="s">
        <v>91</v>
      </c>
    </row>
    <row r="47" ht="15.0" customHeight="1">
      <c r="A47" s="224" t="s">
        <v>91</v>
      </c>
      <c r="B47" s="224" t="s">
        <v>52</v>
      </c>
      <c r="C47" s="224" t="s">
        <v>8486</v>
      </c>
      <c r="D47" s="92" t="s">
        <v>8478</v>
      </c>
      <c r="E47" s="92" t="s">
        <v>8441</v>
      </c>
      <c r="F47" s="92" t="s">
        <v>8487</v>
      </c>
      <c r="G47" s="92" t="s">
        <v>8551</v>
      </c>
      <c r="H47" s="379" t="s">
        <v>8488</v>
      </c>
      <c r="I47" s="82" t="s">
        <v>8552</v>
      </c>
      <c r="J47" s="326" t="s">
        <v>8490</v>
      </c>
      <c r="K47" s="82">
        <v>4.0</v>
      </c>
      <c r="L47" s="82">
        <v>4.0</v>
      </c>
      <c r="M47" s="82">
        <v>4.0</v>
      </c>
      <c r="N47" s="82" t="s">
        <v>8520</v>
      </c>
      <c r="O47" s="82">
        <f>20*2/4</f>
        <v>10</v>
      </c>
      <c r="P47" s="281" t="s">
        <v>91</v>
      </c>
    </row>
    <row r="48" ht="15.0" customHeight="1">
      <c r="A48" s="224" t="s">
        <v>8553</v>
      </c>
      <c r="B48" s="224" t="s">
        <v>52</v>
      </c>
      <c r="C48" s="224" t="s">
        <v>8465</v>
      </c>
      <c r="D48" s="92" t="s">
        <v>8460</v>
      </c>
      <c r="E48" s="92" t="s">
        <v>8449</v>
      </c>
      <c r="F48" s="92" t="s">
        <v>8461</v>
      </c>
      <c r="G48" s="92"/>
      <c r="H48" s="393" t="s">
        <v>8463</v>
      </c>
      <c r="I48" s="82" t="s">
        <v>8554</v>
      </c>
      <c r="J48" s="394">
        <v>45198.0</v>
      </c>
      <c r="K48" s="82"/>
      <c r="L48" s="82"/>
      <c r="M48" s="82"/>
      <c r="N48" s="281">
        <v>20.0</v>
      </c>
      <c r="O48" s="281">
        <v>20.0</v>
      </c>
      <c r="P48" s="281" t="s">
        <v>85</v>
      </c>
    </row>
    <row r="49" ht="15.0" customHeight="1">
      <c r="A49" s="224" t="s">
        <v>8555</v>
      </c>
      <c r="B49" s="224" t="s">
        <v>52</v>
      </c>
      <c r="C49" s="224" t="s">
        <v>8465</v>
      </c>
      <c r="D49" s="92" t="s">
        <v>8460</v>
      </c>
      <c r="E49" s="92" t="s">
        <v>8449</v>
      </c>
      <c r="F49" s="92" t="s">
        <v>8461</v>
      </c>
      <c r="G49" s="92"/>
      <c r="H49" s="393" t="s">
        <v>8463</v>
      </c>
      <c r="I49" s="82" t="s">
        <v>8554</v>
      </c>
      <c r="J49" s="394">
        <v>45198.0</v>
      </c>
      <c r="K49" s="82"/>
      <c r="L49" s="82"/>
      <c r="M49" s="82"/>
      <c r="N49" s="281">
        <v>20.0</v>
      </c>
      <c r="O49" s="281">
        <v>20.0</v>
      </c>
      <c r="P49" s="281" t="s">
        <v>515</v>
      </c>
    </row>
    <row r="50" ht="15.0" customHeight="1">
      <c r="A50" s="224" t="s">
        <v>8556</v>
      </c>
      <c r="B50" s="224" t="s">
        <v>52</v>
      </c>
      <c r="C50" s="224" t="s">
        <v>8467</v>
      </c>
      <c r="D50" s="92" t="s">
        <v>8440</v>
      </c>
      <c r="E50" s="92" t="s">
        <v>8557</v>
      </c>
      <c r="F50" s="92" t="s">
        <v>8442</v>
      </c>
      <c r="G50" s="92" t="s">
        <v>8469</v>
      </c>
      <c r="H50" s="331" t="s">
        <v>8463</v>
      </c>
      <c r="I50" s="82" t="s">
        <v>8470</v>
      </c>
      <c r="J50" s="394">
        <v>45198.0</v>
      </c>
      <c r="K50" s="82">
        <v>1.0</v>
      </c>
      <c r="L50" s="82">
        <v>1.0</v>
      </c>
      <c r="M50" s="82">
        <v>1.0</v>
      </c>
      <c r="N50" s="281">
        <v>20.0</v>
      </c>
      <c r="O50" s="281">
        <v>20.0</v>
      </c>
      <c r="P50" s="281" t="s">
        <v>528</v>
      </c>
    </row>
    <row r="51" ht="15.0" customHeight="1">
      <c r="A51" s="224" t="s">
        <v>8558</v>
      </c>
      <c r="B51" s="224" t="s">
        <v>52</v>
      </c>
      <c r="C51" s="224" t="s">
        <v>8465</v>
      </c>
      <c r="D51" s="92" t="s">
        <v>8460</v>
      </c>
      <c r="E51" s="92" t="s">
        <v>8449</v>
      </c>
      <c r="F51" s="92" t="s">
        <v>8461</v>
      </c>
      <c r="G51" s="92"/>
      <c r="H51" s="393" t="s">
        <v>8463</v>
      </c>
      <c r="I51" s="82" t="s">
        <v>8559</v>
      </c>
      <c r="J51" s="394">
        <v>45198.0</v>
      </c>
      <c r="K51" s="82"/>
      <c r="L51" s="82"/>
      <c r="M51" s="82"/>
      <c r="N51" s="281">
        <v>20.0</v>
      </c>
      <c r="O51" s="281">
        <v>20.0</v>
      </c>
      <c r="P51" s="281" t="s">
        <v>533</v>
      </c>
    </row>
    <row r="52" ht="15.0" customHeight="1">
      <c r="A52" s="400" t="s">
        <v>8560</v>
      </c>
      <c r="B52" s="400" t="s">
        <v>52</v>
      </c>
      <c r="C52" s="139" t="s">
        <v>8492</v>
      </c>
      <c r="D52" s="162" t="s">
        <v>8493</v>
      </c>
      <c r="E52" s="162" t="s">
        <v>8494</v>
      </c>
      <c r="F52" s="162" t="s">
        <v>8495</v>
      </c>
      <c r="G52" s="162" t="s">
        <v>8496</v>
      </c>
      <c r="H52" s="411" t="s">
        <v>8492</v>
      </c>
      <c r="I52" s="162" t="s">
        <v>8494</v>
      </c>
      <c r="J52" s="162" t="s">
        <v>8446</v>
      </c>
      <c r="K52" s="162"/>
      <c r="L52" s="162">
        <v>5.0</v>
      </c>
      <c r="M52" s="162">
        <v>5.0</v>
      </c>
      <c r="N52" s="162" t="s">
        <v>8497</v>
      </c>
      <c r="O52" s="162">
        <f>20/5</f>
        <v>4</v>
      </c>
      <c r="P52" s="281" t="s">
        <v>542</v>
      </c>
    </row>
    <row r="53" ht="15.0" customHeight="1">
      <c r="A53" s="224" t="s">
        <v>89</v>
      </c>
      <c r="B53" s="224" t="s">
        <v>52</v>
      </c>
      <c r="C53" s="224" t="s">
        <v>8561</v>
      </c>
      <c r="D53" s="92" t="s">
        <v>8440</v>
      </c>
      <c r="E53" s="92" t="s">
        <v>8441</v>
      </c>
      <c r="F53" s="92" t="s">
        <v>8442</v>
      </c>
      <c r="G53" s="92" t="s">
        <v>8443</v>
      </c>
      <c r="H53" s="331" t="s">
        <v>8444</v>
      </c>
      <c r="I53" s="82" t="s">
        <v>8441</v>
      </c>
      <c r="J53" s="326" t="s">
        <v>8471</v>
      </c>
      <c r="K53" s="82">
        <v>1.0</v>
      </c>
      <c r="L53" s="82">
        <v>1.0</v>
      </c>
      <c r="M53" s="82">
        <v>1.0</v>
      </c>
      <c r="N53" s="281">
        <v>20.0</v>
      </c>
      <c r="O53" s="281">
        <v>20.0</v>
      </c>
      <c r="P53" s="281" t="s">
        <v>89</v>
      </c>
    </row>
    <row r="54" ht="15.0" customHeight="1">
      <c r="A54" s="224" t="s">
        <v>8562</v>
      </c>
      <c r="B54" s="119" t="s">
        <v>52</v>
      </c>
      <c r="C54" s="224" t="s">
        <v>8473</v>
      </c>
      <c r="D54" s="92" t="s">
        <v>8440</v>
      </c>
      <c r="E54" s="92" t="s">
        <v>8441</v>
      </c>
      <c r="F54" s="92" t="s">
        <v>8442</v>
      </c>
      <c r="G54" s="162">
        <v>200.0</v>
      </c>
      <c r="H54" s="331" t="s">
        <v>8444</v>
      </c>
      <c r="I54" s="82"/>
      <c r="J54" s="326" t="s">
        <v>8471</v>
      </c>
      <c r="K54" s="82">
        <v>2.0</v>
      </c>
      <c r="L54" s="82">
        <v>2.0</v>
      </c>
      <c r="M54" s="82">
        <v>2.0</v>
      </c>
      <c r="N54" s="281">
        <v>20.0</v>
      </c>
      <c r="O54" s="281">
        <v>20.0</v>
      </c>
      <c r="P54" s="281" t="s">
        <v>65</v>
      </c>
    </row>
    <row r="55" ht="15.0" customHeight="1">
      <c r="A55" s="224" t="s">
        <v>8562</v>
      </c>
      <c r="B55" s="119" t="s">
        <v>52</v>
      </c>
      <c r="C55" s="224" t="s">
        <v>8563</v>
      </c>
      <c r="D55" s="92" t="s">
        <v>8478</v>
      </c>
      <c r="E55" s="92" t="s">
        <v>8441</v>
      </c>
      <c r="F55" s="92" t="s">
        <v>8442</v>
      </c>
      <c r="G55" s="92">
        <v>200.0</v>
      </c>
      <c r="H55" s="327" t="s">
        <v>8564</v>
      </c>
      <c r="I55" s="82"/>
      <c r="J55" s="326" t="s">
        <v>8565</v>
      </c>
      <c r="K55" s="82">
        <v>1.0</v>
      </c>
      <c r="L55" s="82">
        <v>1.0</v>
      </c>
      <c r="M55" s="82">
        <v>2.0</v>
      </c>
      <c r="N55" s="281">
        <v>20.0</v>
      </c>
      <c r="O55" s="281">
        <v>30.0</v>
      </c>
      <c r="P55" s="281" t="s">
        <v>65</v>
      </c>
    </row>
    <row r="56" ht="15.0" customHeight="1">
      <c r="A56" s="224" t="s">
        <v>8566</v>
      </c>
      <c r="B56" s="119" t="s">
        <v>94</v>
      </c>
      <c r="C56" s="252" t="s">
        <v>8473</v>
      </c>
      <c r="D56" s="92"/>
      <c r="E56" s="92" t="s">
        <v>8484</v>
      </c>
      <c r="F56" s="92" t="s">
        <v>8442</v>
      </c>
      <c r="G56" s="92" t="s">
        <v>8567</v>
      </c>
      <c r="H56" s="327" t="s">
        <v>8463</v>
      </c>
      <c r="I56" s="82"/>
      <c r="J56" s="326" t="s">
        <v>8568</v>
      </c>
      <c r="K56" s="82"/>
      <c r="L56" s="82"/>
      <c r="M56" s="82"/>
      <c r="N56" s="281">
        <v>20.0</v>
      </c>
      <c r="O56" s="281">
        <v>20.0</v>
      </c>
      <c r="P56" s="281" t="s">
        <v>5698</v>
      </c>
    </row>
    <row r="57" ht="15.0" customHeight="1">
      <c r="A57" s="224" t="s">
        <v>8569</v>
      </c>
      <c r="B57" s="224" t="s">
        <v>94</v>
      </c>
      <c r="C57" s="412" t="s">
        <v>8570</v>
      </c>
      <c r="D57" s="413" t="s">
        <v>8571</v>
      </c>
      <c r="E57" s="92" t="s">
        <v>8572</v>
      </c>
      <c r="F57" s="92" t="s">
        <v>8573</v>
      </c>
      <c r="G57" s="92" t="s">
        <v>8574</v>
      </c>
      <c r="H57" s="331" t="s">
        <v>8575</v>
      </c>
      <c r="I57" s="82" t="s">
        <v>8572</v>
      </c>
      <c r="J57" s="326" t="s">
        <v>8576</v>
      </c>
      <c r="K57" s="82">
        <v>3.0</v>
      </c>
      <c r="L57" s="82">
        <v>1.0</v>
      </c>
      <c r="M57" s="82">
        <v>3.0</v>
      </c>
      <c r="N57" s="391" t="s">
        <v>8577</v>
      </c>
      <c r="O57" s="391">
        <v>13.33</v>
      </c>
      <c r="P57" s="281" t="s">
        <v>8578</v>
      </c>
    </row>
    <row r="58" ht="15.0" customHeight="1">
      <c r="A58" s="252" t="s">
        <v>566</v>
      </c>
      <c r="B58" s="414" t="s">
        <v>182</v>
      </c>
      <c r="C58" s="85" t="s">
        <v>8579</v>
      </c>
      <c r="D58" s="85" t="s">
        <v>8571</v>
      </c>
      <c r="E58" s="85" t="s">
        <v>8580</v>
      </c>
      <c r="F58" s="415" t="s">
        <v>1073</v>
      </c>
      <c r="G58" s="98">
        <v>100.0</v>
      </c>
      <c r="H58" s="344" t="s">
        <v>8581</v>
      </c>
      <c r="I58" s="340" t="s">
        <v>8582</v>
      </c>
      <c r="J58" s="326" t="s">
        <v>8583</v>
      </c>
      <c r="K58" s="82"/>
      <c r="L58" s="352"/>
      <c r="M58" s="82"/>
      <c r="N58" s="82" t="s">
        <v>8584</v>
      </c>
      <c r="O58" s="281">
        <v>75.0</v>
      </c>
      <c r="P58" s="281" t="s">
        <v>566</v>
      </c>
    </row>
    <row r="59" ht="15.0" customHeight="1">
      <c r="A59" s="416" t="s">
        <v>8585</v>
      </c>
      <c r="B59" s="417" t="s">
        <v>182</v>
      </c>
      <c r="C59" s="418" t="s">
        <v>8586</v>
      </c>
      <c r="D59" s="419" t="s">
        <v>8587</v>
      </c>
      <c r="E59" s="419" t="s">
        <v>8588</v>
      </c>
      <c r="F59" s="420" t="s">
        <v>8589</v>
      </c>
      <c r="G59" s="415">
        <v>100.0</v>
      </c>
      <c r="H59" s="421" t="s">
        <v>8590</v>
      </c>
      <c r="I59" s="352" t="s">
        <v>8591</v>
      </c>
      <c r="J59" s="422" t="s">
        <v>8592</v>
      </c>
      <c r="K59" s="422"/>
      <c r="L59" s="423"/>
      <c r="M59" s="424"/>
      <c r="N59" s="352" t="s">
        <v>8593</v>
      </c>
      <c r="O59" s="423">
        <v>112.5</v>
      </c>
      <c r="P59" s="281" t="s">
        <v>566</v>
      </c>
    </row>
    <row r="60" ht="15.0" customHeight="1">
      <c r="A60" s="224" t="s">
        <v>2704</v>
      </c>
      <c r="B60" s="224" t="s">
        <v>94</v>
      </c>
      <c r="C60" s="224" t="s">
        <v>8594</v>
      </c>
      <c r="D60" s="92"/>
      <c r="E60" s="92" t="s">
        <v>8595</v>
      </c>
      <c r="F60" s="92" t="s">
        <v>8442</v>
      </c>
      <c r="G60" s="92"/>
      <c r="H60" s="78" t="s">
        <v>8444</v>
      </c>
      <c r="I60" s="82"/>
      <c r="J60" s="326"/>
      <c r="K60" s="82"/>
      <c r="L60" s="82"/>
      <c r="M60" s="82"/>
      <c r="N60" s="282">
        <v>20.0</v>
      </c>
      <c r="O60" s="282">
        <v>20.0</v>
      </c>
      <c r="P60" s="281" t="s">
        <v>2704</v>
      </c>
    </row>
    <row r="61" ht="15.0" customHeight="1">
      <c r="A61" s="224" t="s">
        <v>7901</v>
      </c>
      <c r="B61" s="224" t="s">
        <v>94</v>
      </c>
      <c r="C61" s="224" t="s">
        <v>8596</v>
      </c>
      <c r="D61" s="92" t="s">
        <v>8597</v>
      </c>
      <c r="E61" s="92" t="s">
        <v>8598</v>
      </c>
      <c r="F61" s="92" t="s">
        <v>8599</v>
      </c>
      <c r="G61" s="92" t="s">
        <v>8600</v>
      </c>
      <c r="H61" s="331" t="s">
        <v>8601</v>
      </c>
      <c r="I61" s="82" t="s">
        <v>8602</v>
      </c>
      <c r="J61" s="326" t="s">
        <v>8603</v>
      </c>
      <c r="K61" s="82"/>
      <c r="L61" s="82"/>
      <c r="M61" s="82"/>
      <c r="N61" s="425" t="s">
        <v>8604</v>
      </c>
      <c r="O61" s="282">
        <v>400.0</v>
      </c>
      <c r="P61" s="281" t="s">
        <v>590</v>
      </c>
    </row>
    <row r="62" ht="15.0" customHeight="1">
      <c r="A62" s="224" t="s">
        <v>7901</v>
      </c>
      <c r="B62" s="224" t="s">
        <v>94</v>
      </c>
      <c r="C62" s="224" t="s">
        <v>8605</v>
      </c>
      <c r="D62" s="92" t="s">
        <v>8597</v>
      </c>
      <c r="E62" s="92" t="s">
        <v>8591</v>
      </c>
      <c r="F62" s="92" t="s">
        <v>8589</v>
      </c>
      <c r="G62" s="92"/>
      <c r="H62" s="327" t="s">
        <v>8590</v>
      </c>
      <c r="I62" s="82" t="s">
        <v>8591</v>
      </c>
      <c r="J62" s="326" t="s">
        <v>8606</v>
      </c>
      <c r="K62" s="82"/>
      <c r="L62" s="82"/>
      <c r="M62" s="82"/>
      <c r="N62" s="426" t="s">
        <v>8607</v>
      </c>
      <c r="O62" s="282">
        <v>75.0</v>
      </c>
      <c r="P62" s="281" t="s">
        <v>590</v>
      </c>
    </row>
    <row r="63" ht="15.0" customHeight="1">
      <c r="A63" s="224" t="s">
        <v>8608</v>
      </c>
      <c r="B63" s="224" t="s">
        <v>94</v>
      </c>
      <c r="C63" s="224" t="s">
        <v>8609</v>
      </c>
      <c r="D63" s="92" t="s">
        <v>8478</v>
      </c>
      <c r="E63" s="92" t="s">
        <v>8610</v>
      </c>
      <c r="F63" s="92" t="s">
        <v>8442</v>
      </c>
      <c r="G63" s="162">
        <v>1.5</v>
      </c>
      <c r="H63" s="393" t="s">
        <v>8611</v>
      </c>
      <c r="I63" s="148" t="s">
        <v>8612</v>
      </c>
      <c r="J63" s="326" t="s">
        <v>8613</v>
      </c>
      <c r="K63" s="82"/>
      <c r="L63" s="82"/>
      <c r="M63" s="82"/>
      <c r="N63" s="282">
        <v>100.0</v>
      </c>
      <c r="O63" s="282">
        <f t="shared" ref="O63:O64" si="5">N63*G63</f>
        <v>150</v>
      </c>
      <c r="P63" s="281" t="s">
        <v>616</v>
      </c>
    </row>
    <row r="64" ht="15.0" customHeight="1">
      <c r="A64" s="224" t="s">
        <v>8608</v>
      </c>
      <c r="B64" s="224" t="s">
        <v>94</v>
      </c>
      <c r="C64" s="253" t="s">
        <v>8614</v>
      </c>
      <c r="D64" s="92" t="s">
        <v>8478</v>
      </c>
      <c r="E64" s="92" t="s">
        <v>8610</v>
      </c>
      <c r="F64" s="92" t="s">
        <v>8442</v>
      </c>
      <c r="G64" s="162">
        <v>1.5</v>
      </c>
      <c r="H64" s="379" t="s">
        <v>5315</v>
      </c>
      <c r="I64" s="82" t="s">
        <v>8507</v>
      </c>
      <c r="J64" s="326" t="s">
        <v>8568</v>
      </c>
      <c r="K64" s="82"/>
      <c r="L64" s="82"/>
      <c r="M64" s="82"/>
      <c r="N64" s="282">
        <v>50.0</v>
      </c>
      <c r="O64" s="282">
        <f t="shared" si="5"/>
        <v>75</v>
      </c>
      <c r="P64" s="281" t="s">
        <v>616</v>
      </c>
    </row>
    <row r="65" ht="15.0" customHeight="1">
      <c r="A65" s="224" t="s">
        <v>8608</v>
      </c>
      <c r="B65" s="400" t="s">
        <v>94</v>
      </c>
      <c r="C65" s="224" t="s">
        <v>8473</v>
      </c>
      <c r="D65" s="92"/>
      <c r="E65" s="162" t="s">
        <v>8484</v>
      </c>
      <c r="F65" s="162" t="s">
        <v>8442</v>
      </c>
      <c r="G65" s="162" t="s">
        <v>8567</v>
      </c>
      <c r="H65" s="379" t="s">
        <v>8463</v>
      </c>
      <c r="I65" s="82"/>
      <c r="J65" s="326" t="s">
        <v>8568</v>
      </c>
      <c r="K65" s="82"/>
      <c r="L65" s="82"/>
      <c r="M65" s="82"/>
      <c r="N65" s="391">
        <v>20.0</v>
      </c>
      <c r="O65" s="391">
        <v>20.0</v>
      </c>
      <c r="P65" s="281" t="s">
        <v>616</v>
      </c>
    </row>
    <row r="66" ht="15.0" customHeight="1">
      <c r="A66" s="224" t="s">
        <v>7929</v>
      </c>
      <c r="B66" s="224" t="s">
        <v>94</v>
      </c>
      <c r="C66" s="224" t="s">
        <v>8615</v>
      </c>
      <c r="D66" s="92" t="s">
        <v>8597</v>
      </c>
      <c r="E66" s="92" t="s">
        <v>8616</v>
      </c>
      <c r="F66" s="92" t="s">
        <v>8495</v>
      </c>
      <c r="G66" s="92" t="s">
        <v>8617</v>
      </c>
      <c r="H66" s="78" t="s">
        <v>8618</v>
      </c>
      <c r="I66" s="82" t="s">
        <v>8484</v>
      </c>
      <c r="J66" s="326" t="s">
        <v>8619</v>
      </c>
      <c r="K66" s="82"/>
      <c r="L66" s="82"/>
      <c r="M66" s="82"/>
      <c r="N66" s="282">
        <v>50.0</v>
      </c>
      <c r="O66" s="282">
        <f t="shared" ref="O66:O67" si="6">N66*1.5</f>
        <v>75</v>
      </c>
      <c r="P66" s="281" t="s">
        <v>646</v>
      </c>
    </row>
    <row r="67" ht="15.0" customHeight="1">
      <c r="A67" s="224" t="s">
        <v>7929</v>
      </c>
      <c r="B67" s="224" t="s">
        <v>94</v>
      </c>
      <c r="C67" s="224" t="s">
        <v>8615</v>
      </c>
      <c r="D67" s="92" t="s">
        <v>8597</v>
      </c>
      <c r="E67" s="92" t="s">
        <v>8620</v>
      </c>
      <c r="F67" s="92" t="s">
        <v>8495</v>
      </c>
      <c r="G67" s="92" t="s">
        <v>8617</v>
      </c>
      <c r="H67" s="78" t="s">
        <v>8618</v>
      </c>
      <c r="I67" s="82" t="s">
        <v>8484</v>
      </c>
      <c r="J67" s="326" t="s">
        <v>8619</v>
      </c>
      <c r="K67" s="82"/>
      <c r="L67" s="82"/>
      <c r="M67" s="82"/>
      <c r="N67" s="282">
        <v>50.0</v>
      </c>
      <c r="O67" s="282">
        <f t="shared" si="6"/>
        <v>75</v>
      </c>
      <c r="P67" s="281" t="s">
        <v>646</v>
      </c>
    </row>
    <row r="68" ht="15.0" customHeight="1">
      <c r="A68" s="224" t="s">
        <v>655</v>
      </c>
      <c r="B68" s="224" t="s">
        <v>94</v>
      </c>
      <c r="C68" s="224" t="s">
        <v>8621</v>
      </c>
      <c r="D68" s="92" t="s">
        <v>8571</v>
      </c>
      <c r="E68" s="92" t="s">
        <v>8580</v>
      </c>
      <c r="F68" s="92" t="s">
        <v>8622</v>
      </c>
      <c r="G68" s="92" t="s">
        <v>8443</v>
      </c>
      <c r="H68" s="331" t="s">
        <v>8623</v>
      </c>
      <c r="I68" s="82"/>
      <c r="J68" s="326" t="s">
        <v>8624</v>
      </c>
      <c r="K68" s="82">
        <v>1.0</v>
      </c>
      <c r="L68" s="82">
        <v>1.0</v>
      </c>
      <c r="M68" s="82">
        <v>1.0</v>
      </c>
      <c r="N68" s="282">
        <v>50.0</v>
      </c>
      <c r="O68" s="282">
        <v>75.0</v>
      </c>
      <c r="P68" s="281" t="s">
        <v>655</v>
      </c>
    </row>
    <row r="69" ht="15.0" customHeight="1">
      <c r="A69" s="224" t="s">
        <v>655</v>
      </c>
      <c r="B69" s="224" t="s">
        <v>94</v>
      </c>
      <c r="C69" s="224" t="s">
        <v>8625</v>
      </c>
      <c r="D69" s="92" t="s">
        <v>8571</v>
      </c>
      <c r="E69" s="92" t="s">
        <v>8580</v>
      </c>
      <c r="F69" s="92" t="s">
        <v>8626</v>
      </c>
      <c r="G69" s="92" t="s">
        <v>8443</v>
      </c>
      <c r="H69" s="327" t="s">
        <v>8627</v>
      </c>
      <c r="I69" s="82"/>
      <c r="J69" s="326" t="s">
        <v>8628</v>
      </c>
      <c r="K69" s="82">
        <v>1.0</v>
      </c>
      <c r="L69" s="82">
        <v>1.0</v>
      </c>
      <c r="M69" s="82">
        <v>1.0</v>
      </c>
      <c r="N69" s="282">
        <v>50.0</v>
      </c>
      <c r="O69" s="282">
        <v>75.0</v>
      </c>
      <c r="P69" s="281" t="s">
        <v>655</v>
      </c>
    </row>
    <row r="70" ht="15.0" customHeight="1">
      <c r="A70" s="224" t="s">
        <v>655</v>
      </c>
      <c r="B70" s="224" t="s">
        <v>94</v>
      </c>
      <c r="C70" s="252" t="s">
        <v>8629</v>
      </c>
      <c r="D70" s="92" t="s">
        <v>8571</v>
      </c>
      <c r="E70" s="92" t="s">
        <v>8580</v>
      </c>
      <c r="F70" s="92" t="s">
        <v>8630</v>
      </c>
      <c r="G70" s="92" t="s">
        <v>8443</v>
      </c>
      <c r="H70" s="327" t="s">
        <v>8631</v>
      </c>
      <c r="I70" s="82"/>
      <c r="J70" s="427">
        <v>45200.0</v>
      </c>
      <c r="K70" s="82">
        <v>1.0</v>
      </c>
      <c r="L70" s="82">
        <v>1.0</v>
      </c>
      <c r="M70" s="82">
        <v>1.0</v>
      </c>
      <c r="N70" s="282">
        <v>50.0</v>
      </c>
      <c r="O70" s="282">
        <v>75.0</v>
      </c>
      <c r="P70" s="281" t="s">
        <v>655</v>
      </c>
    </row>
    <row r="71" ht="15.0" customHeight="1">
      <c r="A71" s="224" t="s">
        <v>8632</v>
      </c>
      <c r="B71" s="224" t="s">
        <v>8633</v>
      </c>
      <c r="C71" s="224" t="s">
        <v>8634</v>
      </c>
      <c r="D71" s="92" t="s">
        <v>8493</v>
      </c>
      <c r="E71" s="92" t="s">
        <v>8484</v>
      </c>
      <c r="F71" s="92" t="s">
        <v>8495</v>
      </c>
      <c r="G71" s="92" t="s">
        <v>8496</v>
      </c>
      <c r="H71" s="331" t="s">
        <v>8444</v>
      </c>
      <c r="I71" s="82"/>
      <c r="J71" s="394">
        <v>45198.0</v>
      </c>
      <c r="K71" s="82">
        <v>1.0</v>
      </c>
      <c r="L71" s="82">
        <v>1.0</v>
      </c>
      <c r="M71" s="82">
        <v>1.0</v>
      </c>
      <c r="N71" s="282">
        <v>20.0</v>
      </c>
      <c r="O71" s="282">
        <v>40.0</v>
      </c>
      <c r="P71" s="281" t="s">
        <v>8632</v>
      </c>
    </row>
    <row r="72" ht="15.0" customHeight="1">
      <c r="A72" s="224" t="s">
        <v>7972</v>
      </c>
      <c r="B72" s="224" t="s">
        <v>94</v>
      </c>
      <c r="C72" s="224" t="s">
        <v>8635</v>
      </c>
      <c r="D72" s="92" t="s">
        <v>8636</v>
      </c>
      <c r="E72" s="92" t="s">
        <v>8484</v>
      </c>
      <c r="F72" s="92" t="s">
        <v>8442</v>
      </c>
      <c r="G72" s="92"/>
      <c r="H72" s="331" t="s">
        <v>8637</v>
      </c>
      <c r="I72" s="82"/>
      <c r="J72" s="326" t="s">
        <v>8638</v>
      </c>
      <c r="K72" s="82">
        <v>3.0</v>
      </c>
      <c r="L72" s="82">
        <v>3.0</v>
      </c>
      <c r="M72" s="82">
        <v>3.0</v>
      </c>
      <c r="N72" s="282">
        <v>30.0</v>
      </c>
      <c r="O72" s="282">
        <v>10.0</v>
      </c>
      <c r="P72" s="281" t="s">
        <v>5354</v>
      </c>
    </row>
    <row r="73" ht="15.0" customHeight="1">
      <c r="A73" s="224" t="s">
        <v>8639</v>
      </c>
      <c r="B73" s="82" t="s">
        <v>94</v>
      </c>
      <c r="C73" s="224" t="s">
        <v>8640</v>
      </c>
      <c r="D73" s="86" t="s">
        <v>8636</v>
      </c>
      <c r="E73" s="92" t="s">
        <v>8641</v>
      </c>
      <c r="F73" s="92" t="s">
        <v>8642</v>
      </c>
      <c r="G73" s="92" t="s">
        <v>8496</v>
      </c>
      <c r="H73" s="331" t="s">
        <v>8643</v>
      </c>
      <c r="I73" s="82" t="s">
        <v>8489</v>
      </c>
      <c r="J73" s="326" t="s">
        <v>8644</v>
      </c>
      <c r="K73" s="82">
        <v>1.0</v>
      </c>
      <c r="L73" s="82">
        <v>1.0</v>
      </c>
      <c r="M73" s="82">
        <v>1.0</v>
      </c>
      <c r="N73" s="288">
        <v>30.0</v>
      </c>
      <c r="O73" s="288">
        <f t="shared" ref="O73:O77" si="7">N73</f>
        <v>30</v>
      </c>
      <c r="P73" s="281" t="s">
        <v>3078</v>
      </c>
    </row>
    <row r="74" ht="15.0" customHeight="1">
      <c r="A74" s="224" t="s">
        <v>8639</v>
      </c>
      <c r="B74" s="82" t="s">
        <v>94</v>
      </c>
      <c r="C74" s="224" t="s">
        <v>8640</v>
      </c>
      <c r="D74" s="86" t="s">
        <v>8636</v>
      </c>
      <c r="E74" s="92" t="s">
        <v>8645</v>
      </c>
      <c r="F74" s="92" t="s">
        <v>8642</v>
      </c>
      <c r="G74" s="92" t="s">
        <v>8496</v>
      </c>
      <c r="H74" s="327" t="s">
        <v>8643</v>
      </c>
      <c r="I74" s="82" t="s">
        <v>8489</v>
      </c>
      <c r="J74" s="326" t="s">
        <v>8644</v>
      </c>
      <c r="K74" s="82">
        <v>1.0</v>
      </c>
      <c r="L74" s="82">
        <v>1.0</v>
      </c>
      <c r="M74" s="82">
        <v>1.0</v>
      </c>
      <c r="N74" s="288">
        <v>30.0</v>
      </c>
      <c r="O74" s="288">
        <f t="shared" si="7"/>
        <v>30</v>
      </c>
      <c r="P74" s="281" t="s">
        <v>3078</v>
      </c>
    </row>
    <row r="75" ht="15.0" customHeight="1">
      <c r="A75" s="224" t="s">
        <v>8639</v>
      </c>
      <c r="B75" s="82" t="s">
        <v>94</v>
      </c>
      <c r="C75" s="252" t="s">
        <v>8646</v>
      </c>
      <c r="D75" s="86" t="s">
        <v>8636</v>
      </c>
      <c r="E75" s="92" t="s">
        <v>8647</v>
      </c>
      <c r="F75" s="92" t="s">
        <v>8642</v>
      </c>
      <c r="G75" s="92" t="s">
        <v>8496</v>
      </c>
      <c r="H75" s="327" t="s">
        <v>8648</v>
      </c>
      <c r="I75" s="82" t="s">
        <v>8489</v>
      </c>
      <c r="J75" s="326" t="s">
        <v>8649</v>
      </c>
      <c r="K75" s="82">
        <v>1.0</v>
      </c>
      <c r="L75" s="82">
        <v>1.0</v>
      </c>
      <c r="M75" s="82">
        <v>1.0</v>
      </c>
      <c r="N75" s="288">
        <v>30.0</v>
      </c>
      <c r="O75" s="288">
        <f t="shared" si="7"/>
        <v>30</v>
      </c>
      <c r="P75" s="281" t="s">
        <v>3078</v>
      </c>
    </row>
    <row r="76" ht="15.0" customHeight="1">
      <c r="A76" s="224" t="s">
        <v>8639</v>
      </c>
      <c r="B76" s="82" t="s">
        <v>94</v>
      </c>
      <c r="C76" s="252" t="s">
        <v>8646</v>
      </c>
      <c r="D76" s="86" t="s">
        <v>8636</v>
      </c>
      <c r="E76" s="92" t="s">
        <v>8650</v>
      </c>
      <c r="F76" s="92" t="s">
        <v>8642</v>
      </c>
      <c r="G76" s="92" t="s">
        <v>8496</v>
      </c>
      <c r="H76" s="327" t="s">
        <v>8648</v>
      </c>
      <c r="I76" s="82" t="s">
        <v>8489</v>
      </c>
      <c r="J76" s="326" t="s">
        <v>8649</v>
      </c>
      <c r="K76" s="82">
        <v>1.0</v>
      </c>
      <c r="L76" s="82">
        <v>1.0</v>
      </c>
      <c r="M76" s="82">
        <v>1.0</v>
      </c>
      <c r="N76" s="288">
        <v>30.0</v>
      </c>
      <c r="O76" s="288">
        <f t="shared" si="7"/>
        <v>30</v>
      </c>
      <c r="P76" s="281" t="s">
        <v>3078</v>
      </c>
    </row>
    <row r="77" ht="15.0" customHeight="1">
      <c r="A77" s="224" t="s">
        <v>8639</v>
      </c>
      <c r="B77" s="82" t="s">
        <v>94</v>
      </c>
      <c r="C77" s="224" t="s">
        <v>8651</v>
      </c>
      <c r="D77" s="86" t="s">
        <v>8652</v>
      </c>
      <c r="E77" s="92" t="s">
        <v>8653</v>
      </c>
      <c r="F77" s="86" t="s">
        <v>8442</v>
      </c>
      <c r="G77" s="92" t="s">
        <v>8551</v>
      </c>
      <c r="H77" s="327" t="s">
        <v>8654</v>
      </c>
      <c r="I77" s="82" t="s">
        <v>8655</v>
      </c>
      <c r="J77" s="326" t="s">
        <v>8656</v>
      </c>
      <c r="K77" s="82">
        <v>1.0</v>
      </c>
      <c r="L77" s="82">
        <v>1.0</v>
      </c>
      <c r="M77" s="82">
        <v>1.0</v>
      </c>
      <c r="N77" s="281">
        <f t="shared" ref="N77:N78" si="8">30*1.5</f>
        <v>45</v>
      </c>
      <c r="O77" s="281">
        <f t="shared" si="7"/>
        <v>45</v>
      </c>
      <c r="P77" s="281" t="s">
        <v>3078</v>
      </c>
    </row>
    <row r="78" ht="15.0" customHeight="1">
      <c r="A78" s="224" t="s">
        <v>8657</v>
      </c>
      <c r="B78" s="82" t="s">
        <v>94</v>
      </c>
      <c r="C78" s="224" t="s">
        <v>8651</v>
      </c>
      <c r="D78" s="86" t="s">
        <v>8652</v>
      </c>
      <c r="E78" s="92" t="s">
        <v>8658</v>
      </c>
      <c r="F78" s="86" t="s">
        <v>8442</v>
      </c>
      <c r="G78" s="92" t="s">
        <v>8551</v>
      </c>
      <c r="H78" s="327" t="s">
        <v>8654</v>
      </c>
      <c r="I78" s="82" t="s">
        <v>8655</v>
      </c>
      <c r="J78" s="326" t="s">
        <v>8656</v>
      </c>
      <c r="K78" s="82">
        <v>2.0</v>
      </c>
      <c r="L78" s="82">
        <v>2.0</v>
      </c>
      <c r="M78" s="82">
        <v>2.0</v>
      </c>
      <c r="N78" s="281">
        <f t="shared" si="8"/>
        <v>45</v>
      </c>
      <c r="O78" s="281">
        <f>N78/2</f>
        <v>22.5</v>
      </c>
      <c r="P78" s="281" t="s">
        <v>3078</v>
      </c>
    </row>
    <row r="79" ht="15.0" customHeight="1">
      <c r="A79" s="400" t="s">
        <v>3203</v>
      </c>
      <c r="B79" s="400" t="s">
        <v>94</v>
      </c>
      <c r="C79" s="400" t="s">
        <v>8659</v>
      </c>
      <c r="D79" s="162" t="s">
        <v>8493</v>
      </c>
      <c r="E79" s="162" t="s">
        <v>8660</v>
      </c>
      <c r="F79" s="162" t="s">
        <v>8661</v>
      </c>
      <c r="G79" s="162" t="s">
        <v>8443</v>
      </c>
      <c r="H79" s="401" t="s">
        <v>8662</v>
      </c>
      <c r="I79" s="148" t="s">
        <v>8663</v>
      </c>
      <c r="J79" s="406" t="s">
        <v>8664</v>
      </c>
      <c r="K79" s="148">
        <v>1.0</v>
      </c>
      <c r="L79" s="148">
        <v>1.0</v>
      </c>
      <c r="M79" s="148">
        <v>1.0</v>
      </c>
      <c r="N79" s="391">
        <v>30.0</v>
      </c>
      <c r="O79" s="391">
        <v>30.0</v>
      </c>
      <c r="P79" s="281" t="s">
        <v>3203</v>
      </c>
    </row>
    <row r="80" ht="15.0" customHeight="1">
      <c r="A80" s="400" t="s">
        <v>3203</v>
      </c>
      <c r="B80" s="400" t="s">
        <v>94</v>
      </c>
      <c r="C80" s="400" t="s">
        <v>8659</v>
      </c>
      <c r="D80" s="162" t="s">
        <v>8493</v>
      </c>
      <c r="E80" s="162" t="s">
        <v>8660</v>
      </c>
      <c r="F80" s="162" t="s">
        <v>8661</v>
      </c>
      <c r="G80" s="162" t="s">
        <v>8443</v>
      </c>
      <c r="H80" s="401" t="s">
        <v>8662</v>
      </c>
      <c r="I80" s="148" t="s">
        <v>8665</v>
      </c>
      <c r="J80" s="406" t="s">
        <v>8664</v>
      </c>
      <c r="K80" s="148">
        <v>1.0</v>
      </c>
      <c r="L80" s="148">
        <v>1.0</v>
      </c>
      <c r="M80" s="148">
        <v>1.0</v>
      </c>
      <c r="N80" s="391">
        <v>30.0</v>
      </c>
      <c r="O80" s="391">
        <v>30.0</v>
      </c>
      <c r="P80" s="281" t="s">
        <v>3203</v>
      </c>
    </row>
    <row r="81" ht="15.0" customHeight="1">
      <c r="A81" s="400" t="s">
        <v>3203</v>
      </c>
      <c r="B81" s="400" t="s">
        <v>94</v>
      </c>
      <c r="C81" s="400" t="s">
        <v>8666</v>
      </c>
      <c r="D81" s="162" t="s">
        <v>8571</v>
      </c>
      <c r="E81" s="162" t="s">
        <v>8494</v>
      </c>
      <c r="F81" s="162" t="s">
        <v>8661</v>
      </c>
      <c r="G81" s="162" t="s">
        <v>8667</v>
      </c>
      <c r="H81" s="401" t="s">
        <v>8668</v>
      </c>
      <c r="I81" s="148" t="s">
        <v>8669</v>
      </c>
      <c r="J81" s="406" t="s">
        <v>8670</v>
      </c>
      <c r="K81" s="148">
        <v>1.0</v>
      </c>
      <c r="L81" s="148">
        <v>1.0</v>
      </c>
      <c r="M81" s="148">
        <v>1.0</v>
      </c>
      <c r="N81" s="391">
        <v>50.0</v>
      </c>
      <c r="O81" s="391">
        <f>N81*1.5*2</f>
        <v>150</v>
      </c>
      <c r="P81" s="281" t="s">
        <v>3203</v>
      </c>
    </row>
    <row r="82" ht="15.0" customHeight="1">
      <c r="A82" s="400" t="s">
        <v>3203</v>
      </c>
      <c r="B82" s="400" t="s">
        <v>94</v>
      </c>
      <c r="C82" s="400" t="s">
        <v>8659</v>
      </c>
      <c r="D82" s="162" t="s">
        <v>8493</v>
      </c>
      <c r="E82" s="162" t="s">
        <v>8494</v>
      </c>
      <c r="F82" s="162" t="s">
        <v>8661</v>
      </c>
      <c r="G82" s="162" t="s">
        <v>8443</v>
      </c>
      <c r="H82" s="401" t="s">
        <v>8662</v>
      </c>
      <c r="I82" s="148" t="s">
        <v>8612</v>
      </c>
      <c r="J82" s="406" t="s">
        <v>8664</v>
      </c>
      <c r="K82" s="148">
        <v>1.0</v>
      </c>
      <c r="L82" s="148">
        <v>1.0</v>
      </c>
      <c r="M82" s="148">
        <v>1.0</v>
      </c>
      <c r="N82" s="391">
        <f t="shared" ref="N82:O82" si="9">2*100</f>
        <v>200</v>
      </c>
      <c r="O82" s="391">
        <f t="shared" si="9"/>
        <v>200</v>
      </c>
      <c r="P82" s="281" t="s">
        <v>3203</v>
      </c>
    </row>
    <row r="83" ht="15.0" customHeight="1">
      <c r="A83" s="224" t="s">
        <v>8671</v>
      </c>
      <c r="B83" s="224" t="s">
        <v>94</v>
      </c>
      <c r="C83" s="224" t="s">
        <v>8672</v>
      </c>
      <c r="D83" s="92" t="s">
        <v>8440</v>
      </c>
      <c r="E83" s="92" t="s">
        <v>8673</v>
      </c>
      <c r="F83" s="92" t="s">
        <v>8674</v>
      </c>
      <c r="G83" s="92" t="s">
        <v>8675</v>
      </c>
      <c r="H83" s="331" t="s">
        <v>8676</v>
      </c>
      <c r="I83" s="82" t="s">
        <v>8673</v>
      </c>
      <c r="J83" s="326" t="s">
        <v>8677</v>
      </c>
      <c r="K83" s="82"/>
      <c r="L83" s="82"/>
      <c r="M83" s="82"/>
      <c r="N83" s="282">
        <v>100.0</v>
      </c>
      <c r="O83" s="428">
        <v>150.0</v>
      </c>
      <c r="P83" s="281" t="s">
        <v>689</v>
      </c>
    </row>
    <row r="84" ht="15.0" customHeight="1">
      <c r="A84" s="224" t="s">
        <v>8671</v>
      </c>
      <c r="B84" s="224" t="s">
        <v>94</v>
      </c>
      <c r="C84" s="224" t="s">
        <v>8678</v>
      </c>
      <c r="D84" s="92" t="s">
        <v>8440</v>
      </c>
      <c r="E84" s="92" t="s">
        <v>8449</v>
      </c>
      <c r="F84" s="92" t="s">
        <v>8679</v>
      </c>
      <c r="G84" s="92" t="s">
        <v>8680</v>
      </c>
      <c r="H84" s="327" t="s">
        <v>8681</v>
      </c>
      <c r="I84" s="82" t="s">
        <v>8485</v>
      </c>
      <c r="J84" s="326" t="s">
        <v>8682</v>
      </c>
      <c r="K84" s="82"/>
      <c r="L84" s="82"/>
      <c r="M84" s="82"/>
      <c r="N84" s="429">
        <v>50.0</v>
      </c>
      <c r="O84" s="282">
        <v>50.0</v>
      </c>
      <c r="P84" s="281" t="s">
        <v>689</v>
      </c>
    </row>
    <row r="85" ht="15.0" customHeight="1">
      <c r="A85" s="418" t="s">
        <v>8683</v>
      </c>
      <c r="B85" s="221" t="s">
        <v>94</v>
      </c>
      <c r="C85" s="430" t="s">
        <v>8684</v>
      </c>
      <c r="D85" s="92" t="s">
        <v>8597</v>
      </c>
      <c r="E85" s="92" t="s">
        <v>8441</v>
      </c>
      <c r="F85" s="92" t="s">
        <v>8495</v>
      </c>
      <c r="G85" s="92" t="s">
        <v>8479</v>
      </c>
      <c r="H85" s="431" t="s">
        <v>8685</v>
      </c>
      <c r="I85" s="82"/>
      <c r="J85" s="326" t="s">
        <v>8686</v>
      </c>
      <c r="K85" s="82">
        <v>2.0</v>
      </c>
      <c r="L85" s="82">
        <v>2.0</v>
      </c>
      <c r="M85" s="82">
        <v>3.0</v>
      </c>
      <c r="N85" s="282">
        <v>67.5</v>
      </c>
      <c r="O85" s="282">
        <v>33.75</v>
      </c>
      <c r="P85" s="281" t="s">
        <v>3249</v>
      </c>
    </row>
    <row r="86" ht="15.0" customHeight="1">
      <c r="A86" s="224" t="s">
        <v>870</v>
      </c>
      <c r="B86" s="224" t="s">
        <v>182</v>
      </c>
      <c r="C86" s="224" t="s">
        <v>8687</v>
      </c>
      <c r="D86" s="92" t="s">
        <v>8571</v>
      </c>
      <c r="E86" s="92" t="s">
        <v>8484</v>
      </c>
      <c r="F86" s="92" t="s">
        <v>8622</v>
      </c>
      <c r="G86" s="92" t="s">
        <v>8688</v>
      </c>
      <c r="H86" s="331" t="s">
        <v>8689</v>
      </c>
      <c r="I86" s="82"/>
      <c r="J86" s="326" t="s">
        <v>8690</v>
      </c>
      <c r="K86" s="82">
        <v>2.0</v>
      </c>
      <c r="L86" s="82">
        <v>2.0</v>
      </c>
      <c r="M86" s="82">
        <v>2.0</v>
      </c>
      <c r="N86" s="282">
        <f>30*1.5</f>
        <v>45</v>
      </c>
      <c r="O86" s="282">
        <f>N86/2</f>
        <v>22.5</v>
      </c>
      <c r="P86" s="281" t="s">
        <v>870</v>
      </c>
    </row>
    <row r="87" ht="15.0" customHeight="1">
      <c r="A87" s="119" t="s">
        <v>880</v>
      </c>
      <c r="B87" s="119" t="s">
        <v>94</v>
      </c>
      <c r="C87" s="119" t="s">
        <v>8691</v>
      </c>
      <c r="D87" s="92" t="s">
        <v>8493</v>
      </c>
      <c r="E87" s="92" t="s">
        <v>8580</v>
      </c>
      <c r="F87" s="92" t="s">
        <v>8461</v>
      </c>
      <c r="G87" s="92"/>
      <c r="H87" s="331" t="s">
        <v>8692</v>
      </c>
      <c r="I87" s="92" t="s">
        <v>8580</v>
      </c>
      <c r="J87" s="326" t="s">
        <v>8693</v>
      </c>
      <c r="K87" s="82">
        <v>1.0</v>
      </c>
      <c r="L87" s="82">
        <v>1.0</v>
      </c>
      <c r="M87" s="82">
        <v>1.0</v>
      </c>
      <c r="N87" s="282">
        <v>50.0</v>
      </c>
      <c r="O87" s="282">
        <v>50.0</v>
      </c>
      <c r="P87" s="281" t="s">
        <v>880</v>
      </c>
    </row>
    <row r="88" ht="15.0" customHeight="1">
      <c r="A88" s="119" t="s">
        <v>880</v>
      </c>
      <c r="B88" s="119" t="s">
        <v>94</v>
      </c>
      <c r="C88" s="119" t="s">
        <v>8691</v>
      </c>
      <c r="D88" s="92" t="s">
        <v>8493</v>
      </c>
      <c r="E88" s="92" t="s">
        <v>8694</v>
      </c>
      <c r="F88" s="92" t="s">
        <v>8461</v>
      </c>
      <c r="G88" s="92"/>
      <c r="H88" s="82" t="s">
        <v>8692</v>
      </c>
      <c r="I88" s="82" t="s">
        <v>8695</v>
      </c>
      <c r="J88" s="326" t="s">
        <v>8693</v>
      </c>
      <c r="K88" s="82">
        <v>1.0</v>
      </c>
      <c r="L88" s="82">
        <v>1.0</v>
      </c>
      <c r="M88" s="82">
        <v>1.0</v>
      </c>
      <c r="N88" s="282">
        <v>30.0</v>
      </c>
      <c r="O88" s="282">
        <v>30.0</v>
      </c>
      <c r="P88" s="281" t="s">
        <v>880</v>
      </c>
    </row>
    <row r="89" ht="15.0" customHeight="1">
      <c r="A89" s="224" t="s">
        <v>8069</v>
      </c>
      <c r="B89" s="224" t="s">
        <v>94</v>
      </c>
      <c r="C89" s="224" t="s">
        <v>8696</v>
      </c>
      <c r="D89" s="92" t="s">
        <v>8597</v>
      </c>
      <c r="E89" s="92" t="s">
        <v>8441</v>
      </c>
      <c r="F89" s="92" t="s">
        <v>8697</v>
      </c>
      <c r="G89" s="92"/>
      <c r="H89" s="331" t="s">
        <v>8698</v>
      </c>
      <c r="I89" s="82" t="s">
        <v>8507</v>
      </c>
      <c r="J89" s="326" t="s">
        <v>8699</v>
      </c>
      <c r="K89" s="82"/>
      <c r="L89" s="82"/>
      <c r="M89" s="82"/>
      <c r="N89" s="282">
        <v>100.0</v>
      </c>
      <c r="O89" s="282">
        <v>100.0</v>
      </c>
      <c r="P89" s="281" t="s">
        <v>907</v>
      </c>
    </row>
    <row r="90" ht="15.0" customHeight="1">
      <c r="A90" s="224" t="s">
        <v>8069</v>
      </c>
      <c r="B90" s="224" t="s">
        <v>94</v>
      </c>
      <c r="C90" s="224" t="s">
        <v>8700</v>
      </c>
      <c r="D90" s="92" t="s">
        <v>8597</v>
      </c>
      <c r="E90" s="92" t="s">
        <v>8441</v>
      </c>
      <c r="F90" s="92" t="s">
        <v>8697</v>
      </c>
      <c r="G90" s="92"/>
      <c r="H90" s="327" t="s">
        <v>8701</v>
      </c>
      <c r="I90" s="82" t="s">
        <v>8507</v>
      </c>
      <c r="J90" s="326" t="s">
        <v>8702</v>
      </c>
      <c r="K90" s="82"/>
      <c r="L90" s="82"/>
      <c r="M90" s="82"/>
      <c r="N90" s="282">
        <v>100.0</v>
      </c>
      <c r="O90" s="282">
        <v>100.0</v>
      </c>
      <c r="P90" s="281" t="s">
        <v>907</v>
      </c>
    </row>
    <row r="91" ht="15.0" customHeight="1">
      <c r="A91" s="416" t="s">
        <v>8069</v>
      </c>
      <c r="B91" s="416" t="s">
        <v>94</v>
      </c>
      <c r="C91" s="252" t="s">
        <v>8703</v>
      </c>
      <c r="D91" s="92" t="s">
        <v>8597</v>
      </c>
      <c r="E91" s="92" t="s">
        <v>8441</v>
      </c>
      <c r="F91" s="92" t="s">
        <v>8495</v>
      </c>
      <c r="G91" s="92"/>
      <c r="H91" s="327" t="s">
        <v>8704</v>
      </c>
      <c r="I91" s="82" t="s">
        <v>8507</v>
      </c>
      <c r="J91" s="326" t="s">
        <v>8705</v>
      </c>
      <c r="K91" s="82"/>
      <c r="L91" s="82"/>
      <c r="M91" s="82"/>
      <c r="N91" s="282">
        <v>75.0</v>
      </c>
      <c r="O91" s="282">
        <v>75.0</v>
      </c>
      <c r="P91" s="281" t="s">
        <v>907</v>
      </c>
    </row>
    <row r="92" ht="15.0" customHeight="1">
      <c r="A92" s="224" t="s">
        <v>8069</v>
      </c>
      <c r="B92" s="224" t="s">
        <v>94</v>
      </c>
      <c r="C92" s="224" t="s">
        <v>8706</v>
      </c>
      <c r="D92" s="92" t="s">
        <v>8597</v>
      </c>
      <c r="E92" s="92" t="s">
        <v>8441</v>
      </c>
      <c r="F92" s="92" t="s">
        <v>8495</v>
      </c>
      <c r="G92" s="92"/>
      <c r="H92" s="327" t="s">
        <v>8627</v>
      </c>
      <c r="I92" s="82" t="s">
        <v>8507</v>
      </c>
      <c r="J92" s="326" t="s">
        <v>8707</v>
      </c>
      <c r="K92" s="82"/>
      <c r="L92" s="82"/>
      <c r="M92" s="82"/>
      <c r="N92" s="282">
        <v>75.0</v>
      </c>
      <c r="O92" s="282">
        <v>75.0</v>
      </c>
      <c r="P92" s="281" t="s">
        <v>907</v>
      </c>
    </row>
    <row r="93" ht="15.0" customHeight="1">
      <c r="A93" s="224" t="s">
        <v>8069</v>
      </c>
      <c r="B93" s="224" t="s">
        <v>94</v>
      </c>
      <c r="C93" s="224" t="s">
        <v>8708</v>
      </c>
      <c r="D93" s="92" t="s">
        <v>8597</v>
      </c>
      <c r="E93" s="92" t="s">
        <v>8441</v>
      </c>
      <c r="F93" s="92" t="s">
        <v>8495</v>
      </c>
      <c r="G93" s="92"/>
      <c r="H93" s="327" t="s">
        <v>8531</v>
      </c>
      <c r="I93" s="82" t="s">
        <v>8507</v>
      </c>
      <c r="J93" s="326" t="s">
        <v>8709</v>
      </c>
      <c r="K93" s="82"/>
      <c r="L93" s="82"/>
      <c r="M93" s="82"/>
      <c r="N93" s="282">
        <v>75.0</v>
      </c>
      <c r="O93" s="282">
        <v>75.0</v>
      </c>
      <c r="P93" s="281" t="s">
        <v>907</v>
      </c>
    </row>
    <row r="94" ht="15.0" customHeight="1">
      <c r="A94" s="224" t="s">
        <v>8069</v>
      </c>
      <c r="B94" s="224" t="s">
        <v>94</v>
      </c>
      <c r="C94" s="224" t="s">
        <v>8710</v>
      </c>
      <c r="D94" s="92" t="s">
        <v>8597</v>
      </c>
      <c r="E94" s="92" t="s">
        <v>8441</v>
      </c>
      <c r="F94" s="92" t="s">
        <v>8495</v>
      </c>
      <c r="G94" s="92"/>
      <c r="H94" s="432" t="s">
        <v>8711</v>
      </c>
      <c r="I94" s="82" t="s">
        <v>8507</v>
      </c>
      <c r="J94" s="326" t="s">
        <v>8712</v>
      </c>
      <c r="K94" s="82"/>
      <c r="L94" s="82"/>
      <c r="M94" s="82"/>
      <c r="N94" s="282">
        <v>75.0</v>
      </c>
      <c r="O94" s="282">
        <v>75.0</v>
      </c>
      <c r="P94" s="281" t="s">
        <v>907</v>
      </c>
    </row>
    <row r="95" ht="15.0" customHeight="1">
      <c r="A95" s="224" t="s">
        <v>8069</v>
      </c>
      <c r="B95" s="119" t="s">
        <v>94</v>
      </c>
      <c r="C95" s="224" t="s">
        <v>8713</v>
      </c>
      <c r="D95" s="86" t="s">
        <v>8597</v>
      </c>
      <c r="E95" s="86" t="s">
        <v>8441</v>
      </c>
      <c r="F95" s="86" t="s">
        <v>8495</v>
      </c>
      <c r="G95" s="86"/>
      <c r="H95" s="327" t="s">
        <v>8714</v>
      </c>
      <c r="I95" s="83" t="s">
        <v>8507</v>
      </c>
      <c r="J95" s="274" t="s">
        <v>8715</v>
      </c>
      <c r="K95" s="92"/>
      <c r="L95" s="92"/>
      <c r="M95" s="92"/>
      <c r="N95" s="282">
        <v>75.0</v>
      </c>
      <c r="O95" s="282">
        <v>75.0</v>
      </c>
      <c r="P95" s="281" t="s">
        <v>907</v>
      </c>
    </row>
    <row r="96" ht="15.0" customHeight="1">
      <c r="A96" s="224" t="s">
        <v>8069</v>
      </c>
      <c r="B96" s="119" t="s">
        <v>94</v>
      </c>
      <c r="C96" s="224" t="s">
        <v>8716</v>
      </c>
      <c r="D96" s="86" t="s">
        <v>8597</v>
      </c>
      <c r="E96" s="86" t="s">
        <v>8441</v>
      </c>
      <c r="F96" s="86" t="s">
        <v>8495</v>
      </c>
      <c r="G96" s="86"/>
      <c r="H96" s="327" t="s">
        <v>8581</v>
      </c>
      <c r="I96" s="83" t="s">
        <v>8507</v>
      </c>
      <c r="J96" s="274" t="s">
        <v>8717</v>
      </c>
      <c r="K96" s="92"/>
      <c r="L96" s="92"/>
      <c r="M96" s="92"/>
      <c r="N96" s="282">
        <v>75.0</v>
      </c>
      <c r="O96" s="282">
        <v>75.0</v>
      </c>
      <c r="P96" s="281" t="s">
        <v>907</v>
      </c>
    </row>
    <row r="97" ht="15.0" customHeight="1">
      <c r="A97" s="433" t="s">
        <v>8090</v>
      </c>
      <c r="B97" s="433" t="s">
        <v>94</v>
      </c>
      <c r="C97" s="433" t="s">
        <v>8718</v>
      </c>
      <c r="D97" s="300" t="s">
        <v>8571</v>
      </c>
      <c r="E97" s="300" t="s">
        <v>8484</v>
      </c>
      <c r="F97" s="300" t="s">
        <v>8719</v>
      </c>
      <c r="G97" s="300"/>
      <c r="H97" s="434" t="s">
        <v>8720</v>
      </c>
      <c r="I97" s="299"/>
      <c r="J97" s="435" t="s">
        <v>8721</v>
      </c>
      <c r="K97" s="299">
        <v>1.0</v>
      </c>
      <c r="L97" s="299">
        <v>1.0</v>
      </c>
      <c r="M97" s="299">
        <v>2.0</v>
      </c>
      <c r="N97" s="391">
        <v>60.0</v>
      </c>
      <c r="O97" s="391">
        <v>60.0</v>
      </c>
      <c r="P97" s="281" t="s">
        <v>8094</v>
      </c>
    </row>
    <row r="98" ht="15.0" customHeight="1">
      <c r="A98" s="224" t="s">
        <v>954</v>
      </c>
      <c r="B98" s="224" t="s">
        <v>94</v>
      </c>
      <c r="C98" s="224" t="s">
        <v>8467</v>
      </c>
      <c r="D98" s="92" t="s">
        <v>8440</v>
      </c>
      <c r="E98" s="151" t="s">
        <v>8557</v>
      </c>
      <c r="F98" s="92" t="s">
        <v>8442</v>
      </c>
      <c r="G98" s="92" t="s">
        <v>8469</v>
      </c>
      <c r="H98" s="331" t="s">
        <v>8463</v>
      </c>
      <c r="I98" s="82" t="s">
        <v>8470</v>
      </c>
      <c r="J98" s="326" t="s">
        <v>8471</v>
      </c>
      <c r="K98" s="82">
        <v>5.0</v>
      </c>
      <c r="L98" s="82">
        <v>5.0</v>
      </c>
      <c r="M98" s="82">
        <v>5.0</v>
      </c>
      <c r="N98" s="281">
        <v>20.0</v>
      </c>
      <c r="O98" s="281">
        <v>20.0</v>
      </c>
      <c r="P98" s="281" t="s">
        <v>954</v>
      </c>
    </row>
    <row r="99" ht="15.0" customHeight="1">
      <c r="A99" s="148" t="s">
        <v>8722</v>
      </c>
      <c r="B99" s="400" t="s">
        <v>94</v>
      </c>
      <c r="C99" s="253" t="s">
        <v>8614</v>
      </c>
      <c r="D99" s="162" t="s">
        <v>8723</v>
      </c>
      <c r="E99" s="162" t="s">
        <v>8494</v>
      </c>
      <c r="F99" s="162" t="s">
        <v>8442</v>
      </c>
      <c r="G99" s="162">
        <v>1.5</v>
      </c>
      <c r="H99" s="401" t="s">
        <v>5315</v>
      </c>
      <c r="I99" s="148" t="s">
        <v>8612</v>
      </c>
      <c r="J99" s="326" t="s">
        <v>8568</v>
      </c>
      <c r="K99" s="148"/>
      <c r="L99" s="148"/>
      <c r="M99" s="148"/>
      <c r="N99" s="391">
        <v>100.0</v>
      </c>
      <c r="O99" s="391">
        <f t="shared" ref="O99:O100" si="10">N99*G99</f>
        <v>150</v>
      </c>
      <c r="P99" s="281" t="s">
        <v>5513</v>
      </c>
    </row>
    <row r="100" ht="15.0" customHeight="1">
      <c r="A100" s="148" t="s">
        <v>8722</v>
      </c>
      <c r="B100" s="400" t="s">
        <v>94</v>
      </c>
      <c r="C100" s="253" t="s">
        <v>8614</v>
      </c>
      <c r="D100" s="162" t="s">
        <v>8723</v>
      </c>
      <c r="E100" s="162" t="s">
        <v>8724</v>
      </c>
      <c r="F100" s="162" t="s">
        <v>8442</v>
      </c>
      <c r="G100" s="162">
        <v>1.5</v>
      </c>
      <c r="H100" s="401" t="s">
        <v>5315</v>
      </c>
      <c r="I100" s="148" t="s">
        <v>8725</v>
      </c>
      <c r="J100" s="326" t="s">
        <v>8568</v>
      </c>
      <c r="K100" s="148"/>
      <c r="L100" s="148"/>
      <c r="M100" s="148"/>
      <c r="N100" s="391">
        <v>50.0</v>
      </c>
      <c r="O100" s="391">
        <f t="shared" si="10"/>
        <v>75</v>
      </c>
      <c r="P100" s="281" t="s">
        <v>5513</v>
      </c>
    </row>
    <row r="101" ht="15.0" customHeight="1">
      <c r="A101" s="148" t="s">
        <v>8722</v>
      </c>
      <c r="B101" s="400" t="s">
        <v>94</v>
      </c>
      <c r="C101" s="149" t="s">
        <v>8473</v>
      </c>
      <c r="D101" s="92"/>
      <c r="E101" s="162" t="s">
        <v>8726</v>
      </c>
      <c r="F101" s="162" t="s">
        <v>8442</v>
      </c>
      <c r="G101" s="162" t="s">
        <v>8567</v>
      </c>
      <c r="H101" s="327" t="s">
        <v>8463</v>
      </c>
      <c r="I101" s="82"/>
      <c r="J101" s="326" t="s">
        <v>8568</v>
      </c>
      <c r="K101" s="82"/>
      <c r="L101" s="82"/>
      <c r="M101" s="82"/>
      <c r="N101" s="391">
        <v>20.0</v>
      </c>
      <c r="O101" s="391">
        <v>20.0</v>
      </c>
      <c r="P101" s="281" t="s">
        <v>5513</v>
      </c>
    </row>
    <row r="102" ht="15.0" customHeight="1">
      <c r="A102" s="116" t="s">
        <v>8727</v>
      </c>
      <c r="B102" s="221" t="s">
        <v>94</v>
      </c>
      <c r="C102" s="78" t="s">
        <v>8728</v>
      </c>
      <c r="D102" s="92" t="s">
        <v>8597</v>
      </c>
      <c r="E102" s="92" t="s">
        <v>8441</v>
      </c>
      <c r="F102" s="92" t="s">
        <v>8495</v>
      </c>
      <c r="G102" s="92" t="s">
        <v>8479</v>
      </c>
      <c r="H102" s="431" t="s">
        <v>8729</v>
      </c>
      <c r="I102" s="82"/>
      <c r="J102" s="326" t="s">
        <v>8730</v>
      </c>
      <c r="K102" s="82">
        <v>3.0</v>
      </c>
      <c r="L102" s="82">
        <v>2.0</v>
      </c>
      <c r="M102" s="82">
        <v>4.0</v>
      </c>
      <c r="N102" s="282">
        <v>67.5</v>
      </c>
      <c r="O102" s="282">
        <v>33.75</v>
      </c>
      <c r="P102" s="281" t="s">
        <v>4028</v>
      </c>
    </row>
    <row r="103" ht="15.0" customHeight="1">
      <c r="A103" s="418" t="s">
        <v>8683</v>
      </c>
      <c r="B103" s="221" t="s">
        <v>94</v>
      </c>
      <c r="C103" s="430" t="s">
        <v>8684</v>
      </c>
      <c r="D103" s="419" t="s">
        <v>8597</v>
      </c>
      <c r="E103" s="419" t="s">
        <v>8441</v>
      </c>
      <c r="F103" s="419" t="s">
        <v>8495</v>
      </c>
      <c r="G103" s="419" t="s">
        <v>8479</v>
      </c>
      <c r="H103" s="431" t="s">
        <v>8685</v>
      </c>
      <c r="I103" s="352"/>
      <c r="J103" s="422" t="s">
        <v>8686</v>
      </c>
      <c r="K103" s="352">
        <v>2.0</v>
      </c>
      <c r="L103" s="352">
        <v>2.0</v>
      </c>
      <c r="M103" s="352">
        <v>3.0</v>
      </c>
      <c r="N103" s="428">
        <v>67.5</v>
      </c>
      <c r="O103" s="428">
        <v>33.75</v>
      </c>
      <c r="P103" s="423" t="s">
        <v>4028</v>
      </c>
    </row>
    <row r="104" ht="15.0" customHeight="1">
      <c r="A104" s="436" t="s">
        <v>8128</v>
      </c>
      <c r="B104" s="437" t="s">
        <v>94</v>
      </c>
      <c r="C104" s="438" t="s">
        <v>8615</v>
      </c>
      <c r="D104" s="82" t="s">
        <v>8597</v>
      </c>
      <c r="E104" s="82" t="s">
        <v>8441</v>
      </c>
      <c r="F104" s="82" t="s">
        <v>8495</v>
      </c>
      <c r="G104" s="82" t="s">
        <v>8617</v>
      </c>
      <c r="H104" s="331" t="s">
        <v>8668</v>
      </c>
      <c r="I104" s="82" t="s">
        <v>8484</v>
      </c>
      <c r="J104" s="82" t="s">
        <v>8619</v>
      </c>
      <c r="K104" s="82">
        <v>2.0</v>
      </c>
      <c r="L104" s="82">
        <v>2.0</v>
      </c>
      <c r="M104" s="82">
        <v>2.0</v>
      </c>
      <c r="N104" s="439">
        <v>45.0</v>
      </c>
      <c r="O104" s="439">
        <v>45.0</v>
      </c>
      <c r="P104" s="281" t="s">
        <v>4028</v>
      </c>
    </row>
    <row r="105" ht="15.0" customHeight="1">
      <c r="A105" s="224" t="s">
        <v>8731</v>
      </c>
      <c r="B105" s="224" t="s">
        <v>94</v>
      </c>
      <c r="C105" s="224" t="s">
        <v>8615</v>
      </c>
      <c r="D105" s="440" t="s">
        <v>8597</v>
      </c>
      <c r="E105" s="440" t="s">
        <v>8441</v>
      </c>
      <c r="F105" s="440" t="s">
        <v>8495</v>
      </c>
      <c r="G105" s="440" t="s">
        <v>8617</v>
      </c>
      <c r="H105" s="441" t="s">
        <v>8668</v>
      </c>
      <c r="I105" s="442" t="s">
        <v>8484</v>
      </c>
      <c r="J105" s="443" t="s">
        <v>8619</v>
      </c>
      <c r="K105" s="442">
        <v>2.0</v>
      </c>
      <c r="L105" s="442">
        <v>2.0</v>
      </c>
      <c r="M105" s="442">
        <v>2.0</v>
      </c>
      <c r="N105" s="444">
        <v>30.0</v>
      </c>
      <c r="O105" s="444">
        <v>22.5</v>
      </c>
      <c r="P105" s="445" t="s">
        <v>4076</v>
      </c>
    </row>
    <row r="106" ht="15.0" customHeight="1">
      <c r="A106" s="224" t="s">
        <v>8731</v>
      </c>
      <c r="B106" s="224" t="s">
        <v>94</v>
      </c>
      <c r="C106" s="224" t="s">
        <v>8732</v>
      </c>
      <c r="D106" s="92" t="s">
        <v>8597</v>
      </c>
      <c r="E106" s="92" t="s">
        <v>8441</v>
      </c>
      <c r="F106" s="92" t="s">
        <v>8495</v>
      </c>
      <c r="G106" s="92" t="s">
        <v>8544</v>
      </c>
      <c r="H106" s="82" t="s">
        <v>8733</v>
      </c>
      <c r="I106" s="82" t="s">
        <v>8484</v>
      </c>
      <c r="J106" s="326" t="s">
        <v>8734</v>
      </c>
      <c r="K106" s="82">
        <v>4.0</v>
      </c>
      <c r="L106" s="82">
        <v>4.0</v>
      </c>
      <c r="M106" s="82">
        <v>4.0</v>
      </c>
      <c r="N106" s="282">
        <v>30.0</v>
      </c>
      <c r="O106" s="282">
        <v>16.875</v>
      </c>
      <c r="P106" s="281" t="s">
        <v>4076</v>
      </c>
    </row>
    <row r="107" ht="15.0" customHeight="1">
      <c r="A107" s="224" t="s">
        <v>8731</v>
      </c>
      <c r="B107" s="224" t="s">
        <v>94</v>
      </c>
      <c r="C107" s="252" t="s">
        <v>8735</v>
      </c>
      <c r="D107" s="92" t="s">
        <v>8597</v>
      </c>
      <c r="E107" s="92" t="s">
        <v>8441</v>
      </c>
      <c r="F107" s="92" t="s">
        <v>8495</v>
      </c>
      <c r="G107" s="92" t="s">
        <v>8544</v>
      </c>
      <c r="H107" s="327" t="s">
        <v>8736</v>
      </c>
      <c r="I107" s="82" t="s">
        <v>8484</v>
      </c>
      <c r="J107" s="326" t="s">
        <v>8737</v>
      </c>
      <c r="K107" s="82">
        <v>4.0</v>
      </c>
      <c r="L107" s="82">
        <v>4.0</v>
      </c>
      <c r="M107" s="82">
        <v>4.0</v>
      </c>
      <c r="N107" s="282">
        <v>30.0</v>
      </c>
      <c r="O107" s="282">
        <v>16.875</v>
      </c>
      <c r="P107" s="281" t="s">
        <v>4076</v>
      </c>
    </row>
    <row r="108" ht="15.0" customHeight="1">
      <c r="A108" s="224" t="s">
        <v>5570</v>
      </c>
      <c r="B108" s="224" t="s">
        <v>94</v>
      </c>
      <c r="C108" s="224" t="s">
        <v>8738</v>
      </c>
      <c r="D108" s="92" t="s">
        <v>8723</v>
      </c>
      <c r="E108" s="92" t="s">
        <v>8494</v>
      </c>
      <c r="F108" s="92" t="s">
        <v>8495</v>
      </c>
      <c r="G108" s="92" t="s">
        <v>8567</v>
      </c>
      <c r="H108" s="78" t="s">
        <v>5315</v>
      </c>
      <c r="I108" s="82" t="s">
        <v>8507</v>
      </c>
      <c r="J108" s="427">
        <v>45170.0</v>
      </c>
      <c r="K108" s="82"/>
      <c r="L108" s="82"/>
      <c r="M108" s="82"/>
      <c r="N108" s="282">
        <v>50.0</v>
      </c>
      <c r="O108" s="282">
        <v>50.0</v>
      </c>
      <c r="P108" s="281" t="s">
        <v>5570</v>
      </c>
    </row>
    <row r="109" ht="15.0" customHeight="1">
      <c r="A109" s="224" t="s">
        <v>5570</v>
      </c>
      <c r="B109" s="224" t="s">
        <v>94</v>
      </c>
      <c r="C109" s="224" t="s">
        <v>8473</v>
      </c>
      <c r="D109" s="92" t="s">
        <v>8739</v>
      </c>
      <c r="E109" s="92" t="s">
        <v>8484</v>
      </c>
      <c r="F109" s="92" t="s">
        <v>8442</v>
      </c>
      <c r="G109" s="92" t="s">
        <v>8567</v>
      </c>
      <c r="H109" s="327" t="s">
        <v>8463</v>
      </c>
      <c r="I109" s="82" t="s">
        <v>8507</v>
      </c>
      <c r="J109" s="427">
        <v>45200.0</v>
      </c>
      <c r="K109" s="82"/>
      <c r="L109" s="82"/>
      <c r="M109" s="82"/>
      <c r="N109" s="282">
        <v>20.0</v>
      </c>
      <c r="O109" s="282">
        <v>20.0</v>
      </c>
      <c r="P109" s="281" t="s">
        <v>5570</v>
      </c>
    </row>
    <row r="110" ht="15.0" customHeight="1">
      <c r="A110" s="224" t="s">
        <v>971</v>
      </c>
      <c r="B110" s="224" t="s">
        <v>182</v>
      </c>
      <c r="C110" s="224" t="s">
        <v>8740</v>
      </c>
      <c r="D110" s="92" t="s">
        <v>8478</v>
      </c>
      <c r="E110" s="92" t="s">
        <v>8741</v>
      </c>
      <c r="F110" s="92" t="s">
        <v>8742</v>
      </c>
      <c r="G110" s="92" t="s">
        <v>8743</v>
      </c>
      <c r="H110" s="327" t="s">
        <v>8744</v>
      </c>
      <c r="I110" s="82" t="s">
        <v>8485</v>
      </c>
      <c r="J110" s="82" t="s">
        <v>8745</v>
      </c>
      <c r="K110" s="82"/>
      <c r="L110" s="82"/>
      <c r="M110" s="82"/>
      <c r="N110" s="282">
        <v>150.0</v>
      </c>
      <c r="O110" s="282">
        <v>150.0</v>
      </c>
      <c r="P110" s="281" t="s">
        <v>971</v>
      </c>
    </row>
    <row r="111" ht="15.0" customHeight="1">
      <c r="A111" s="224" t="s">
        <v>971</v>
      </c>
      <c r="B111" s="224" t="s">
        <v>182</v>
      </c>
      <c r="C111" s="224" t="s">
        <v>8746</v>
      </c>
      <c r="D111" s="92" t="s">
        <v>8478</v>
      </c>
      <c r="E111" s="92" t="s">
        <v>8741</v>
      </c>
      <c r="F111" s="92" t="s">
        <v>8742</v>
      </c>
      <c r="G111" s="92" t="s">
        <v>8743</v>
      </c>
      <c r="H111" s="327" t="s">
        <v>8747</v>
      </c>
      <c r="I111" s="82" t="s">
        <v>8485</v>
      </c>
      <c r="J111" s="82" t="s">
        <v>8748</v>
      </c>
      <c r="K111" s="82"/>
      <c r="L111" s="82"/>
      <c r="M111" s="82"/>
      <c r="N111" s="282">
        <v>150.0</v>
      </c>
      <c r="O111" s="282">
        <v>150.0</v>
      </c>
      <c r="P111" s="281" t="s">
        <v>971</v>
      </c>
    </row>
    <row r="112" ht="15.0" customHeight="1">
      <c r="A112" s="224" t="s">
        <v>971</v>
      </c>
      <c r="B112" s="224" t="s">
        <v>182</v>
      </c>
      <c r="C112" s="224" t="s">
        <v>8749</v>
      </c>
      <c r="D112" s="92" t="s">
        <v>8478</v>
      </c>
      <c r="E112" s="92" t="s">
        <v>8741</v>
      </c>
      <c r="F112" s="92" t="s">
        <v>8742</v>
      </c>
      <c r="G112" s="92" t="s">
        <v>8743</v>
      </c>
      <c r="H112" s="331" t="s">
        <v>8750</v>
      </c>
      <c r="I112" s="82" t="s">
        <v>8485</v>
      </c>
      <c r="J112" s="82" t="s">
        <v>8751</v>
      </c>
      <c r="K112" s="82"/>
      <c r="L112" s="82"/>
      <c r="M112" s="82"/>
      <c r="N112" s="282">
        <v>150.0</v>
      </c>
      <c r="O112" s="282">
        <v>150.0</v>
      </c>
      <c r="P112" s="281" t="s">
        <v>971</v>
      </c>
    </row>
    <row r="113" ht="15.0" customHeight="1">
      <c r="A113" s="224" t="s">
        <v>971</v>
      </c>
      <c r="B113" s="224" t="s">
        <v>182</v>
      </c>
      <c r="C113" s="224" t="s">
        <v>8752</v>
      </c>
      <c r="D113" s="92" t="s">
        <v>8478</v>
      </c>
      <c r="E113" s="92" t="s">
        <v>8741</v>
      </c>
      <c r="F113" s="92" t="s">
        <v>8742</v>
      </c>
      <c r="G113" s="92" t="s">
        <v>8743</v>
      </c>
      <c r="H113" s="327" t="s">
        <v>8753</v>
      </c>
      <c r="I113" s="82" t="s">
        <v>8485</v>
      </c>
      <c r="J113" s="82" t="s">
        <v>8754</v>
      </c>
      <c r="K113" s="82"/>
      <c r="L113" s="82"/>
      <c r="M113" s="82"/>
      <c r="N113" s="282">
        <v>150.0</v>
      </c>
      <c r="O113" s="282">
        <v>150.0</v>
      </c>
      <c r="P113" s="281" t="s">
        <v>971</v>
      </c>
    </row>
    <row r="114" ht="15.0" customHeight="1">
      <c r="A114" s="224" t="s">
        <v>971</v>
      </c>
      <c r="B114" s="224" t="s">
        <v>182</v>
      </c>
      <c r="C114" s="224" t="s">
        <v>8755</v>
      </c>
      <c r="D114" s="92" t="s">
        <v>8478</v>
      </c>
      <c r="E114" s="92" t="s">
        <v>8741</v>
      </c>
      <c r="F114" s="92" t="s">
        <v>8742</v>
      </c>
      <c r="G114" s="92" t="s">
        <v>8743</v>
      </c>
      <c r="H114" s="327" t="s">
        <v>8756</v>
      </c>
      <c r="I114" s="82" t="s">
        <v>8485</v>
      </c>
      <c r="J114" s="82" t="s">
        <v>8757</v>
      </c>
      <c r="K114" s="92"/>
      <c r="L114" s="92"/>
      <c r="M114" s="92"/>
      <c r="N114" s="282">
        <v>150.0</v>
      </c>
      <c r="O114" s="282">
        <v>150.0</v>
      </c>
      <c r="P114" s="281" t="s">
        <v>971</v>
      </c>
    </row>
    <row r="115" ht="15.0" customHeight="1">
      <c r="A115" s="224" t="s">
        <v>971</v>
      </c>
      <c r="B115" s="224" t="s">
        <v>182</v>
      </c>
      <c r="C115" s="224" t="s">
        <v>8758</v>
      </c>
      <c r="D115" s="92" t="s">
        <v>8478</v>
      </c>
      <c r="E115" s="92" t="s">
        <v>8741</v>
      </c>
      <c r="F115" s="92" t="s">
        <v>8742</v>
      </c>
      <c r="G115" s="92" t="s">
        <v>8743</v>
      </c>
      <c r="H115" s="327" t="s">
        <v>8753</v>
      </c>
      <c r="I115" s="82" t="s">
        <v>8485</v>
      </c>
      <c r="J115" s="82" t="s">
        <v>8759</v>
      </c>
      <c r="K115" s="92"/>
      <c r="L115" s="92"/>
      <c r="M115" s="92"/>
      <c r="N115" s="282">
        <v>150.0</v>
      </c>
      <c r="O115" s="282">
        <v>150.0</v>
      </c>
      <c r="P115" s="281" t="s">
        <v>971</v>
      </c>
    </row>
    <row r="116" ht="15.0" customHeight="1">
      <c r="A116" s="224" t="s">
        <v>971</v>
      </c>
      <c r="B116" s="224" t="s">
        <v>182</v>
      </c>
      <c r="C116" s="224" t="s">
        <v>8760</v>
      </c>
      <c r="D116" s="92" t="s">
        <v>8478</v>
      </c>
      <c r="E116" s="92" t="s">
        <v>8741</v>
      </c>
      <c r="F116" s="92" t="s">
        <v>8742</v>
      </c>
      <c r="G116" s="92" t="s">
        <v>8743</v>
      </c>
      <c r="H116" s="327" t="s">
        <v>8761</v>
      </c>
      <c r="I116" s="82" t="s">
        <v>8485</v>
      </c>
      <c r="J116" s="82" t="s">
        <v>8762</v>
      </c>
      <c r="K116" s="92"/>
      <c r="L116" s="92"/>
      <c r="M116" s="92"/>
      <c r="N116" s="282">
        <v>150.0</v>
      </c>
      <c r="O116" s="282">
        <v>150.0</v>
      </c>
      <c r="P116" s="281" t="s">
        <v>971</v>
      </c>
    </row>
    <row r="117" ht="15.0" customHeight="1">
      <c r="A117" s="224" t="s">
        <v>971</v>
      </c>
      <c r="B117" s="224" t="s">
        <v>182</v>
      </c>
      <c r="C117" s="224" t="s">
        <v>8763</v>
      </c>
      <c r="D117" s="92" t="s">
        <v>8478</v>
      </c>
      <c r="E117" s="92" t="s">
        <v>8741</v>
      </c>
      <c r="F117" s="92" t="s">
        <v>8742</v>
      </c>
      <c r="G117" s="92" t="s">
        <v>8743</v>
      </c>
      <c r="H117" s="327" t="s">
        <v>8764</v>
      </c>
      <c r="I117" s="82" t="s">
        <v>8485</v>
      </c>
      <c r="J117" s="82" t="s">
        <v>8765</v>
      </c>
      <c r="K117" s="92"/>
      <c r="L117" s="92"/>
      <c r="M117" s="92"/>
      <c r="N117" s="282">
        <v>150.0</v>
      </c>
      <c r="O117" s="282">
        <v>150.0</v>
      </c>
      <c r="P117" s="281" t="s">
        <v>971</v>
      </c>
    </row>
    <row r="118" ht="15.0" customHeight="1">
      <c r="A118" s="224" t="s">
        <v>971</v>
      </c>
      <c r="B118" s="224" t="s">
        <v>182</v>
      </c>
      <c r="C118" s="224" t="s">
        <v>8766</v>
      </c>
      <c r="D118" s="92" t="s">
        <v>8478</v>
      </c>
      <c r="E118" s="92" t="s">
        <v>8741</v>
      </c>
      <c r="F118" s="92" t="s">
        <v>8742</v>
      </c>
      <c r="G118" s="92" t="s">
        <v>8743</v>
      </c>
      <c r="H118" s="327" t="s">
        <v>8767</v>
      </c>
      <c r="I118" s="82" t="s">
        <v>8768</v>
      </c>
      <c r="J118" s="82" t="s">
        <v>8769</v>
      </c>
      <c r="K118" s="92"/>
      <c r="L118" s="92"/>
      <c r="M118" s="92"/>
      <c r="N118" s="282">
        <v>150.0</v>
      </c>
      <c r="O118" s="282">
        <v>150.0</v>
      </c>
      <c r="P118" s="281" t="s">
        <v>971</v>
      </c>
    </row>
    <row r="119" ht="15.0" customHeight="1">
      <c r="A119" s="224" t="s">
        <v>971</v>
      </c>
      <c r="B119" s="224" t="s">
        <v>182</v>
      </c>
      <c r="C119" s="224" t="s">
        <v>8770</v>
      </c>
      <c r="D119" s="92" t="s">
        <v>8478</v>
      </c>
      <c r="E119" s="92" t="s">
        <v>8741</v>
      </c>
      <c r="F119" s="92" t="s">
        <v>8742</v>
      </c>
      <c r="G119" s="92" t="s">
        <v>8743</v>
      </c>
      <c r="H119" s="327" t="s">
        <v>8771</v>
      </c>
      <c r="I119" s="82" t="s">
        <v>8485</v>
      </c>
      <c r="J119" s="82" t="s">
        <v>8772</v>
      </c>
      <c r="K119" s="274"/>
      <c r="L119" s="282"/>
      <c r="M119" s="282"/>
      <c r="N119" s="282">
        <v>150.0</v>
      </c>
      <c r="O119" s="282">
        <v>150.0</v>
      </c>
      <c r="P119" s="281" t="s">
        <v>971</v>
      </c>
    </row>
    <row r="120" ht="15.0" customHeight="1">
      <c r="A120" s="224" t="s">
        <v>971</v>
      </c>
      <c r="B120" s="224" t="s">
        <v>182</v>
      </c>
      <c r="C120" s="224" t="s">
        <v>8773</v>
      </c>
      <c r="D120" s="92" t="s">
        <v>8478</v>
      </c>
      <c r="E120" s="92" t="s">
        <v>8741</v>
      </c>
      <c r="F120" s="92" t="s">
        <v>8742</v>
      </c>
      <c r="G120" s="92" t="s">
        <v>8743</v>
      </c>
      <c r="H120" s="327" t="s">
        <v>8774</v>
      </c>
      <c r="I120" s="82" t="s">
        <v>8485</v>
      </c>
      <c r="J120" s="82" t="s">
        <v>8775</v>
      </c>
      <c r="K120" s="274"/>
      <c r="L120" s="274"/>
      <c r="M120" s="274"/>
      <c r="N120" s="282">
        <v>150.0</v>
      </c>
      <c r="O120" s="282">
        <v>150.0</v>
      </c>
      <c r="P120" s="281" t="s">
        <v>971</v>
      </c>
    </row>
    <row r="121" ht="15.0" customHeight="1">
      <c r="A121" s="224" t="s">
        <v>971</v>
      </c>
      <c r="B121" s="224" t="s">
        <v>182</v>
      </c>
      <c r="C121" s="224" t="s">
        <v>8776</v>
      </c>
      <c r="D121" s="92" t="s">
        <v>8478</v>
      </c>
      <c r="E121" s="92" t="s">
        <v>8741</v>
      </c>
      <c r="F121" s="92" t="s">
        <v>8742</v>
      </c>
      <c r="G121" s="92" t="s">
        <v>8743</v>
      </c>
      <c r="H121" s="327" t="s">
        <v>8777</v>
      </c>
      <c r="I121" s="82" t="s">
        <v>8485</v>
      </c>
      <c r="J121" s="82" t="s">
        <v>8765</v>
      </c>
      <c r="K121" s="274"/>
      <c r="L121" s="274"/>
      <c r="M121" s="274"/>
      <c r="N121" s="282">
        <v>50.0</v>
      </c>
      <c r="O121" s="282">
        <v>50.0</v>
      </c>
      <c r="P121" s="281" t="s">
        <v>971</v>
      </c>
    </row>
    <row r="122" ht="15.0" customHeight="1">
      <c r="A122" s="224" t="s">
        <v>971</v>
      </c>
      <c r="B122" s="224" t="s">
        <v>182</v>
      </c>
      <c r="C122" s="224" t="s">
        <v>8778</v>
      </c>
      <c r="D122" s="92" t="s">
        <v>8478</v>
      </c>
      <c r="E122" s="92" t="s">
        <v>8741</v>
      </c>
      <c r="F122" s="92" t="s">
        <v>8442</v>
      </c>
      <c r="G122" s="92" t="s">
        <v>8779</v>
      </c>
      <c r="H122" s="327" t="s">
        <v>8780</v>
      </c>
      <c r="I122" s="82" t="s">
        <v>8485</v>
      </c>
      <c r="J122" s="82" t="s">
        <v>8781</v>
      </c>
      <c r="K122" s="274"/>
      <c r="L122" s="274"/>
      <c r="M122" s="274"/>
      <c r="N122" s="282">
        <v>150.0</v>
      </c>
      <c r="O122" s="282">
        <v>150.0</v>
      </c>
      <c r="P122" s="281" t="s">
        <v>971</v>
      </c>
    </row>
    <row r="123" ht="15.0" customHeight="1">
      <c r="A123" s="224" t="s">
        <v>971</v>
      </c>
      <c r="B123" s="224" t="s">
        <v>182</v>
      </c>
      <c r="C123" s="82" t="s">
        <v>8782</v>
      </c>
      <c r="D123" s="92" t="s">
        <v>8478</v>
      </c>
      <c r="E123" s="92" t="s">
        <v>8741</v>
      </c>
      <c r="F123" s="92" t="s">
        <v>8742</v>
      </c>
      <c r="G123" s="92" t="s">
        <v>8743</v>
      </c>
      <c r="H123" s="327" t="s">
        <v>8783</v>
      </c>
      <c r="I123" s="82" t="s">
        <v>8485</v>
      </c>
      <c r="J123" s="82" t="s">
        <v>8784</v>
      </c>
      <c r="K123" s="274"/>
      <c r="L123" s="274"/>
      <c r="M123" s="274"/>
      <c r="N123" s="282">
        <v>150.0</v>
      </c>
      <c r="O123" s="282">
        <v>150.0</v>
      </c>
      <c r="P123" s="281" t="s">
        <v>971</v>
      </c>
    </row>
    <row r="124" ht="15.0" customHeight="1">
      <c r="A124" s="224" t="s">
        <v>971</v>
      </c>
      <c r="B124" s="224" t="s">
        <v>182</v>
      </c>
      <c r="C124" s="82" t="s">
        <v>8785</v>
      </c>
      <c r="D124" s="92" t="s">
        <v>8478</v>
      </c>
      <c r="E124" s="92" t="s">
        <v>8741</v>
      </c>
      <c r="F124" s="92" t="s">
        <v>8742</v>
      </c>
      <c r="G124" s="92" t="s">
        <v>8743</v>
      </c>
      <c r="H124" s="327" t="s">
        <v>8786</v>
      </c>
      <c r="I124" s="82" t="s">
        <v>8485</v>
      </c>
      <c r="J124" s="82" t="s">
        <v>8787</v>
      </c>
      <c r="K124" s="274"/>
      <c r="L124" s="274"/>
      <c r="M124" s="274"/>
      <c r="N124" s="282">
        <v>150.0</v>
      </c>
      <c r="O124" s="282">
        <v>150.0</v>
      </c>
      <c r="P124" s="281" t="s">
        <v>971</v>
      </c>
    </row>
    <row r="125" ht="15.0" customHeight="1">
      <c r="A125" s="224" t="s">
        <v>971</v>
      </c>
      <c r="B125" s="224" t="s">
        <v>182</v>
      </c>
      <c r="C125" s="82" t="s">
        <v>8788</v>
      </c>
      <c r="D125" s="92" t="s">
        <v>8478</v>
      </c>
      <c r="E125" s="92" t="s">
        <v>8741</v>
      </c>
      <c r="F125" s="92" t="s">
        <v>8742</v>
      </c>
      <c r="G125" s="92" t="s">
        <v>8743</v>
      </c>
      <c r="H125" s="327" t="s">
        <v>8789</v>
      </c>
      <c r="I125" s="82" t="s">
        <v>8485</v>
      </c>
      <c r="J125" s="82" t="s">
        <v>8790</v>
      </c>
      <c r="K125" s="274"/>
      <c r="L125" s="274"/>
      <c r="M125" s="274"/>
      <c r="N125" s="282">
        <v>150.0</v>
      </c>
      <c r="O125" s="282">
        <v>150.0</v>
      </c>
      <c r="P125" s="281" t="s">
        <v>971</v>
      </c>
    </row>
    <row r="126" ht="15.0" customHeight="1">
      <c r="A126" s="224" t="s">
        <v>971</v>
      </c>
      <c r="B126" s="224" t="s">
        <v>182</v>
      </c>
      <c r="C126" s="82" t="s">
        <v>8791</v>
      </c>
      <c r="D126" s="92" t="s">
        <v>8478</v>
      </c>
      <c r="E126" s="92" t="s">
        <v>8741</v>
      </c>
      <c r="F126" s="92" t="s">
        <v>8742</v>
      </c>
      <c r="G126" s="92" t="s">
        <v>8743</v>
      </c>
      <c r="H126" s="327" t="s">
        <v>8792</v>
      </c>
      <c r="I126" s="82" t="s">
        <v>8485</v>
      </c>
      <c r="J126" s="82" t="s">
        <v>8793</v>
      </c>
      <c r="K126" s="274"/>
      <c r="L126" s="274"/>
      <c r="M126" s="274"/>
      <c r="N126" s="282">
        <v>150.0</v>
      </c>
      <c r="O126" s="282">
        <v>150.0</v>
      </c>
      <c r="P126" s="281" t="s">
        <v>971</v>
      </c>
    </row>
    <row r="127" ht="15.0" customHeight="1">
      <c r="A127" s="224" t="s">
        <v>971</v>
      </c>
      <c r="B127" s="224" t="s">
        <v>182</v>
      </c>
      <c r="C127" s="82" t="s">
        <v>8794</v>
      </c>
      <c r="D127" s="92" t="s">
        <v>8478</v>
      </c>
      <c r="E127" s="92" t="s">
        <v>8741</v>
      </c>
      <c r="F127" s="92" t="s">
        <v>8742</v>
      </c>
      <c r="G127" s="92" t="s">
        <v>8743</v>
      </c>
      <c r="H127" s="327" t="s">
        <v>8795</v>
      </c>
      <c r="I127" s="82" t="s">
        <v>8485</v>
      </c>
      <c r="J127" s="82" t="s">
        <v>8796</v>
      </c>
      <c r="K127" s="274"/>
      <c r="L127" s="274"/>
      <c r="M127" s="274"/>
      <c r="N127" s="282">
        <v>150.0</v>
      </c>
      <c r="O127" s="282">
        <v>150.0</v>
      </c>
      <c r="P127" s="281" t="s">
        <v>971</v>
      </c>
    </row>
    <row r="128" ht="15.0" customHeight="1">
      <c r="A128" s="224" t="s">
        <v>971</v>
      </c>
      <c r="B128" s="224" t="s">
        <v>182</v>
      </c>
      <c r="C128" s="82" t="s">
        <v>8797</v>
      </c>
      <c r="D128" s="92" t="s">
        <v>8478</v>
      </c>
      <c r="E128" s="92" t="s">
        <v>8741</v>
      </c>
      <c r="F128" s="92" t="s">
        <v>8742</v>
      </c>
      <c r="G128" s="92" t="s">
        <v>8743</v>
      </c>
      <c r="H128" s="327" t="s">
        <v>8798</v>
      </c>
      <c r="I128" s="82" t="s">
        <v>8485</v>
      </c>
      <c r="J128" s="82" t="s">
        <v>8799</v>
      </c>
      <c r="K128" s="274"/>
      <c r="L128" s="274"/>
      <c r="M128" s="274"/>
      <c r="N128" s="282">
        <v>150.0</v>
      </c>
      <c r="O128" s="282">
        <v>150.0</v>
      </c>
      <c r="P128" s="281" t="s">
        <v>971</v>
      </c>
    </row>
    <row r="129" ht="15.0" customHeight="1">
      <c r="A129" s="224" t="s">
        <v>971</v>
      </c>
      <c r="B129" s="224" t="s">
        <v>182</v>
      </c>
      <c r="C129" s="82" t="s">
        <v>8800</v>
      </c>
      <c r="D129" s="92" t="s">
        <v>8478</v>
      </c>
      <c r="E129" s="92" t="s">
        <v>8741</v>
      </c>
      <c r="F129" s="92" t="s">
        <v>8442</v>
      </c>
      <c r="G129" s="92" t="s">
        <v>8779</v>
      </c>
      <c r="H129" s="327" t="s">
        <v>8801</v>
      </c>
      <c r="I129" s="82" t="s">
        <v>8485</v>
      </c>
      <c r="J129" s="82" t="s">
        <v>8802</v>
      </c>
      <c r="K129" s="274"/>
      <c r="L129" s="274"/>
      <c r="M129" s="274"/>
      <c r="N129" s="282">
        <v>50.0</v>
      </c>
      <c r="O129" s="282">
        <v>50.0</v>
      </c>
      <c r="P129" s="281" t="s">
        <v>971</v>
      </c>
    </row>
    <row r="130" ht="15.0" customHeight="1">
      <c r="A130" s="224" t="s">
        <v>971</v>
      </c>
      <c r="B130" s="224" t="s">
        <v>182</v>
      </c>
      <c r="C130" s="82" t="s">
        <v>8803</v>
      </c>
      <c r="D130" s="92" t="s">
        <v>8478</v>
      </c>
      <c r="E130" s="92" t="s">
        <v>8741</v>
      </c>
      <c r="F130" s="92" t="s">
        <v>8742</v>
      </c>
      <c r="G130" s="92" t="s">
        <v>8743</v>
      </c>
      <c r="H130" s="327" t="s">
        <v>8804</v>
      </c>
      <c r="I130" s="82" t="s">
        <v>8485</v>
      </c>
      <c r="J130" s="82" t="s">
        <v>8805</v>
      </c>
      <c r="K130" s="274"/>
      <c r="L130" s="274"/>
      <c r="M130" s="274"/>
      <c r="N130" s="282">
        <v>150.0</v>
      </c>
      <c r="O130" s="282">
        <v>150.0</v>
      </c>
      <c r="P130" s="281" t="s">
        <v>971</v>
      </c>
    </row>
    <row r="131" ht="15.0" customHeight="1">
      <c r="A131" s="224" t="s">
        <v>971</v>
      </c>
      <c r="B131" s="224" t="s">
        <v>182</v>
      </c>
      <c r="C131" s="446" t="s">
        <v>8806</v>
      </c>
      <c r="D131" s="92" t="s">
        <v>8478</v>
      </c>
      <c r="E131" s="92" t="s">
        <v>8741</v>
      </c>
      <c r="F131" s="92" t="s">
        <v>8742</v>
      </c>
      <c r="G131" s="92" t="s">
        <v>8743</v>
      </c>
      <c r="H131" s="447" t="s">
        <v>8807</v>
      </c>
      <c r="I131" s="274" t="s">
        <v>8485</v>
      </c>
      <c r="J131" s="82" t="s">
        <v>8808</v>
      </c>
      <c r="K131" s="274"/>
      <c r="L131" s="274"/>
      <c r="M131" s="274"/>
      <c r="N131" s="282">
        <v>150.0</v>
      </c>
      <c r="O131" s="282">
        <v>150.0</v>
      </c>
      <c r="P131" s="281" t="s">
        <v>971</v>
      </c>
    </row>
    <row r="132" ht="15.0" customHeight="1">
      <c r="A132" s="224" t="s">
        <v>8291</v>
      </c>
      <c r="B132" s="224" t="s">
        <v>147</v>
      </c>
      <c r="C132" s="224" t="s">
        <v>8809</v>
      </c>
      <c r="D132" s="92" t="s">
        <v>8597</v>
      </c>
      <c r="E132" s="92" t="s">
        <v>8449</v>
      </c>
      <c r="F132" s="92" t="s">
        <v>8810</v>
      </c>
      <c r="G132" s="92" t="s">
        <v>8443</v>
      </c>
      <c r="H132" s="78" t="s">
        <v>8811</v>
      </c>
      <c r="I132" s="82" t="s">
        <v>8812</v>
      </c>
      <c r="J132" s="326" t="s">
        <v>8813</v>
      </c>
      <c r="K132" s="82"/>
      <c r="L132" s="82"/>
      <c r="M132" s="82"/>
      <c r="N132" s="282">
        <v>30.0</v>
      </c>
      <c r="O132" s="429">
        <v>60.0</v>
      </c>
      <c r="P132" s="282" t="s">
        <v>153</v>
      </c>
      <c r="Q132" s="3"/>
      <c r="R132" s="3"/>
      <c r="S132" s="3"/>
      <c r="T132" s="3"/>
      <c r="U132" s="3"/>
      <c r="V132" s="3"/>
      <c r="W132" s="3"/>
      <c r="X132" s="3"/>
      <c r="Y132" s="3"/>
      <c r="Z132" s="3"/>
    </row>
    <row r="133" ht="15.0" customHeight="1">
      <c r="A133" s="224" t="s">
        <v>1057</v>
      </c>
      <c r="B133" s="224" t="s">
        <v>147</v>
      </c>
      <c r="C133" s="224" t="s">
        <v>8814</v>
      </c>
      <c r="D133" s="92" t="s">
        <v>8597</v>
      </c>
      <c r="E133" s="92" t="s">
        <v>8673</v>
      </c>
      <c r="F133" s="92" t="s">
        <v>8661</v>
      </c>
      <c r="G133" s="92" t="s">
        <v>8815</v>
      </c>
      <c r="H133" s="82" t="s">
        <v>8816</v>
      </c>
      <c r="I133" s="82" t="s">
        <v>8673</v>
      </c>
      <c r="J133" s="326" t="s">
        <v>8817</v>
      </c>
      <c r="K133" s="82">
        <v>10.0</v>
      </c>
      <c r="L133" s="82">
        <v>7.0</v>
      </c>
      <c r="M133" s="82">
        <v>55.0</v>
      </c>
      <c r="N133" s="282">
        <v>150.0</v>
      </c>
      <c r="O133" s="429">
        <v>150.0</v>
      </c>
      <c r="P133" s="282" t="s">
        <v>153</v>
      </c>
      <c r="Q133" s="3"/>
      <c r="R133" s="3"/>
      <c r="S133" s="3"/>
      <c r="T133" s="3"/>
      <c r="U133" s="3"/>
      <c r="V133" s="3"/>
      <c r="W133" s="3"/>
      <c r="X133" s="3"/>
      <c r="Y133" s="3"/>
      <c r="Z133" s="3"/>
    </row>
    <row r="134" ht="15.0" customHeight="1">
      <c r="A134" s="224" t="s">
        <v>1057</v>
      </c>
      <c r="B134" s="224" t="s">
        <v>147</v>
      </c>
      <c r="C134" s="224" t="s">
        <v>8818</v>
      </c>
      <c r="D134" s="92" t="s">
        <v>8597</v>
      </c>
      <c r="E134" s="92" t="s">
        <v>8819</v>
      </c>
      <c r="F134" s="92" t="s">
        <v>8820</v>
      </c>
      <c r="G134" s="92" t="s">
        <v>8815</v>
      </c>
      <c r="H134" s="82" t="s">
        <v>8821</v>
      </c>
      <c r="I134" s="82" t="s">
        <v>8485</v>
      </c>
      <c r="J134" s="326" t="s">
        <v>8822</v>
      </c>
      <c r="K134" s="82"/>
      <c r="L134" s="82"/>
      <c r="M134" s="82"/>
      <c r="N134" s="282">
        <v>150.0</v>
      </c>
      <c r="O134" s="429">
        <v>150.0</v>
      </c>
      <c r="P134" s="282" t="s">
        <v>153</v>
      </c>
      <c r="Q134" s="3"/>
      <c r="R134" s="3"/>
      <c r="S134" s="3"/>
      <c r="T134" s="3"/>
      <c r="U134" s="3"/>
      <c r="V134" s="3"/>
      <c r="W134" s="3"/>
      <c r="X134" s="3"/>
      <c r="Y134" s="3"/>
      <c r="Z134" s="3"/>
    </row>
    <row r="135" ht="15.0" customHeight="1">
      <c r="A135" s="224" t="s">
        <v>1057</v>
      </c>
      <c r="B135" s="224" t="s">
        <v>147</v>
      </c>
      <c r="C135" s="224" t="s">
        <v>8823</v>
      </c>
      <c r="D135" s="92" t="s">
        <v>8597</v>
      </c>
      <c r="E135" s="92" t="s">
        <v>8824</v>
      </c>
      <c r="F135" s="92" t="s">
        <v>8825</v>
      </c>
      <c r="G135" s="92" t="s">
        <v>8815</v>
      </c>
      <c r="H135" s="82" t="s">
        <v>8826</v>
      </c>
      <c r="I135" s="82" t="s">
        <v>8485</v>
      </c>
      <c r="J135" s="326" t="s">
        <v>8827</v>
      </c>
      <c r="K135" s="82"/>
      <c r="L135" s="82"/>
      <c r="M135" s="82"/>
      <c r="N135" s="282">
        <v>150.0</v>
      </c>
      <c r="O135" s="429">
        <v>150.0</v>
      </c>
      <c r="P135" s="282" t="s">
        <v>153</v>
      </c>
      <c r="Q135" s="3"/>
      <c r="R135" s="3"/>
      <c r="S135" s="3"/>
      <c r="T135" s="3"/>
      <c r="U135" s="3"/>
      <c r="V135" s="3"/>
      <c r="W135" s="3"/>
      <c r="X135" s="3"/>
      <c r="Y135" s="3"/>
      <c r="Z135" s="3"/>
    </row>
    <row r="136" ht="15.0" customHeight="1">
      <c r="A136" s="224" t="s">
        <v>1057</v>
      </c>
      <c r="B136" s="224" t="s">
        <v>147</v>
      </c>
      <c r="C136" s="224" t="s">
        <v>8828</v>
      </c>
      <c r="D136" s="92" t="s">
        <v>8597</v>
      </c>
      <c r="E136" s="92" t="s">
        <v>8824</v>
      </c>
      <c r="F136" s="92" t="s">
        <v>8829</v>
      </c>
      <c r="G136" s="92" t="s">
        <v>8815</v>
      </c>
      <c r="H136" s="82" t="s">
        <v>8830</v>
      </c>
      <c r="I136" s="82" t="s">
        <v>8485</v>
      </c>
      <c r="J136" s="326" t="s">
        <v>8831</v>
      </c>
      <c r="K136" s="82"/>
      <c r="L136" s="82"/>
      <c r="M136" s="82"/>
      <c r="N136" s="282">
        <v>100.0</v>
      </c>
      <c r="O136" s="429">
        <v>100.0</v>
      </c>
      <c r="P136" s="282" t="s">
        <v>153</v>
      </c>
      <c r="Q136" s="3"/>
      <c r="R136" s="3"/>
      <c r="S136" s="3"/>
      <c r="T136" s="3"/>
      <c r="U136" s="3"/>
      <c r="V136" s="3"/>
      <c r="W136" s="3"/>
      <c r="X136" s="3"/>
      <c r="Y136" s="3"/>
      <c r="Z136" s="3"/>
    </row>
    <row r="137" ht="15.0" customHeight="1">
      <c r="A137" s="224" t="s">
        <v>1057</v>
      </c>
      <c r="B137" s="224" t="s">
        <v>147</v>
      </c>
      <c r="C137" s="224" t="s">
        <v>8832</v>
      </c>
      <c r="D137" s="92" t="s">
        <v>8597</v>
      </c>
      <c r="E137" s="92" t="s">
        <v>8824</v>
      </c>
      <c r="F137" s="92" t="s">
        <v>8833</v>
      </c>
      <c r="G137" s="92" t="s">
        <v>8815</v>
      </c>
      <c r="H137" s="82" t="s">
        <v>8834</v>
      </c>
      <c r="I137" s="82" t="s">
        <v>8485</v>
      </c>
      <c r="J137" s="326" t="s">
        <v>8817</v>
      </c>
      <c r="K137" s="82"/>
      <c r="L137" s="82"/>
      <c r="M137" s="82"/>
      <c r="N137" s="282">
        <v>100.0</v>
      </c>
      <c r="O137" s="429">
        <v>100.0</v>
      </c>
      <c r="P137" s="282" t="s">
        <v>153</v>
      </c>
      <c r="Q137" s="3"/>
      <c r="R137" s="3"/>
      <c r="S137" s="3"/>
      <c r="T137" s="3"/>
      <c r="U137" s="3"/>
      <c r="V137" s="3"/>
      <c r="W137" s="3"/>
      <c r="X137" s="3"/>
      <c r="Y137" s="3"/>
      <c r="Z137" s="3"/>
    </row>
    <row r="138" ht="15.0" customHeight="1">
      <c r="A138" s="224" t="s">
        <v>1057</v>
      </c>
      <c r="B138" s="224" t="s">
        <v>147</v>
      </c>
      <c r="C138" s="224" t="s">
        <v>8835</v>
      </c>
      <c r="D138" s="92" t="s">
        <v>8597</v>
      </c>
      <c r="E138" s="92" t="s">
        <v>8824</v>
      </c>
      <c r="F138" s="92" t="s">
        <v>8820</v>
      </c>
      <c r="G138" s="92" t="s">
        <v>8815</v>
      </c>
      <c r="H138" s="82" t="s">
        <v>8836</v>
      </c>
      <c r="I138" s="82" t="s">
        <v>8485</v>
      </c>
      <c r="J138" s="326" t="s">
        <v>8837</v>
      </c>
      <c r="K138" s="82"/>
      <c r="L138" s="82"/>
      <c r="M138" s="82"/>
      <c r="N138" s="282">
        <v>100.0</v>
      </c>
      <c r="O138" s="429">
        <v>100.0</v>
      </c>
      <c r="P138" s="282" t="s">
        <v>153</v>
      </c>
      <c r="Q138" s="3"/>
      <c r="R138" s="3"/>
      <c r="S138" s="3"/>
      <c r="T138" s="3"/>
      <c r="U138" s="3"/>
      <c r="V138" s="3"/>
      <c r="W138" s="3"/>
      <c r="X138" s="3"/>
      <c r="Y138" s="3"/>
      <c r="Z138" s="3"/>
    </row>
    <row r="139" ht="15.0" customHeight="1">
      <c r="A139" s="252" t="s">
        <v>8304</v>
      </c>
      <c r="B139" s="414" t="s">
        <v>147</v>
      </c>
      <c r="C139" s="224" t="s">
        <v>8838</v>
      </c>
      <c r="D139" s="92" t="s">
        <v>8597</v>
      </c>
      <c r="E139" s="92" t="s">
        <v>8449</v>
      </c>
      <c r="F139" s="92" t="s">
        <v>8839</v>
      </c>
      <c r="G139" s="92" t="s">
        <v>8496</v>
      </c>
      <c r="H139" s="331" t="s">
        <v>8840</v>
      </c>
      <c r="I139" s="82" t="s">
        <v>8841</v>
      </c>
      <c r="J139" s="326" t="s">
        <v>8842</v>
      </c>
      <c r="K139" s="82"/>
      <c r="L139" s="82"/>
      <c r="M139" s="82"/>
      <c r="N139" s="282" t="s">
        <v>8843</v>
      </c>
      <c r="O139" s="429">
        <v>200.0</v>
      </c>
      <c r="P139" s="282" t="s">
        <v>149</v>
      </c>
      <c r="Q139" s="3"/>
      <c r="R139" s="3"/>
      <c r="S139" s="3"/>
      <c r="T139" s="3"/>
      <c r="U139" s="3"/>
      <c r="V139" s="3"/>
      <c r="W139" s="3"/>
      <c r="X139" s="3"/>
      <c r="Y139" s="3"/>
      <c r="Z139" s="3"/>
    </row>
    <row r="140" ht="15.0" customHeight="1">
      <c r="A140" s="252" t="s">
        <v>8304</v>
      </c>
      <c r="B140" s="414" t="s">
        <v>147</v>
      </c>
      <c r="C140" s="252" t="s">
        <v>8844</v>
      </c>
      <c r="D140" s="92" t="s">
        <v>8597</v>
      </c>
      <c r="E140" s="92" t="s">
        <v>8449</v>
      </c>
      <c r="F140" s="92" t="s">
        <v>8495</v>
      </c>
      <c r="G140" s="92"/>
      <c r="H140" s="327" t="s">
        <v>8845</v>
      </c>
      <c r="I140" s="82" t="s">
        <v>8449</v>
      </c>
      <c r="J140" s="326" t="s">
        <v>8846</v>
      </c>
      <c r="K140" s="82"/>
      <c r="L140" s="82"/>
      <c r="M140" s="82"/>
      <c r="N140" s="288">
        <v>50.0</v>
      </c>
      <c r="O140" s="448">
        <v>50.0</v>
      </c>
      <c r="P140" s="282" t="s">
        <v>149</v>
      </c>
      <c r="Q140" s="3"/>
      <c r="R140" s="3"/>
      <c r="S140" s="3"/>
      <c r="T140" s="3"/>
      <c r="U140" s="3"/>
      <c r="V140" s="3"/>
      <c r="W140" s="3"/>
      <c r="X140" s="3"/>
      <c r="Y140" s="3"/>
      <c r="Z140" s="3"/>
    </row>
    <row r="141" ht="15.0" customHeight="1">
      <c r="A141" s="252" t="s">
        <v>8304</v>
      </c>
      <c r="B141" s="414" t="s">
        <v>147</v>
      </c>
      <c r="C141" s="252" t="s">
        <v>8847</v>
      </c>
      <c r="D141" s="92" t="s">
        <v>8597</v>
      </c>
      <c r="E141" s="92" t="s">
        <v>8449</v>
      </c>
      <c r="F141" s="92" t="s">
        <v>8495</v>
      </c>
      <c r="G141" s="92" t="s">
        <v>8496</v>
      </c>
      <c r="H141" s="327" t="s">
        <v>8848</v>
      </c>
      <c r="I141" s="82" t="s">
        <v>8841</v>
      </c>
      <c r="J141" s="326" t="s">
        <v>8849</v>
      </c>
      <c r="K141" s="82"/>
      <c r="L141" s="82"/>
      <c r="M141" s="82"/>
      <c r="N141" s="282" t="s">
        <v>8850</v>
      </c>
      <c r="O141" s="429">
        <v>150.0</v>
      </c>
      <c r="P141" s="282" t="s">
        <v>149</v>
      </c>
      <c r="Q141" s="3"/>
      <c r="R141" s="3"/>
      <c r="S141" s="3"/>
      <c r="T141" s="3"/>
      <c r="U141" s="3"/>
      <c r="V141" s="3"/>
      <c r="W141" s="3"/>
      <c r="X141" s="3"/>
      <c r="Y141" s="3"/>
      <c r="Z141" s="3"/>
    </row>
    <row r="142" ht="15.0" customHeight="1">
      <c r="A142" s="252" t="s">
        <v>8304</v>
      </c>
      <c r="B142" s="414" t="s">
        <v>147</v>
      </c>
      <c r="C142" s="224" t="s">
        <v>8851</v>
      </c>
      <c r="D142" s="92" t="s">
        <v>8597</v>
      </c>
      <c r="E142" s="92" t="s">
        <v>8449</v>
      </c>
      <c r="F142" s="92" t="s">
        <v>8852</v>
      </c>
      <c r="G142" s="92" t="s">
        <v>8496</v>
      </c>
      <c r="H142" s="327" t="s">
        <v>8853</v>
      </c>
      <c r="I142" s="82" t="s">
        <v>8841</v>
      </c>
      <c r="J142" s="326" t="s">
        <v>8854</v>
      </c>
      <c r="K142" s="82"/>
      <c r="L142" s="82"/>
      <c r="M142" s="82"/>
      <c r="N142" s="282" t="s">
        <v>8843</v>
      </c>
      <c r="O142" s="429">
        <v>200.0</v>
      </c>
      <c r="P142" s="282" t="s">
        <v>149</v>
      </c>
      <c r="Q142" s="3"/>
      <c r="R142" s="3"/>
      <c r="S142" s="3"/>
      <c r="T142" s="3"/>
      <c r="U142" s="3"/>
      <c r="V142" s="3"/>
      <c r="W142" s="3"/>
      <c r="X142" s="3"/>
      <c r="Y142" s="3"/>
      <c r="Z142" s="3"/>
    </row>
    <row r="143" ht="15.0" customHeight="1">
      <c r="A143" s="224" t="s">
        <v>8317</v>
      </c>
      <c r="B143" s="224" t="s">
        <v>147</v>
      </c>
      <c r="C143" s="224" t="s">
        <v>8855</v>
      </c>
      <c r="D143" s="92" t="s">
        <v>8636</v>
      </c>
      <c r="E143" s="92" t="s">
        <v>8856</v>
      </c>
      <c r="F143" s="92" t="s">
        <v>8442</v>
      </c>
      <c r="G143" s="92" t="s">
        <v>8857</v>
      </c>
      <c r="H143" s="82" t="s">
        <v>8845</v>
      </c>
      <c r="I143" s="82"/>
      <c r="J143" s="326" t="s">
        <v>8817</v>
      </c>
      <c r="K143" s="82"/>
      <c r="L143" s="82"/>
      <c r="M143" s="82"/>
      <c r="N143" s="282">
        <v>50.0</v>
      </c>
      <c r="O143" s="429">
        <v>50.0</v>
      </c>
      <c r="P143" s="282" t="s">
        <v>150</v>
      </c>
      <c r="Q143" s="3"/>
      <c r="R143" s="3"/>
      <c r="S143" s="3"/>
      <c r="T143" s="3"/>
      <c r="U143" s="3"/>
      <c r="V143" s="3"/>
      <c r="W143" s="3"/>
      <c r="X143" s="3"/>
      <c r="Y143" s="3"/>
      <c r="Z143" s="3"/>
    </row>
    <row r="144" ht="15.0" customHeight="1">
      <c r="A144" s="224" t="s">
        <v>8319</v>
      </c>
      <c r="B144" s="224" t="s">
        <v>147</v>
      </c>
      <c r="C144" s="224" t="s">
        <v>8858</v>
      </c>
      <c r="D144" s="92" t="s">
        <v>8597</v>
      </c>
      <c r="E144" s="92" t="s">
        <v>8449</v>
      </c>
      <c r="F144" s="92" t="s">
        <v>8859</v>
      </c>
      <c r="G144" s="92"/>
      <c r="H144" s="82" t="s">
        <v>8860</v>
      </c>
      <c r="I144" s="82" t="s">
        <v>8861</v>
      </c>
      <c r="J144" s="326" t="s">
        <v>8862</v>
      </c>
      <c r="K144" s="82">
        <v>3.0</v>
      </c>
      <c r="L144" s="82">
        <v>1.0</v>
      </c>
      <c r="M144" s="82">
        <v>3.0</v>
      </c>
      <c r="N144" s="282">
        <v>200.0</v>
      </c>
      <c r="O144" s="429">
        <v>200.0</v>
      </c>
      <c r="P144" s="282" t="s">
        <v>4738</v>
      </c>
      <c r="Q144" s="3"/>
      <c r="R144" s="3"/>
      <c r="S144" s="3"/>
      <c r="T144" s="3"/>
      <c r="U144" s="3"/>
      <c r="V144" s="3"/>
      <c r="W144" s="3"/>
      <c r="X144" s="3"/>
      <c r="Y144" s="3"/>
      <c r="Z144" s="3"/>
    </row>
    <row r="145" ht="15.0" customHeight="1">
      <c r="A145" s="224" t="s">
        <v>8319</v>
      </c>
      <c r="B145" s="224" t="s">
        <v>147</v>
      </c>
      <c r="C145" s="224" t="s">
        <v>8863</v>
      </c>
      <c r="D145" s="92" t="s">
        <v>8597</v>
      </c>
      <c r="E145" s="92" t="s">
        <v>8864</v>
      </c>
      <c r="F145" s="92" t="s">
        <v>8865</v>
      </c>
      <c r="G145" s="92"/>
      <c r="H145" s="82" t="s">
        <v>8866</v>
      </c>
      <c r="I145" s="82" t="s">
        <v>8867</v>
      </c>
      <c r="J145" s="326" t="s">
        <v>8868</v>
      </c>
      <c r="K145" s="82"/>
      <c r="L145" s="82"/>
      <c r="M145" s="82"/>
      <c r="N145" s="282">
        <v>100.0</v>
      </c>
      <c r="O145" s="429">
        <v>100.0</v>
      </c>
      <c r="P145" s="282" t="s">
        <v>4738</v>
      </c>
      <c r="Q145" s="3"/>
      <c r="R145" s="3"/>
      <c r="S145" s="3"/>
      <c r="T145" s="3"/>
      <c r="U145" s="3"/>
      <c r="V145" s="3"/>
      <c r="W145" s="3"/>
      <c r="X145" s="3"/>
      <c r="Y145" s="3"/>
      <c r="Z145" s="3"/>
    </row>
    <row r="146" ht="15.0" customHeight="1">
      <c r="A146" s="224" t="s">
        <v>8319</v>
      </c>
      <c r="B146" s="224" t="s">
        <v>147</v>
      </c>
      <c r="C146" s="224" t="s">
        <v>8869</v>
      </c>
      <c r="D146" s="92" t="s">
        <v>8597</v>
      </c>
      <c r="E146" s="92" t="s">
        <v>8864</v>
      </c>
      <c r="F146" s="92" t="s">
        <v>8870</v>
      </c>
      <c r="G146" s="92"/>
      <c r="H146" s="82" t="s">
        <v>8871</v>
      </c>
      <c r="I146" s="82" t="s">
        <v>8872</v>
      </c>
      <c r="J146" s="326" t="s">
        <v>8873</v>
      </c>
      <c r="K146" s="82"/>
      <c r="L146" s="82"/>
      <c r="M146" s="82"/>
      <c r="N146" s="282">
        <v>100.0</v>
      </c>
      <c r="O146" s="429">
        <v>100.0</v>
      </c>
      <c r="P146" s="282" t="s">
        <v>4738</v>
      </c>
      <c r="Q146" s="3"/>
      <c r="R146" s="3"/>
      <c r="S146" s="3"/>
      <c r="T146" s="3"/>
      <c r="U146" s="3"/>
      <c r="V146" s="3"/>
      <c r="W146" s="3"/>
      <c r="X146" s="3"/>
      <c r="Y146" s="3"/>
      <c r="Z146" s="3"/>
    </row>
    <row r="147" ht="15.0" customHeight="1">
      <c r="A147" s="224" t="s">
        <v>1144</v>
      </c>
      <c r="B147" s="224" t="s">
        <v>147</v>
      </c>
      <c r="C147" s="224" t="s">
        <v>8874</v>
      </c>
      <c r="D147" s="92" t="s">
        <v>8636</v>
      </c>
      <c r="E147" s="92" t="s">
        <v>8494</v>
      </c>
      <c r="F147" s="92" t="s">
        <v>8875</v>
      </c>
      <c r="G147" s="92">
        <v>200.0</v>
      </c>
      <c r="H147" s="82" t="s">
        <v>8876</v>
      </c>
      <c r="I147" s="82" t="s">
        <v>8877</v>
      </c>
      <c r="J147" s="326" t="s">
        <v>8878</v>
      </c>
      <c r="K147" s="82"/>
      <c r="L147" s="82"/>
      <c r="M147" s="82"/>
      <c r="N147" s="282">
        <v>30.0</v>
      </c>
      <c r="O147" s="429">
        <v>30.0</v>
      </c>
      <c r="P147" s="282" t="s">
        <v>159</v>
      </c>
      <c r="Q147" s="3"/>
      <c r="R147" s="3"/>
      <c r="S147" s="3"/>
      <c r="T147" s="3"/>
      <c r="U147" s="3"/>
      <c r="V147" s="3"/>
      <c r="W147" s="3"/>
      <c r="X147" s="3"/>
      <c r="Y147" s="3"/>
      <c r="Z147" s="3"/>
    </row>
    <row r="148" ht="15.0" customHeight="1">
      <c r="A148" s="224" t="s">
        <v>8879</v>
      </c>
      <c r="B148" s="224" t="s">
        <v>147</v>
      </c>
      <c r="C148" s="224" t="s">
        <v>8880</v>
      </c>
      <c r="D148" s="92" t="s">
        <v>8881</v>
      </c>
      <c r="E148" s="92" t="s">
        <v>8882</v>
      </c>
      <c r="F148" s="92" t="s">
        <v>8495</v>
      </c>
      <c r="G148" s="92" t="s">
        <v>8883</v>
      </c>
      <c r="H148" s="82" t="s">
        <v>8884</v>
      </c>
      <c r="I148" s="82"/>
      <c r="J148" s="326" t="s">
        <v>8885</v>
      </c>
      <c r="K148" s="82"/>
      <c r="L148" s="82">
        <v>1.0</v>
      </c>
      <c r="M148" s="82"/>
      <c r="N148" s="282" t="s">
        <v>8886</v>
      </c>
      <c r="O148" s="429">
        <v>100.0</v>
      </c>
      <c r="P148" s="282" t="s">
        <v>162</v>
      </c>
      <c r="Q148" s="3"/>
      <c r="R148" s="3"/>
      <c r="S148" s="3"/>
      <c r="T148" s="3"/>
      <c r="U148" s="3"/>
      <c r="V148" s="3"/>
      <c r="W148" s="3"/>
      <c r="X148" s="3"/>
      <c r="Y148" s="3"/>
      <c r="Z148" s="3"/>
    </row>
    <row r="149" ht="15.0" customHeight="1">
      <c r="A149" s="224" t="s">
        <v>8879</v>
      </c>
      <c r="B149" s="224" t="s">
        <v>147</v>
      </c>
      <c r="C149" s="224" t="s">
        <v>8887</v>
      </c>
      <c r="D149" s="92" t="s">
        <v>8881</v>
      </c>
      <c r="E149" s="92" t="s">
        <v>8882</v>
      </c>
      <c r="F149" s="92" t="s">
        <v>8495</v>
      </c>
      <c r="G149" s="92" t="s">
        <v>8888</v>
      </c>
      <c r="H149" s="82" t="s">
        <v>8889</v>
      </c>
      <c r="I149" s="82"/>
      <c r="J149" s="394">
        <v>44808.0</v>
      </c>
      <c r="K149" s="82"/>
      <c r="L149" s="82">
        <v>1.0</v>
      </c>
      <c r="M149" s="82"/>
      <c r="N149" s="282" t="s">
        <v>8890</v>
      </c>
      <c r="O149" s="429">
        <v>75.0</v>
      </c>
      <c r="P149" s="282" t="s">
        <v>162</v>
      </c>
      <c r="Q149" s="3"/>
      <c r="R149" s="3"/>
      <c r="S149" s="3"/>
      <c r="T149" s="3"/>
      <c r="U149" s="3"/>
      <c r="V149" s="3"/>
      <c r="W149" s="3"/>
      <c r="X149" s="3"/>
      <c r="Y149" s="3"/>
      <c r="Z149" s="3"/>
    </row>
    <row r="150" ht="15.0" customHeight="1">
      <c r="A150" s="224" t="s">
        <v>8891</v>
      </c>
      <c r="B150" s="224" t="s">
        <v>147</v>
      </c>
      <c r="C150" s="224" t="s">
        <v>8421</v>
      </c>
      <c r="D150" s="92" t="s">
        <v>8597</v>
      </c>
      <c r="E150" s="92" t="s">
        <v>8494</v>
      </c>
      <c r="F150" s="92" t="s">
        <v>8495</v>
      </c>
      <c r="G150" s="92"/>
      <c r="H150" s="82" t="s">
        <v>8892</v>
      </c>
      <c r="I150" s="82" t="s">
        <v>8893</v>
      </c>
      <c r="J150" s="326" t="s">
        <v>8894</v>
      </c>
      <c r="K150" s="82"/>
      <c r="L150" s="82"/>
      <c r="M150" s="82"/>
      <c r="N150" s="282">
        <v>50.0</v>
      </c>
      <c r="O150" s="429">
        <v>50.0</v>
      </c>
      <c r="P150" s="282" t="s">
        <v>171</v>
      </c>
      <c r="Q150" s="3"/>
      <c r="R150" s="3"/>
      <c r="S150" s="3"/>
      <c r="T150" s="3"/>
      <c r="U150" s="3"/>
      <c r="V150" s="3"/>
      <c r="W150" s="3"/>
      <c r="X150" s="3"/>
      <c r="Y150" s="3"/>
      <c r="Z150" s="3"/>
    </row>
    <row r="151" ht="15.0" customHeight="1">
      <c r="A151" s="224" t="s">
        <v>8891</v>
      </c>
      <c r="B151" s="224" t="s">
        <v>147</v>
      </c>
      <c r="C151" s="224" t="s">
        <v>8421</v>
      </c>
      <c r="D151" s="92" t="s">
        <v>8597</v>
      </c>
      <c r="E151" s="92" t="s">
        <v>8494</v>
      </c>
      <c r="F151" s="92" t="s">
        <v>8495</v>
      </c>
      <c r="G151" s="92"/>
      <c r="H151" s="82" t="s">
        <v>8422</v>
      </c>
      <c r="I151" s="82" t="s">
        <v>8895</v>
      </c>
      <c r="J151" s="326" t="s">
        <v>8894</v>
      </c>
      <c r="K151" s="82"/>
      <c r="L151" s="82"/>
      <c r="M151" s="82"/>
      <c r="N151" s="282">
        <v>50.0</v>
      </c>
      <c r="O151" s="429">
        <v>50.0</v>
      </c>
      <c r="P151" s="282" t="s">
        <v>171</v>
      </c>
      <c r="Q151" s="3"/>
      <c r="R151" s="3"/>
      <c r="S151" s="3"/>
      <c r="T151" s="3"/>
      <c r="U151" s="3"/>
      <c r="V151" s="3"/>
      <c r="W151" s="3"/>
      <c r="X151" s="3"/>
      <c r="Y151" s="3"/>
      <c r="Z151" s="3"/>
    </row>
    <row r="152" ht="15.0" customHeight="1">
      <c r="A152" s="224" t="s">
        <v>8896</v>
      </c>
      <c r="B152" s="224" t="s">
        <v>147</v>
      </c>
      <c r="C152" s="224" t="s">
        <v>8634</v>
      </c>
      <c r="D152" s="92" t="s">
        <v>8493</v>
      </c>
      <c r="E152" s="92" t="s">
        <v>8484</v>
      </c>
      <c r="F152" s="92" t="s">
        <v>8897</v>
      </c>
      <c r="G152" s="92" t="s">
        <v>8496</v>
      </c>
      <c r="H152" s="82" t="s">
        <v>8444</v>
      </c>
      <c r="I152" s="82" t="s">
        <v>8507</v>
      </c>
      <c r="J152" s="326" t="s">
        <v>8471</v>
      </c>
      <c r="K152" s="82"/>
      <c r="L152" s="82"/>
      <c r="M152" s="82"/>
      <c r="N152" s="282">
        <v>20.0</v>
      </c>
      <c r="O152" s="429">
        <v>20.0</v>
      </c>
      <c r="P152" s="282" t="s">
        <v>5077</v>
      </c>
      <c r="Q152" s="3"/>
      <c r="R152" s="3"/>
      <c r="S152" s="3"/>
      <c r="T152" s="3"/>
      <c r="U152" s="3"/>
      <c r="V152" s="3"/>
      <c r="W152" s="3"/>
      <c r="X152" s="3"/>
      <c r="Y152" s="3"/>
      <c r="Z152" s="3"/>
    </row>
    <row r="153" ht="15.0" customHeight="1">
      <c r="A153" s="224" t="s">
        <v>8898</v>
      </c>
      <c r="B153" s="224" t="s">
        <v>147</v>
      </c>
      <c r="C153" s="224" t="s">
        <v>8899</v>
      </c>
      <c r="D153" s="92" t="s">
        <v>8571</v>
      </c>
      <c r="E153" s="92" t="s">
        <v>8484</v>
      </c>
      <c r="F153" s="92" t="s">
        <v>8900</v>
      </c>
      <c r="G153" s="92" t="s">
        <v>8551</v>
      </c>
      <c r="H153" s="82" t="s">
        <v>8845</v>
      </c>
      <c r="I153" s="82"/>
      <c r="J153" s="326" t="s">
        <v>8901</v>
      </c>
      <c r="K153" s="82">
        <v>1.0</v>
      </c>
      <c r="L153" s="82">
        <v>1.0</v>
      </c>
      <c r="M153" s="82">
        <v>1.0</v>
      </c>
      <c r="N153" s="282">
        <v>50.0</v>
      </c>
      <c r="O153" s="429">
        <v>50.0</v>
      </c>
      <c r="P153" s="282" t="s">
        <v>8902</v>
      </c>
      <c r="Q153" s="3"/>
      <c r="R153" s="3"/>
      <c r="S153" s="3"/>
      <c r="T153" s="3"/>
      <c r="U153" s="3"/>
      <c r="V153" s="3"/>
      <c r="W153" s="3"/>
      <c r="X153" s="3"/>
      <c r="Y153" s="3"/>
      <c r="Z153" s="3"/>
    </row>
    <row r="154" ht="15.0" customHeight="1">
      <c r="A154" s="224" t="s">
        <v>8898</v>
      </c>
      <c r="B154" s="224" t="s">
        <v>147</v>
      </c>
      <c r="C154" s="224" t="s">
        <v>8903</v>
      </c>
      <c r="D154" s="92" t="s">
        <v>8571</v>
      </c>
      <c r="E154" s="92" t="s">
        <v>8484</v>
      </c>
      <c r="F154" s="92" t="s">
        <v>8904</v>
      </c>
      <c r="G154" s="92" t="s">
        <v>8551</v>
      </c>
      <c r="H154" s="82" t="s">
        <v>8905</v>
      </c>
      <c r="I154" s="82"/>
      <c r="J154" s="326" t="s">
        <v>8906</v>
      </c>
      <c r="K154" s="82">
        <v>4.0</v>
      </c>
      <c r="L154" s="82">
        <v>2.0</v>
      </c>
      <c r="M154" s="82">
        <v>6.0</v>
      </c>
      <c r="N154" s="282">
        <v>30.0</v>
      </c>
      <c r="O154" s="429">
        <v>10.0</v>
      </c>
      <c r="P154" s="282" t="s">
        <v>8902</v>
      </c>
      <c r="Q154" s="3"/>
      <c r="R154" s="3"/>
      <c r="S154" s="3"/>
      <c r="T154" s="3"/>
      <c r="U154" s="3"/>
      <c r="V154" s="3"/>
      <c r="W154" s="3"/>
      <c r="X154" s="3"/>
      <c r="Y154" s="3"/>
      <c r="Z154" s="3"/>
    </row>
    <row r="155" ht="15.0" customHeight="1">
      <c r="A155" s="224" t="s">
        <v>8898</v>
      </c>
      <c r="B155" s="224" t="s">
        <v>147</v>
      </c>
      <c r="C155" s="224" t="s">
        <v>8907</v>
      </c>
      <c r="D155" s="92" t="s">
        <v>8571</v>
      </c>
      <c r="E155" s="92" t="s">
        <v>8908</v>
      </c>
      <c r="F155" s="92" t="s">
        <v>8909</v>
      </c>
      <c r="G155" s="92" t="s">
        <v>8496</v>
      </c>
      <c r="H155" s="82" t="s">
        <v>8910</v>
      </c>
      <c r="I155" s="82"/>
      <c r="J155" s="326" t="s">
        <v>8911</v>
      </c>
      <c r="K155" s="82">
        <v>2.0</v>
      </c>
      <c r="L155" s="82">
        <v>1.0</v>
      </c>
      <c r="M155" s="82">
        <v>3.0</v>
      </c>
      <c r="N155" s="282">
        <v>30.0</v>
      </c>
      <c r="O155" s="429">
        <v>10.0</v>
      </c>
      <c r="P155" s="282" t="s">
        <v>8902</v>
      </c>
      <c r="Q155" s="3"/>
      <c r="R155" s="3"/>
      <c r="S155" s="3"/>
      <c r="T155" s="3"/>
      <c r="U155" s="3"/>
      <c r="V155" s="3"/>
      <c r="W155" s="3"/>
      <c r="X155" s="3"/>
      <c r="Y155" s="3"/>
      <c r="Z155" s="3"/>
    </row>
    <row r="156" ht="15.0" customHeight="1">
      <c r="A156" s="224" t="s">
        <v>8898</v>
      </c>
      <c r="B156" s="224" t="s">
        <v>147</v>
      </c>
      <c r="C156" s="224" t="s">
        <v>8907</v>
      </c>
      <c r="D156" s="92" t="s">
        <v>8571</v>
      </c>
      <c r="E156" s="92" t="s">
        <v>8912</v>
      </c>
      <c r="F156" s="92" t="s">
        <v>8909</v>
      </c>
      <c r="G156" s="92" t="s">
        <v>8496</v>
      </c>
      <c r="H156" s="82" t="s">
        <v>8910</v>
      </c>
      <c r="I156" s="82"/>
      <c r="J156" s="326" t="s">
        <v>8911</v>
      </c>
      <c r="K156" s="82">
        <v>2.0</v>
      </c>
      <c r="L156" s="82">
        <v>2.0</v>
      </c>
      <c r="M156" s="82">
        <v>7.0</v>
      </c>
      <c r="N156" s="282">
        <v>30.0</v>
      </c>
      <c r="O156" s="429">
        <v>5.0</v>
      </c>
      <c r="P156" s="282" t="s">
        <v>8902</v>
      </c>
      <c r="Q156" s="3"/>
      <c r="R156" s="3"/>
      <c r="S156" s="3"/>
      <c r="T156" s="3"/>
      <c r="U156" s="3"/>
      <c r="V156" s="3"/>
      <c r="W156" s="3"/>
      <c r="X156" s="3"/>
      <c r="Y156" s="3"/>
      <c r="Z156" s="3"/>
    </row>
    <row r="157" ht="15.75" customHeight="1">
      <c r="A157" s="193" t="s">
        <v>185</v>
      </c>
      <c r="B157" s="61"/>
      <c r="C157" s="61"/>
      <c r="D157" s="61"/>
      <c r="E157" s="61"/>
      <c r="F157" s="61"/>
      <c r="G157" s="61"/>
      <c r="H157" s="61"/>
      <c r="I157" s="110"/>
      <c r="J157" s="3"/>
      <c r="K157" s="3"/>
      <c r="L157" s="3"/>
      <c r="M157" s="3"/>
      <c r="N157" s="3"/>
      <c r="O157" s="283">
        <f>SUM(O14:O156)</f>
        <v>10220.99667</v>
      </c>
      <c r="P157" s="3"/>
      <c r="Q157" s="3"/>
      <c r="R157" s="3"/>
      <c r="S157" s="3"/>
      <c r="T157" s="3"/>
      <c r="U157" s="3"/>
      <c r="V157" s="3"/>
      <c r="W157" s="3"/>
      <c r="X157" s="3"/>
      <c r="Y157" s="3"/>
      <c r="Z157" s="3"/>
    </row>
    <row r="158" ht="15.75" customHeight="1">
      <c r="A158" s="104"/>
      <c r="B158" s="61"/>
      <c r="C158" s="61"/>
      <c r="D158" s="61"/>
      <c r="E158" s="61"/>
      <c r="F158" s="61"/>
      <c r="G158" s="61"/>
      <c r="H158" s="61"/>
      <c r="I158" s="61"/>
      <c r="J158" s="1"/>
      <c r="K158" s="1"/>
      <c r="L158" s="1"/>
      <c r="M158" s="1"/>
      <c r="N158" s="3"/>
      <c r="O158" s="3"/>
      <c r="P158" s="3"/>
      <c r="Q158" s="3"/>
      <c r="R158" s="3"/>
      <c r="S158" s="3"/>
      <c r="T158" s="3"/>
      <c r="U158" s="3"/>
      <c r="V158" s="3"/>
      <c r="W158" s="3"/>
      <c r="X158" s="3"/>
      <c r="Y158" s="3"/>
      <c r="Z158" s="3"/>
    </row>
    <row r="159" ht="15.75" customHeight="1">
      <c r="A159" s="284" t="s">
        <v>1169</v>
      </c>
      <c r="B159" s="103"/>
      <c r="C159" s="103"/>
      <c r="D159" s="103"/>
      <c r="E159" s="103"/>
      <c r="F159" s="103"/>
      <c r="G159" s="103"/>
      <c r="H159" s="103"/>
      <c r="I159" s="103"/>
      <c r="J159" s="103"/>
      <c r="K159" s="3"/>
      <c r="L159" s="3"/>
      <c r="M159" s="3"/>
      <c r="N159" s="3"/>
      <c r="O159" s="3"/>
      <c r="P159" s="3"/>
      <c r="Q159" s="3"/>
      <c r="R159" s="3"/>
      <c r="S159" s="3"/>
      <c r="T159" s="3"/>
      <c r="U159" s="3"/>
      <c r="V159" s="3"/>
      <c r="W159" s="3"/>
      <c r="X159" s="3"/>
      <c r="Y159" s="3"/>
      <c r="Z159" s="3"/>
    </row>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O10"/>
    <mergeCell ref="A11:O11"/>
    <mergeCell ref="A159:J159"/>
    <mergeCell ref="A2:O2"/>
    <mergeCell ref="A4:O4"/>
    <mergeCell ref="A5:O5"/>
    <mergeCell ref="A6:O6"/>
    <mergeCell ref="A7:O7"/>
    <mergeCell ref="A8:O8"/>
    <mergeCell ref="A9:O9"/>
  </mergeCells>
  <hyperlinks>
    <hyperlink r:id="rId1" ref="H14"/>
    <hyperlink r:id="rId2" ref="H18"/>
    <hyperlink r:id="rId3" ref="H19"/>
    <hyperlink r:id="rId4" ref="H20"/>
    <hyperlink r:id="rId5" ref="H22"/>
    <hyperlink r:id="rId6" ref="H24"/>
    <hyperlink r:id="rId7" ref="H25"/>
    <hyperlink r:id="rId8" ref="H26"/>
    <hyperlink r:id="rId9" ref="H32"/>
    <hyperlink r:id="rId10" ref="H33"/>
    <hyperlink r:id="rId11" ref="H34"/>
    <hyperlink r:id="rId12" ref="H35"/>
    <hyperlink r:id="rId13" ref="H36"/>
    <hyperlink r:id="rId14" ref="H37"/>
    <hyperlink r:id="rId15" ref="H38"/>
    <hyperlink r:id="rId16" ref="H42"/>
    <hyperlink r:id="rId17" ref="H47"/>
    <hyperlink r:id="rId18" ref="H48"/>
    <hyperlink r:id="rId19" ref="H49"/>
    <hyperlink r:id="rId20" ref="H50"/>
    <hyperlink r:id="rId21" ref="H51"/>
    <hyperlink r:id="rId22" ref="H52"/>
    <hyperlink r:id="rId23" ref="H53"/>
    <hyperlink r:id="rId24" ref="H54"/>
    <hyperlink r:id="rId25" ref="H55"/>
    <hyperlink r:id="rId26" ref="H56"/>
    <hyperlink r:id="rId27" ref="H57"/>
    <hyperlink r:id="rId28" ref="F59"/>
    <hyperlink r:id="rId29" ref="H61"/>
    <hyperlink r:id="rId30" ref="H62"/>
    <hyperlink r:id="rId31" location="gsc.tab" ref="H63"/>
    <hyperlink r:id="rId32" ref="H64"/>
    <hyperlink r:id="rId33" ref="H65"/>
    <hyperlink r:id="rId34" ref="H68"/>
    <hyperlink r:id="rId35" ref="H69"/>
    <hyperlink r:id="rId36" ref="H70"/>
    <hyperlink r:id="rId37" ref="H71"/>
    <hyperlink r:id="rId38" ref="H72"/>
    <hyperlink r:id="rId39" ref="H73"/>
    <hyperlink r:id="rId40" ref="H74"/>
    <hyperlink r:id="rId41" ref="H75"/>
    <hyperlink r:id="rId42" ref="H76"/>
    <hyperlink r:id="rId43" ref="H77"/>
    <hyperlink r:id="rId44" ref="H78"/>
    <hyperlink r:id="rId45" ref="H79"/>
    <hyperlink r:id="rId46" ref="H80"/>
    <hyperlink r:id="rId47" ref="H81"/>
    <hyperlink r:id="rId48" ref="H82"/>
    <hyperlink r:id="rId49" ref="H83"/>
    <hyperlink r:id="rId50" ref="H84"/>
    <hyperlink r:id="rId51" ref="H85"/>
    <hyperlink r:id="rId52" ref="H86"/>
    <hyperlink r:id="rId53" ref="H87"/>
    <hyperlink r:id="rId54" ref="H89"/>
    <hyperlink r:id="rId55" ref="H90"/>
    <hyperlink r:id="rId56" ref="H91"/>
    <hyperlink r:id="rId57" ref="H92"/>
    <hyperlink r:id="rId58" ref="H93"/>
    <hyperlink r:id="rId59" ref="H94"/>
    <hyperlink r:id="rId60" ref="H95"/>
    <hyperlink r:id="rId61" ref="H96"/>
    <hyperlink r:id="rId62" ref="H97"/>
    <hyperlink r:id="rId63" ref="H98"/>
    <hyperlink r:id="rId64" ref="H99"/>
    <hyperlink r:id="rId65" ref="H100"/>
    <hyperlink r:id="rId66" ref="H101"/>
    <hyperlink r:id="rId67" ref="H102"/>
    <hyperlink r:id="rId68" ref="H103"/>
    <hyperlink r:id="rId69" ref="H104"/>
    <hyperlink r:id="rId70" ref="H109"/>
    <hyperlink r:id="rId71" ref="H110"/>
    <hyperlink r:id="rId72" location="Committee" ref="H111"/>
    <hyperlink r:id="rId73" ref="H112"/>
    <hyperlink r:id="rId74" ref="H113"/>
    <hyperlink r:id="rId75" ref="H114"/>
    <hyperlink r:id="rId76" ref="H115"/>
    <hyperlink r:id="rId77" ref="H116"/>
    <hyperlink r:id="rId78" ref="H117"/>
    <hyperlink r:id="rId79" ref="H118"/>
    <hyperlink r:id="rId80" ref="H119"/>
    <hyperlink r:id="rId81" ref="H120"/>
    <hyperlink r:id="rId82" ref="H121"/>
    <hyperlink r:id="rId83" ref="H122"/>
    <hyperlink r:id="rId84" ref="H123"/>
    <hyperlink r:id="rId85" ref="H124"/>
    <hyperlink r:id="rId86" ref="H125"/>
    <hyperlink r:id="rId87" ref="H126"/>
    <hyperlink r:id="rId88" ref="H127"/>
    <hyperlink r:id="rId89" location="scientific-comitee" ref="H128"/>
    <hyperlink r:id="rId90" ref="H129"/>
    <hyperlink r:id="rId91" ref="H130"/>
    <hyperlink r:id="rId92" ref="H131"/>
    <hyperlink r:id="rId93" ref="H139"/>
    <hyperlink r:id="rId94" ref="H140"/>
    <hyperlink r:id="rId95" ref="H141"/>
    <hyperlink r:id="rId96" location="coms" ref="H142"/>
  </hyperlinks>
  <printOptions/>
  <pageMargins bottom="1.0" footer="0.0" header="0.0" left="0.75" right="0.75" top="1.0"/>
  <pageSetup orientation="landscape"/>
  <drawing r:id="rId97"/>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104"/>
      <c r="B1" s="104"/>
      <c r="C1" s="61"/>
      <c r="D1" s="61"/>
      <c r="E1" s="61"/>
      <c r="F1" s="61"/>
      <c r="G1" s="1"/>
      <c r="H1" s="1"/>
      <c r="I1" s="1"/>
      <c r="J1" s="3"/>
      <c r="K1" s="3"/>
      <c r="L1" s="3"/>
      <c r="M1" s="3"/>
      <c r="N1" s="3"/>
      <c r="O1" s="3"/>
      <c r="P1" s="3"/>
      <c r="Q1" s="3"/>
      <c r="R1" s="3"/>
      <c r="S1" s="3"/>
      <c r="T1" s="3"/>
      <c r="U1" s="3"/>
      <c r="V1" s="3"/>
      <c r="W1" s="3"/>
      <c r="X1" s="3"/>
      <c r="Y1" s="3"/>
      <c r="Z1" s="3"/>
      <c r="AA1" s="3"/>
      <c r="AB1" s="3"/>
    </row>
    <row r="2" ht="15.75" customHeight="1">
      <c r="A2" s="105" t="s">
        <v>8913</v>
      </c>
      <c r="B2" s="64"/>
      <c r="C2" s="64"/>
      <c r="D2" s="64"/>
      <c r="E2" s="64"/>
      <c r="F2" s="64"/>
      <c r="G2" s="64"/>
      <c r="H2" s="64"/>
      <c r="I2" s="65"/>
      <c r="J2" s="107"/>
      <c r="K2" s="107"/>
      <c r="L2" s="107"/>
      <c r="M2" s="107"/>
      <c r="N2" s="107"/>
      <c r="O2" s="107"/>
      <c r="P2" s="107"/>
      <c r="Q2" s="107"/>
      <c r="R2" s="107"/>
      <c r="S2" s="107"/>
      <c r="T2" s="107"/>
      <c r="U2" s="107"/>
      <c r="V2" s="107"/>
      <c r="W2" s="107"/>
      <c r="X2" s="107"/>
      <c r="Y2" s="107"/>
      <c r="Z2" s="107"/>
      <c r="AA2" s="107"/>
      <c r="AB2" s="107"/>
    </row>
    <row r="3" ht="15.75" customHeight="1">
      <c r="A3" s="145"/>
      <c r="B3" s="145"/>
      <c r="C3" s="145"/>
      <c r="D3" s="145"/>
      <c r="E3" s="145"/>
      <c r="F3" s="145"/>
      <c r="G3" s="145"/>
      <c r="H3" s="145"/>
      <c r="I3" s="145"/>
      <c r="J3" s="107"/>
      <c r="K3" s="107"/>
      <c r="L3" s="107"/>
      <c r="M3" s="107"/>
      <c r="N3" s="107"/>
      <c r="O3" s="107"/>
      <c r="P3" s="107"/>
      <c r="Q3" s="107"/>
      <c r="R3" s="107"/>
      <c r="S3" s="107"/>
      <c r="T3" s="107"/>
      <c r="U3" s="107"/>
      <c r="V3" s="107"/>
      <c r="W3" s="107"/>
      <c r="X3" s="107"/>
      <c r="Y3" s="107"/>
      <c r="Z3" s="107"/>
      <c r="AA3" s="107"/>
      <c r="AB3" s="107"/>
    </row>
    <row r="4">
      <c r="A4" s="128" t="s">
        <v>8914</v>
      </c>
      <c r="B4" s="64"/>
      <c r="C4" s="64"/>
      <c r="D4" s="64"/>
      <c r="E4" s="64"/>
      <c r="F4" s="64"/>
      <c r="G4" s="64"/>
      <c r="H4" s="64"/>
      <c r="I4" s="65"/>
      <c r="J4" s="107"/>
      <c r="K4" s="107"/>
      <c r="L4" s="107"/>
      <c r="M4" s="107"/>
      <c r="N4" s="107"/>
      <c r="O4" s="107"/>
      <c r="P4" s="107"/>
      <c r="Q4" s="107"/>
      <c r="R4" s="107"/>
      <c r="S4" s="107"/>
      <c r="T4" s="107"/>
      <c r="U4" s="107"/>
      <c r="V4" s="107"/>
      <c r="W4" s="107"/>
      <c r="X4" s="107"/>
      <c r="Y4" s="107"/>
      <c r="Z4" s="107"/>
      <c r="AA4" s="107"/>
      <c r="AB4" s="107"/>
    </row>
    <row r="5">
      <c r="A5" s="128" t="s">
        <v>8915</v>
      </c>
      <c r="B5" s="64"/>
      <c r="C5" s="64"/>
      <c r="D5" s="64"/>
      <c r="E5" s="64"/>
      <c r="F5" s="64"/>
      <c r="G5" s="64"/>
      <c r="H5" s="64"/>
      <c r="I5" s="65"/>
      <c r="J5" s="107"/>
      <c r="K5" s="107"/>
      <c r="L5" s="107"/>
      <c r="M5" s="107"/>
      <c r="N5" s="107"/>
      <c r="O5" s="107"/>
      <c r="P5" s="107"/>
      <c r="Q5" s="107"/>
      <c r="R5" s="107"/>
      <c r="S5" s="107"/>
      <c r="T5" s="107"/>
      <c r="U5" s="107"/>
      <c r="V5" s="107"/>
      <c r="W5" s="107"/>
      <c r="X5" s="107"/>
      <c r="Y5" s="107"/>
      <c r="Z5" s="107"/>
      <c r="AA5" s="107"/>
      <c r="AB5" s="107"/>
    </row>
    <row r="6" ht="30.0" customHeight="1">
      <c r="A6" s="226" t="s">
        <v>8916</v>
      </c>
      <c r="B6" s="64"/>
      <c r="C6" s="64"/>
      <c r="D6" s="64"/>
      <c r="E6" s="64"/>
      <c r="F6" s="64"/>
      <c r="G6" s="64"/>
      <c r="H6" s="64"/>
      <c r="I6" s="65"/>
      <c r="J6" s="107"/>
      <c r="K6" s="107"/>
      <c r="L6" s="107"/>
      <c r="M6" s="107"/>
      <c r="N6" s="107"/>
      <c r="O6" s="107"/>
      <c r="P6" s="107"/>
      <c r="Q6" s="107"/>
      <c r="R6" s="107"/>
      <c r="S6" s="107"/>
      <c r="T6" s="107"/>
      <c r="U6" s="107"/>
      <c r="V6" s="107"/>
      <c r="W6" s="107"/>
      <c r="X6" s="107"/>
      <c r="Y6" s="107"/>
      <c r="Z6" s="107"/>
      <c r="AA6" s="107"/>
      <c r="AB6" s="107"/>
    </row>
    <row r="7" ht="30.0" customHeight="1">
      <c r="A7" s="226" t="s">
        <v>8917</v>
      </c>
      <c r="B7" s="64"/>
      <c r="C7" s="64"/>
      <c r="D7" s="64"/>
      <c r="E7" s="64"/>
      <c r="F7" s="64"/>
      <c r="G7" s="64"/>
      <c r="H7" s="64"/>
      <c r="I7" s="65"/>
      <c r="J7" s="107"/>
      <c r="K7" s="107"/>
      <c r="L7" s="107"/>
      <c r="M7" s="107"/>
      <c r="N7" s="107"/>
      <c r="O7" s="107"/>
      <c r="P7" s="107"/>
      <c r="Q7" s="107"/>
      <c r="R7" s="107"/>
      <c r="S7" s="107"/>
      <c r="T7" s="107"/>
      <c r="U7" s="107"/>
      <c r="V7" s="107"/>
      <c r="W7" s="107"/>
      <c r="X7" s="107"/>
      <c r="Y7" s="107"/>
      <c r="Z7" s="107"/>
      <c r="AA7" s="107"/>
      <c r="AB7" s="107"/>
    </row>
    <row r="8" ht="33.75" customHeight="1">
      <c r="A8" s="226" t="s">
        <v>8918</v>
      </c>
      <c r="B8" s="64"/>
      <c r="C8" s="64"/>
      <c r="D8" s="64"/>
      <c r="E8" s="64"/>
      <c r="F8" s="64"/>
      <c r="G8" s="64"/>
      <c r="H8" s="64"/>
      <c r="I8" s="65"/>
      <c r="J8" s="107"/>
      <c r="K8" s="107"/>
      <c r="L8" s="107"/>
      <c r="M8" s="107"/>
      <c r="N8" s="107"/>
      <c r="O8" s="107"/>
      <c r="P8" s="107"/>
      <c r="Q8" s="107"/>
      <c r="R8" s="107"/>
      <c r="S8" s="107"/>
      <c r="T8" s="107"/>
      <c r="U8" s="107"/>
      <c r="V8" s="107"/>
      <c r="W8" s="107"/>
      <c r="X8" s="107"/>
      <c r="Y8" s="107"/>
      <c r="Z8" s="107"/>
      <c r="AA8" s="107"/>
      <c r="AB8" s="107"/>
    </row>
    <row r="9">
      <c r="A9" s="109"/>
      <c r="B9" s="109"/>
      <c r="C9" s="110"/>
      <c r="D9" s="110"/>
      <c r="E9" s="110"/>
      <c r="F9" s="110"/>
      <c r="G9" s="109"/>
      <c r="H9" s="109"/>
      <c r="I9" s="109"/>
      <c r="J9" s="107"/>
      <c r="K9" s="107"/>
      <c r="L9" s="107"/>
      <c r="M9" s="107"/>
      <c r="N9" s="107"/>
      <c r="O9" s="107"/>
      <c r="P9" s="107"/>
      <c r="Q9" s="107"/>
      <c r="R9" s="107"/>
      <c r="S9" s="107"/>
      <c r="T9" s="107"/>
      <c r="U9" s="107"/>
      <c r="V9" s="107"/>
      <c r="W9" s="107"/>
      <c r="X9" s="107"/>
      <c r="Y9" s="107"/>
      <c r="Z9" s="107"/>
      <c r="AA9" s="107"/>
      <c r="AB9" s="107"/>
    </row>
    <row r="10" ht="61.5" customHeight="1">
      <c r="A10" s="131" t="s">
        <v>5156</v>
      </c>
      <c r="B10" s="228" t="s">
        <v>5157</v>
      </c>
      <c r="C10" s="132" t="s">
        <v>8</v>
      </c>
      <c r="D10" s="228" t="s">
        <v>5158</v>
      </c>
      <c r="E10" s="112" t="s">
        <v>214</v>
      </c>
      <c r="F10" s="112" t="s">
        <v>215</v>
      </c>
      <c r="G10" s="112" t="s">
        <v>216</v>
      </c>
      <c r="H10" s="131" t="s">
        <v>217</v>
      </c>
      <c r="I10" s="131" t="s">
        <v>221</v>
      </c>
      <c r="J10" s="113" t="s">
        <v>222</v>
      </c>
      <c r="K10" s="107"/>
      <c r="L10" s="107"/>
      <c r="M10" s="107"/>
      <c r="N10" s="107"/>
      <c r="O10" s="107"/>
      <c r="P10" s="107"/>
      <c r="Q10" s="107"/>
      <c r="R10" s="107"/>
      <c r="S10" s="107"/>
      <c r="T10" s="107"/>
      <c r="U10" s="107"/>
      <c r="V10" s="107"/>
      <c r="W10" s="107"/>
      <c r="X10" s="107"/>
      <c r="Y10" s="107"/>
      <c r="Z10" s="107"/>
      <c r="AA10" s="107"/>
      <c r="AB10" s="107"/>
    </row>
    <row r="12" ht="15.0" customHeight="1">
      <c r="A12" s="122" t="s">
        <v>185</v>
      </c>
      <c r="I12" s="122">
        <f>SUM(I10:I11)</f>
        <v>0</v>
      </c>
    </row>
    <row r="14" ht="15.0" customHeight="1">
      <c r="A14" s="123" t="s">
        <v>1169</v>
      </c>
      <c r="B14" s="103"/>
      <c r="C14" s="103"/>
      <c r="D14" s="103"/>
      <c r="E14" s="103"/>
      <c r="F14" s="103"/>
      <c r="G14" s="103"/>
      <c r="H14"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4:H14"/>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104"/>
      <c r="B1" s="104"/>
      <c r="C1" s="61"/>
      <c r="D1" s="61"/>
      <c r="E1" s="61"/>
      <c r="F1" s="61"/>
      <c r="G1" s="61"/>
      <c r="H1" s="1"/>
      <c r="I1" s="3"/>
      <c r="J1" s="3"/>
      <c r="K1" s="3"/>
      <c r="L1" s="3"/>
      <c r="M1" s="3"/>
      <c r="N1" s="3"/>
      <c r="O1" s="3"/>
      <c r="P1" s="3"/>
      <c r="Q1" s="3"/>
      <c r="R1" s="3"/>
      <c r="S1" s="3"/>
      <c r="T1" s="3"/>
      <c r="U1" s="3"/>
      <c r="V1" s="3"/>
      <c r="W1" s="3"/>
      <c r="X1" s="3"/>
      <c r="Y1" s="3"/>
      <c r="Z1" s="3"/>
    </row>
    <row r="2" ht="15.75" customHeight="1">
      <c r="A2" s="105" t="s">
        <v>8919</v>
      </c>
      <c r="B2" s="64"/>
      <c r="C2" s="64"/>
      <c r="D2" s="64"/>
      <c r="E2" s="64"/>
      <c r="F2" s="64"/>
      <c r="G2" s="64"/>
      <c r="H2" s="64"/>
      <c r="I2" s="3"/>
      <c r="J2" s="3"/>
      <c r="K2" s="3"/>
      <c r="L2" s="3"/>
      <c r="M2" s="3"/>
      <c r="N2" s="3"/>
      <c r="O2" s="3"/>
      <c r="P2" s="3"/>
      <c r="Q2" s="3"/>
      <c r="R2" s="3"/>
      <c r="S2" s="3"/>
      <c r="T2" s="3"/>
      <c r="U2" s="3"/>
      <c r="V2" s="3"/>
      <c r="W2" s="3"/>
      <c r="X2" s="3"/>
      <c r="Y2" s="3"/>
      <c r="Z2" s="3"/>
    </row>
    <row r="3" ht="15.75" customHeight="1">
      <c r="A3" s="145"/>
      <c r="B3" s="145"/>
      <c r="C3" s="145"/>
      <c r="D3" s="145"/>
      <c r="E3" s="145"/>
      <c r="F3" s="145"/>
      <c r="G3" s="145"/>
      <c r="H3" s="145"/>
      <c r="I3" s="3"/>
      <c r="J3" s="3"/>
      <c r="K3" s="3"/>
      <c r="L3" s="3"/>
      <c r="M3" s="3"/>
      <c r="N3" s="3"/>
      <c r="O3" s="3"/>
      <c r="P3" s="3"/>
      <c r="Q3" s="3"/>
      <c r="R3" s="3"/>
      <c r="S3" s="3"/>
      <c r="T3" s="3"/>
      <c r="U3" s="3"/>
      <c r="V3" s="3"/>
      <c r="W3" s="3"/>
      <c r="X3" s="3"/>
      <c r="Y3" s="3"/>
      <c r="Z3" s="3"/>
    </row>
    <row r="4">
      <c r="A4" s="128" t="s">
        <v>5169</v>
      </c>
      <c r="B4" s="64"/>
      <c r="C4" s="64"/>
      <c r="D4" s="64"/>
      <c r="E4" s="64"/>
      <c r="F4" s="64"/>
      <c r="G4" s="64"/>
      <c r="H4" s="64"/>
      <c r="I4" s="3"/>
      <c r="J4" s="3"/>
      <c r="K4" s="3"/>
      <c r="L4" s="3"/>
      <c r="M4" s="3"/>
      <c r="N4" s="3"/>
      <c r="O4" s="3"/>
      <c r="P4" s="3"/>
      <c r="Q4" s="3"/>
      <c r="R4" s="3"/>
      <c r="S4" s="3"/>
      <c r="T4" s="3"/>
      <c r="U4" s="3"/>
      <c r="V4" s="3"/>
      <c r="W4" s="3"/>
      <c r="X4" s="3"/>
      <c r="Y4" s="3"/>
      <c r="Z4" s="3"/>
    </row>
    <row r="5" ht="13.5" customHeight="1">
      <c r="A5" s="128" t="s">
        <v>8920</v>
      </c>
      <c r="B5" s="64"/>
      <c r="C5" s="64"/>
      <c r="D5" s="64"/>
      <c r="E5" s="64"/>
      <c r="F5" s="64"/>
      <c r="G5" s="64"/>
      <c r="H5" s="64"/>
      <c r="I5" s="3"/>
      <c r="J5" s="3"/>
      <c r="K5" s="3"/>
      <c r="L5" s="3"/>
      <c r="M5" s="3"/>
      <c r="N5" s="3"/>
      <c r="O5" s="3"/>
      <c r="P5" s="3"/>
      <c r="Q5" s="3"/>
      <c r="R5" s="3"/>
      <c r="S5" s="3"/>
      <c r="T5" s="3"/>
      <c r="U5" s="3"/>
      <c r="V5" s="3"/>
      <c r="W5" s="3"/>
      <c r="X5" s="3"/>
      <c r="Y5" s="3"/>
      <c r="Z5" s="3"/>
    </row>
    <row r="6" ht="13.5" customHeight="1">
      <c r="A6" s="128" t="s">
        <v>8921</v>
      </c>
      <c r="B6" s="64"/>
      <c r="C6" s="64"/>
      <c r="D6" s="64"/>
      <c r="E6" s="64"/>
      <c r="F6" s="64"/>
      <c r="G6" s="64"/>
      <c r="H6" s="64"/>
      <c r="I6" s="3"/>
      <c r="J6" s="3"/>
      <c r="K6" s="3"/>
      <c r="L6" s="3"/>
      <c r="M6" s="3"/>
      <c r="N6" s="3"/>
      <c r="O6" s="3"/>
      <c r="P6" s="3"/>
      <c r="Q6" s="3"/>
      <c r="R6" s="3"/>
      <c r="S6" s="3"/>
      <c r="T6" s="3"/>
      <c r="U6" s="3"/>
      <c r="V6" s="3"/>
      <c r="W6" s="3"/>
      <c r="X6" s="3"/>
      <c r="Y6" s="3"/>
      <c r="Z6" s="3"/>
    </row>
    <row r="7" ht="12.75" customHeight="1">
      <c r="A7" s="128" t="s">
        <v>8922</v>
      </c>
      <c r="B7" s="64"/>
      <c r="C7" s="64"/>
      <c r="D7" s="64"/>
      <c r="E7" s="64"/>
      <c r="F7" s="64"/>
      <c r="G7" s="64"/>
      <c r="H7" s="64"/>
      <c r="I7" s="3"/>
      <c r="J7" s="3"/>
      <c r="K7" s="3"/>
      <c r="L7" s="3"/>
      <c r="M7" s="3"/>
      <c r="N7" s="3"/>
      <c r="O7" s="3"/>
      <c r="P7" s="3"/>
      <c r="Q7" s="3"/>
      <c r="R7" s="3"/>
      <c r="S7" s="3"/>
      <c r="T7" s="3"/>
      <c r="U7" s="3"/>
      <c r="V7" s="3"/>
      <c r="W7" s="3"/>
      <c r="X7" s="3"/>
      <c r="Y7" s="3"/>
      <c r="Z7" s="3"/>
    </row>
    <row r="8" ht="15.0" customHeight="1">
      <c r="A8" s="128" t="s">
        <v>8923</v>
      </c>
      <c r="B8" s="64"/>
      <c r="C8" s="64"/>
      <c r="D8" s="64"/>
      <c r="E8" s="64"/>
      <c r="F8" s="64"/>
      <c r="G8" s="64"/>
      <c r="H8" s="64"/>
      <c r="I8" s="3"/>
      <c r="J8" s="3"/>
      <c r="K8" s="3"/>
      <c r="L8" s="3"/>
      <c r="M8" s="3"/>
      <c r="N8" s="3"/>
      <c r="O8" s="3"/>
      <c r="P8" s="3"/>
      <c r="Q8" s="3"/>
      <c r="R8" s="3"/>
      <c r="S8" s="3"/>
      <c r="T8" s="3"/>
      <c r="U8" s="3"/>
      <c r="V8" s="3"/>
      <c r="W8" s="3"/>
      <c r="X8" s="3"/>
      <c r="Y8" s="3"/>
      <c r="Z8" s="3"/>
    </row>
    <row r="9" ht="372.75" customHeight="1">
      <c r="A9" s="128" t="s">
        <v>8924</v>
      </c>
      <c r="B9" s="64"/>
      <c r="C9" s="64"/>
      <c r="D9" s="64"/>
      <c r="E9" s="64"/>
      <c r="F9" s="64"/>
      <c r="G9" s="64"/>
      <c r="H9" s="64"/>
      <c r="I9" s="3"/>
      <c r="J9" s="3"/>
      <c r="K9" s="3"/>
      <c r="L9" s="3"/>
      <c r="M9" s="3"/>
      <c r="N9" s="3"/>
      <c r="O9" s="3"/>
      <c r="P9" s="3"/>
      <c r="Q9" s="3"/>
      <c r="R9" s="3"/>
      <c r="S9" s="3"/>
      <c r="T9" s="3"/>
      <c r="U9" s="3"/>
      <c r="V9" s="3"/>
      <c r="W9" s="3"/>
      <c r="X9" s="3"/>
      <c r="Y9" s="3"/>
      <c r="Z9" s="3"/>
    </row>
    <row r="10">
      <c r="A10" s="109"/>
      <c r="B10" s="109"/>
      <c r="C10" s="110"/>
      <c r="D10" s="110"/>
      <c r="E10" s="110"/>
      <c r="F10" s="110"/>
      <c r="G10" s="110"/>
      <c r="H10" s="110"/>
      <c r="I10" s="3"/>
      <c r="J10" s="3"/>
      <c r="K10" s="3"/>
      <c r="L10" s="3"/>
      <c r="M10" s="3"/>
      <c r="N10" s="3"/>
      <c r="O10" s="3"/>
      <c r="P10" s="3"/>
      <c r="Q10" s="3"/>
      <c r="R10" s="3"/>
      <c r="S10" s="3"/>
      <c r="T10" s="3"/>
      <c r="U10" s="3"/>
      <c r="V10" s="3"/>
      <c r="W10" s="3"/>
      <c r="X10" s="3"/>
      <c r="Y10" s="3"/>
      <c r="Z10" s="3"/>
    </row>
    <row r="11" ht="38.25" customHeight="1">
      <c r="A11" s="217" t="s">
        <v>5174</v>
      </c>
      <c r="B11" s="217" t="s">
        <v>8</v>
      </c>
      <c r="C11" s="217" t="s">
        <v>5175</v>
      </c>
      <c r="D11" s="217" t="s">
        <v>5176</v>
      </c>
      <c r="E11" s="217" t="s">
        <v>5177</v>
      </c>
      <c r="F11" s="217" t="s">
        <v>5178</v>
      </c>
      <c r="G11" s="131" t="s">
        <v>217</v>
      </c>
      <c r="H11" s="131" t="s">
        <v>221</v>
      </c>
      <c r="I11" s="113" t="s">
        <v>222</v>
      </c>
      <c r="J11" s="3"/>
      <c r="K11" s="3"/>
      <c r="L11" s="3"/>
      <c r="M11" s="3"/>
      <c r="N11" s="3"/>
      <c r="O11" s="3"/>
      <c r="P11" s="3"/>
      <c r="Q11" s="3"/>
      <c r="R11" s="3"/>
      <c r="S11" s="3"/>
      <c r="T11" s="3"/>
      <c r="U11" s="3"/>
      <c r="V11" s="3"/>
      <c r="W11" s="3"/>
      <c r="X11" s="3"/>
      <c r="Y11" s="3"/>
      <c r="Z11" s="3"/>
    </row>
    <row r="13" ht="15.0" customHeight="1">
      <c r="A13" s="122" t="s">
        <v>185</v>
      </c>
      <c r="H13" s="122">
        <f>SUM(H11:H12)</f>
        <v>0</v>
      </c>
    </row>
    <row r="15" ht="15.0" customHeight="1">
      <c r="A15" s="123" t="s">
        <v>1169</v>
      </c>
      <c r="B15" s="103"/>
      <c r="C15" s="103"/>
      <c r="D15" s="103"/>
      <c r="E15" s="103"/>
      <c r="F15" s="103"/>
      <c r="G15" s="103"/>
      <c r="H15"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15:H15"/>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9.86"/>
    <col customWidth="1" min="11" max="25" width="8.0"/>
  </cols>
  <sheetData>
    <row r="1">
      <c r="A1" s="104"/>
      <c r="B1" s="104"/>
      <c r="C1" s="104"/>
      <c r="D1" s="104"/>
      <c r="E1" s="61"/>
      <c r="F1" s="61"/>
      <c r="G1" s="61"/>
      <c r="H1" s="61"/>
      <c r="I1" s="1"/>
      <c r="J1" s="3"/>
      <c r="K1" s="3"/>
      <c r="L1" s="3"/>
      <c r="M1" s="3"/>
      <c r="N1" s="3"/>
      <c r="O1" s="3"/>
      <c r="P1" s="3"/>
      <c r="Q1" s="3"/>
      <c r="R1" s="3"/>
      <c r="S1" s="3"/>
      <c r="T1" s="3"/>
      <c r="U1" s="3"/>
      <c r="V1" s="3"/>
      <c r="W1" s="3"/>
      <c r="X1" s="3"/>
      <c r="Y1" s="3"/>
      <c r="Z1" s="3"/>
    </row>
    <row r="2">
      <c r="A2" s="105" t="s">
        <v>8925</v>
      </c>
      <c r="B2" s="64"/>
      <c r="C2" s="64"/>
      <c r="D2" s="64"/>
      <c r="E2" s="64"/>
      <c r="F2" s="64"/>
      <c r="G2" s="64"/>
      <c r="H2" s="64"/>
      <c r="I2" s="65"/>
      <c r="J2" s="3"/>
      <c r="K2" s="3"/>
      <c r="L2" s="3"/>
      <c r="M2" s="3"/>
      <c r="N2" s="3"/>
      <c r="O2" s="3"/>
      <c r="P2" s="3"/>
      <c r="Q2" s="3"/>
      <c r="R2" s="3"/>
      <c r="S2" s="3"/>
      <c r="T2" s="3"/>
      <c r="U2" s="3"/>
      <c r="V2" s="3"/>
      <c r="W2" s="3"/>
      <c r="X2" s="3"/>
      <c r="Y2" s="3"/>
      <c r="Z2" s="3"/>
    </row>
    <row r="3">
      <c r="A3" s="127"/>
      <c r="B3" s="127"/>
      <c r="C3" s="127"/>
      <c r="D3" s="127"/>
      <c r="E3" s="127"/>
      <c r="F3" s="127"/>
      <c r="G3" s="127"/>
      <c r="H3" s="127"/>
      <c r="I3" s="127"/>
      <c r="J3" s="3"/>
      <c r="K3" s="3"/>
      <c r="L3" s="3"/>
      <c r="M3" s="3"/>
      <c r="N3" s="3"/>
      <c r="O3" s="3"/>
      <c r="P3" s="3"/>
      <c r="Q3" s="3"/>
      <c r="R3" s="3"/>
      <c r="S3" s="3"/>
      <c r="T3" s="3"/>
      <c r="U3" s="3"/>
      <c r="V3" s="3"/>
      <c r="W3" s="3"/>
      <c r="X3" s="3"/>
      <c r="Y3" s="3"/>
      <c r="Z3" s="3"/>
    </row>
    <row r="4">
      <c r="A4" s="128" t="s">
        <v>8926</v>
      </c>
      <c r="B4" s="64"/>
      <c r="C4" s="64"/>
      <c r="D4" s="64"/>
      <c r="E4" s="64"/>
      <c r="F4" s="64"/>
      <c r="G4" s="64"/>
      <c r="H4" s="64"/>
      <c r="I4" s="65"/>
      <c r="J4" s="3"/>
      <c r="K4" s="3"/>
      <c r="L4" s="3"/>
      <c r="M4" s="3"/>
      <c r="N4" s="3"/>
      <c r="O4" s="3"/>
      <c r="P4" s="3"/>
      <c r="Q4" s="3"/>
      <c r="R4" s="3"/>
      <c r="S4" s="3"/>
      <c r="T4" s="3"/>
      <c r="U4" s="3"/>
      <c r="V4" s="3"/>
      <c r="W4" s="3"/>
      <c r="X4" s="3"/>
      <c r="Y4" s="3"/>
      <c r="Z4" s="3"/>
    </row>
    <row r="5">
      <c r="A5" s="128" t="s">
        <v>5180</v>
      </c>
      <c r="B5" s="64"/>
      <c r="C5" s="64"/>
      <c r="D5" s="64"/>
      <c r="E5" s="64"/>
      <c r="F5" s="64"/>
      <c r="G5" s="64"/>
      <c r="H5" s="64"/>
      <c r="I5" s="65"/>
      <c r="J5" s="3"/>
      <c r="K5" s="3"/>
      <c r="L5" s="3"/>
      <c r="M5" s="3"/>
      <c r="N5" s="3"/>
      <c r="O5" s="3"/>
      <c r="P5" s="3"/>
      <c r="Q5" s="3"/>
      <c r="R5" s="3"/>
      <c r="S5" s="3"/>
      <c r="T5" s="3"/>
      <c r="U5" s="3"/>
      <c r="V5" s="3"/>
      <c r="W5" s="3"/>
      <c r="X5" s="3"/>
      <c r="Y5" s="3"/>
      <c r="Z5" s="3"/>
    </row>
    <row r="6">
      <c r="A6" s="128" t="s">
        <v>5182</v>
      </c>
      <c r="B6" s="64"/>
      <c r="C6" s="64"/>
      <c r="D6" s="64"/>
      <c r="E6" s="64"/>
      <c r="F6" s="64"/>
      <c r="G6" s="64"/>
      <c r="H6" s="64"/>
      <c r="I6" s="65"/>
      <c r="J6" s="3"/>
      <c r="K6" s="3"/>
      <c r="L6" s="3"/>
      <c r="M6" s="3"/>
      <c r="N6" s="3"/>
      <c r="O6" s="3"/>
      <c r="P6" s="3"/>
      <c r="Q6" s="3"/>
      <c r="R6" s="3"/>
      <c r="S6" s="3"/>
      <c r="T6" s="3"/>
      <c r="U6" s="3"/>
      <c r="V6" s="3"/>
      <c r="W6" s="3"/>
      <c r="X6" s="3"/>
      <c r="Y6" s="3"/>
      <c r="Z6" s="3"/>
    </row>
    <row r="7">
      <c r="A7" s="128" t="s">
        <v>8927</v>
      </c>
      <c r="B7" s="64"/>
      <c r="C7" s="64"/>
      <c r="D7" s="64"/>
      <c r="E7" s="64"/>
      <c r="F7" s="64"/>
      <c r="G7" s="64"/>
      <c r="H7" s="64"/>
      <c r="I7" s="65"/>
      <c r="J7" s="3"/>
      <c r="K7" s="3"/>
      <c r="L7" s="3"/>
      <c r="M7" s="3"/>
      <c r="N7" s="3"/>
      <c r="O7" s="3"/>
      <c r="P7" s="3"/>
      <c r="Q7" s="3"/>
      <c r="R7" s="3"/>
      <c r="S7" s="3"/>
      <c r="T7" s="3"/>
      <c r="U7" s="3"/>
      <c r="V7" s="3"/>
      <c r="W7" s="3"/>
      <c r="X7" s="3"/>
      <c r="Y7" s="3"/>
      <c r="Z7" s="3"/>
    </row>
    <row r="8">
      <c r="A8" s="128" t="s">
        <v>8928</v>
      </c>
      <c r="B8" s="64"/>
      <c r="C8" s="64"/>
      <c r="D8" s="64"/>
      <c r="E8" s="64"/>
      <c r="F8" s="64"/>
      <c r="G8" s="64"/>
      <c r="H8" s="64"/>
      <c r="I8" s="65"/>
      <c r="J8" s="3"/>
      <c r="K8" s="3"/>
      <c r="L8" s="3"/>
      <c r="M8" s="3"/>
      <c r="N8" s="3"/>
      <c r="O8" s="3"/>
      <c r="P8" s="3"/>
      <c r="Q8" s="3"/>
      <c r="R8" s="3"/>
      <c r="S8" s="3"/>
      <c r="T8" s="3"/>
      <c r="U8" s="3"/>
      <c r="V8" s="3"/>
      <c r="W8" s="3"/>
      <c r="X8" s="3"/>
      <c r="Y8" s="3"/>
      <c r="Z8" s="3"/>
    </row>
    <row r="9">
      <c r="A9" s="128" t="s">
        <v>8929</v>
      </c>
      <c r="B9" s="64"/>
      <c r="C9" s="64"/>
      <c r="D9" s="64"/>
      <c r="E9" s="64"/>
      <c r="F9" s="64"/>
      <c r="G9" s="64"/>
      <c r="H9" s="64"/>
      <c r="I9" s="65"/>
      <c r="J9" s="3"/>
      <c r="K9" s="3"/>
      <c r="L9" s="3"/>
      <c r="M9" s="3"/>
      <c r="N9" s="3"/>
      <c r="O9" s="3"/>
      <c r="P9" s="3"/>
      <c r="Q9" s="3"/>
      <c r="R9" s="3"/>
      <c r="S9" s="3"/>
      <c r="T9" s="3"/>
      <c r="U9" s="3"/>
      <c r="V9" s="3"/>
      <c r="W9" s="3"/>
      <c r="X9" s="3"/>
      <c r="Y9" s="3"/>
      <c r="Z9" s="3"/>
    </row>
    <row r="10" ht="64.5" customHeight="1">
      <c r="A10" s="108" t="s">
        <v>8930</v>
      </c>
      <c r="B10" s="64"/>
      <c r="C10" s="64"/>
      <c r="D10" s="64"/>
      <c r="E10" s="64"/>
      <c r="F10" s="64"/>
      <c r="G10" s="64"/>
      <c r="H10" s="64"/>
      <c r="I10" s="65"/>
      <c r="J10" s="3"/>
      <c r="K10" s="3"/>
      <c r="L10" s="3"/>
      <c r="M10" s="3"/>
      <c r="N10" s="3"/>
      <c r="O10" s="3"/>
      <c r="P10" s="3"/>
      <c r="Q10" s="3"/>
      <c r="R10" s="3"/>
      <c r="S10" s="3"/>
      <c r="T10" s="3"/>
      <c r="U10" s="3"/>
      <c r="V10" s="3"/>
      <c r="W10" s="3"/>
      <c r="X10" s="3"/>
      <c r="Y10" s="3"/>
      <c r="Z10" s="3"/>
    </row>
    <row r="11">
      <c r="A11" s="104"/>
      <c r="B11" s="104"/>
      <c r="C11" s="104"/>
      <c r="D11" s="104"/>
      <c r="E11" s="61"/>
      <c r="F11" s="61"/>
      <c r="G11" s="61"/>
      <c r="H11" s="61"/>
      <c r="I11" s="1"/>
      <c r="J11" s="3"/>
      <c r="K11" s="3"/>
      <c r="L11" s="3"/>
      <c r="M11" s="3"/>
      <c r="N11" s="3"/>
      <c r="O11" s="3"/>
      <c r="P11" s="3"/>
      <c r="Q11" s="3"/>
      <c r="R11" s="3"/>
      <c r="S11" s="3"/>
      <c r="T11" s="3"/>
      <c r="U11" s="3"/>
      <c r="V11" s="3"/>
      <c r="W11" s="3"/>
      <c r="X11" s="3"/>
      <c r="Y11" s="3"/>
      <c r="Z11" s="3"/>
    </row>
    <row r="12" ht="38.25" customHeight="1">
      <c r="A12" s="217" t="s">
        <v>5174</v>
      </c>
      <c r="B12" s="217" t="s">
        <v>8</v>
      </c>
      <c r="C12" s="217" t="s">
        <v>5175</v>
      </c>
      <c r="D12" s="217" t="s">
        <v>5176</v>
      </c>
      <c r="E12" s="217" t="s">
        <v>5177</v>
      </c>
      <c r="F12" s="217" t="s">
        <v>5178</v>
      </c>
      <c r="G12" s="111" t="s">
        <v>5188</v>
      </c>
      <c r="H12" s="111" t="s">
        <v>1204</v>
      </c>
      <c r="I12" s="111" t="s">
        <v>221</v>
      </c>
      <c r="J12" s="113" t="s">
        <v>222</v>
      </c>
      <c r="K12" s="3"/>
      <c r="L12" s="3"/>
      <c r="M12" s="3"/>
      <c r="N12" s="3"/>
      <c r="O12" s="3"/>
      <c r="P12" s="3"/>
      <c r="Q12" s="3"/>
      <c r="R12" s="3"/>
      <c r="S12" s="3"/>
      <c r="T12" s="3"/>
      <c r="U12" s="3"/>
      <c r="V12" s="3"/>
      <c r="W12" s="3"/>
      <c r="X12" s="3"/>
      <c r="Y12" s="3"/>
      <c r="Z12" s="3"/>
    </row>
    <row r="13" ht="15.0" customHeight="1">
      <c r="A13" s="82" t="s">
        <v>8931</v>
      </c>
      <c r="B13" s="82" t="s">
        <v>52</v>
      </c>
      <c r="C13" s="82" t="s">
        <v>8932</v>
      </c>
      <c r="D13" s="82" t="s">
        <v>8933</v>
      </c>
      <c r="E13" s="82" t="s">
        <v>8380</v>
      </c>
      <c r="F13" s="379" t="s">
        <v>8934</v>
      </c>
      <c r="G13" s="82" t="s">
        <v>8484</v>
      </c>
      <c r="H13" s="82">
        <v>50.0</v>
      </c>
      <c r="I13" s="82">
        <v>50.0</v>
      </c>
      <c r="J13" s="281" t="s">
        <v>76</v>
      </c>
    </row>
    <row r="14" ht="15.0" customHeight="1">
      <c r="A14" s="149" t="s">
        <v>3203</v>
      </c>
      <c r="B14" s="148" t="s">
        <v>94</v>
      </c>
      <c r="C14" s="148" t="s">
        <v>8935</v>
      </c>
      <c r="D14" s="148" t="s">
        <v>8936</v>
      </c>
      <c r="E14" s="449">
        <v>44989.0</v>
      </c>
      <c r="F14" s="411" t="s">
        <v>8937</v>
      </c>
      <c r="G14" s="148" t="s">
        <v>8484</v>
      </c>
      <c r="H14" s="148">
        <v>50.0</v>
      </c>
      <c r="I14" s="148">
        <v>50.0</v>
      </c>
      <c r="J14" s="281" t="s">
        <v>3203</v>
      </c>
    </row>
    <row r="15" ht="15.0" customHeight="1">
      <c r="A15" s="122" t="s">
        <v>185</v>
      </c>
      <c r="I15" s="122">
        <f>SUM(I13:I14)</f>
        <v>100</v>
      </c>
    </row>
    <row r="17" ht="15.0" customHeight="1">
      <c r="A17" s="123" t="s">
        <v>1169</v>
      </c>
      <c r="B17" s="103"/>
      <c r="C17" s="103"/>
      <c r="D17" s="103"/>
      <c r="E17" s="103"/>
      <c r="F17" s="103"/>
      <c r="G17" s="103"/>
      <c r="H17"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17:H17"/>
    <mergeCell ref="A2:I2"/>
    <mergeCell ref="A4:I4"/>
    <mergeCell ref="A5:I5"/>
    <mergeCell ref="A6:I6"/>
    <mergeCell ref="A7:I7"/>
    <mergeCell ref="A8:I8"/>
    <mergeCell ref="A9:I9"/>
  </mergeCells>
  <hyperlinks>
    <hyperlink r:id="rId1" ref="F13"/>
    <hyperlink r:id="rId2" ref="F14"/>
  </hyperlinks>
  <printOptions/>
  <pageMargins bottom="1.0" footer="0.0" header="0.0" left="0.75" right="0.75" top="1.0"/>
  <pageSetup orientation="landscape"/>
  <drawing r:id="rId3"/>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10" max="10" width="6.29"/>
    <col customWidth="1" min="11" max="11" width="8.14"/>
    <col customWidth="1" min="12" max="13" width="8.86"/>
    <col customWidth="1" min="14" max="14" width="13.43"/>
    <col customWidth="1" min="15" max="31" width="8.0"/>
  </cols>
  <sheetData>
    <row r="1" ht="9.0" customHeight="1">
      <c r="A1" s="104"/>
      <c r="B1" s="61"/>
      <c r="C1" s="61"/>
      <c r="D1" s="1"/>
      <c r="E1" s="1"/>
      <c r="F1" s="1"/>
      <c r="G1" s="1"/>
      <c r="H1" s="1"/>
      <c r="I1" s="1"/>
      <c r="J1" s="1"/>
      <c r="K1" s="1"/>
    </row>
    <row r="2" ht="18.0" customHeight="1">
      <c r="A2" s="280" t="s">
        <v>8938</v>
      </c>
      <c r="B2" s="103"/>
      <c r="C2" s="103"/>
      <c r="D2" s="103"/>
      <c r="E2" s="103"/>
      <c r="F2" s="103"/>
      <c r="G2" s="103"/>
      <c r="H2" s="103"/>
      <c r="I2" s="103"/>
      <c r="J2" s="103"/>
      <c r="K2" s="103"/>
      <c r="L2" s="103"/>
      <c r="M2" s="103"/>
      <c r="N2" s="107"/>
      <c r="O2" s="107"/>
      <c r="P2" s="107"/>
      <c r="Q2" s="107"/>
      <c r="R2" s="107"/>
      <c r="S2" s="107"/>
      <c r="T2" s="107"/>
      <c r="U2" s="107"/>
      <c r="V2" s="107"/>
      <c r="W2" s="107"/>
      <c r="X2" s="107"/>
      <c r="Y2" s="107"/>
      <c r="Z2" s="107"/>
      <c r="AA2" s="107"/>
      <c r="AB2" s="107"/>
      <c r="AC2" s="107"/>
      <c r="AD2" s="107"/>
      <c r="AE2" s="107"/>
    </row>
    <row r="3">
      <c r="A3" s="145"/>
      <c r="B3" s="145"/>
      <c r="C3" s="145"/>
      <c r="D3" s="145"/>
      <c r="E3" s="145"/>
      <c r="F3" s="145"/>
      <c r="G3" s="145"/>
      <c r="H3" s="145"/>
      <c r="I3" s="145"/>
      <c r="J3" s="145"/>
      <c r="K3" s="145"/>
      <c r="L3" s="106"/>
      <c r="M3" s="106"/>
      <c r="N3" s="107"/>
      <c r="O3" s="107"/>
      <c r="P3" s="107"/>
      <c r="Q3" s="107"/>
      <c r="R3" s="107"/>
      <c r="S3" s="107"/>
      <c r="T3" s="107"/>
      <c r="U3" s="107"/>
      <c r="V3" s="107"/>
      <c r="W3" s="107"/>
      <c r="X3" s="107"/>
      <c r="Y3" s="107"/>
      <c r="Z3" s="107"/>
      <c r="AA3" s="107"/>
      <c r="AB3" s="107"/>
      <c r="AC3" s="107"/>
      <c r="AD3" s="107"/>
      <c r="AE3" s="107"/>
    </row>
    <row r="4" ht="15.75" customHeight="1">
      <c r="A4" s="108" t="s">
        <v>8939</v>
      </c>
      <c r="B4" s="64"/>
      <c r="C4" s="64"/>
      <c r="D4" s="64"/>
      <c r="E4" s="64"/>
      <c r="F4" s="64"/>
      <c r="G4" s="64"/>
      <c r="H4" s="64"/>
      <c r="I4" s="64"/>
      <c r="J4" s="64"/>
      <c r="K4" s="64"/>
      <c r="L4" s="64"/>
      <c r="M4" s="65"/>
      <c r="N4" s="450"/>
      <c r="O4" s="450"/>
      <c r="P4" s="450"/>
      <c r="Q4" s="450"/>
      <c r="R4" s="450"/>
      <c r="S4" s="450"/>
      <c r="T4" s="450"/>
      <c r="U4" s="450"/>
      <c r="V4" s="450"/>
      <c r="W4" s="450"/>
      <c r="X4" s="450"/>
      <c r="Y4" s="450"/>
      <c r="Z4" s="450"/>
      <c r="AA4" s="450"/>
      <c r="AB4" s="450"/>
      <c r="AC4" s="450"/>
      <c r="AD4" s="450"/>
      <c r="AE4" s="450"/>
    </row>
    <row r="5" ht="27.75" customHeight="1">
      <c r="A5" s="108" t="s">
        <v>8940</v>
      </c>
      <c r="B5" s="64"/>
      <c r="C5" s="64"/>
      <c r="D5" s="64"/>
      <c r="E5" s="64"/>
      <c r="F5" s="64"/>
      <c r="G5" s="64"/>
      <c r="H5" s="64"/>
      <c r="I5" s="64"/>
      <c r="J5" s="64"/>
      <c r="K5" s="64"/>
      <c r="L5" s="64"/>
      <c r="M5" s="65"/>
      <c r="N5" s="450"/>
      <c r="O5" s="450"/>
      <c r="P5" s="450"/>
      <c r="Q5" s="450"/>
      <c r="R5" s="450"/>
      <c r="S5" s="450"/>
      <c r="T5" s="450"/>
      <c r="U5" s="450"/>
      <c r="V5" s="450"/>
      <c r="W5" s="450"/>
      <c r="X5" s="450"/>
      <c r="Y5" s="450"/>
      <c r="Z5" s="450"/>
      <c r="AA5" s="450"/>
      <c r="AB5" s="450"/>
      <c r="AC5" s="450"/>
      <c r="AD5" s="450"/>
      <c r="AE5" s="450"/>
    </row>
    <row r="6" ht="51.75" customHeight="1">
      <c r="A6" s="108" t="s">
        <v>8941</v>
      </c>
      <c r="B6" s="64"/>
      <c r="C6" s="64"/>
      <c r="D6" s="64"/>
      <c r="E6" s="64"/>
      <c r="F6" s="64"/>
      <c r="G6" s="64"/>
      <c r="H6" s="64"/>
      <c r="I6" s="64"/>
      <c r="J6" s="64"/>
      <c r="K6" s="64"/>
      <c r="L6" s="64"/>
      <c r="M6" s="65"/>
      <c r="N6" s="450"/>
      <c r="O6" s="450"/>
      <c r="P6" s="450"/>
      <c r="Q6" s="450"/>
      <c r="R6" s="450"/>
      <c r="S6" s="450"/>
      <c r="T6" s="450"/>
      <c r="U6" s="450"/>
      <c r="V6" s="450"/>
      <c r="W6" s="450"/>
      <c r="X6" s="450"/>
      <c r="Y6" s="450"/>
      <c r="Z6" s="450"/>
      <c r="AA6" s="450"/>
      <c r="AB6" s="450"/>
      <c r="AC6" s="450"/>
      <c r="AD6" s="450"/>
      <c r="AE6" s="450"/>
    </row>
    <row r="7" ht="14.25" customHeight="1">
      <c r="A7" s="108" t="s">
        <v>5667</v>
      </c>
      <c r="B7" s="64"/>
      <c r="C7" s="64"/>
      <c r="D7" s="64"/>
      <c r="E7" s="64"/>
      <c r="F7" s="64"/>
      <c r="G7" s="64"/>
      <c r="H7" s="64"/>
      <c r="I7" s="64"/>
      <c r="J7" s="64"/>
      <c r="K7" s="64"/>
      <c r="L7" s="64"/>
      <c r="M7" s="65"/>
      <c r="N7" s="450"/>
      <c r="O7" s="450"/>
      <c r="P7" s="450"/>
      <c r="Q7" s="450"/>
      <c r="R7" s="450"/>
      <c r="S7" s="450"/>
      <c r="T7" s="450"/>
      <c r="U7" s="450"/>
      <c r="V7" s="450"/>
      <c r="W7" s="450"/>
      <c r="X7" s="450"/>
      <c r="Y7" s="450"/>
      <c r="Z7" s="450"/>
      <c r="AA7" s="450"/>
      <c r="AB7" s="450"/>
      <c r="AC7" s="450"/>
      <c r="AD7" s="450"/>
      <c r="AE7" s="450"/>
    </row>
    <row r="8" ht="26.25" customHeight="1">
      <c r="A8" s="108" t="s">
        <v>8942</v>
      </c>
      <c r="B8" s="64"/>
      <c r="C8" s="64"/>
      <c r="D8" s="64"/>
      <c r="E8" s="64"/>
      <c r="F8" s="64"/>
      <c r="G8" s="64"/>
      <c r="H8" s="64"/>
      <c r="I8" s="64"/>
      <c r="J8" s="64"/>
      <c r="K8" s="64"/>
      <c r="L8" s="64"/>
      <c r="M8" s="65"/>
      <c r="N8" s="450"/>
      <c r="O8" s="450"/>
      <c r="P8" s="450"/>
      <c r="Q8" s="450"/>
      <c r="R8" s="450"/>
      <c r="S8" s="450"/>
      <c r="T8" s="450"/>
      <c r="U8" s="450"/>
      <c r="V8" s="450"/>
      <c r="W8" s="450"/>
      <c r="X8" s="450"/>
      <c r="Y8" s="450"/>
      <c r="Z8" s="450"/>
      <c r="AA8" s="450"/>
      <c r="AB8" s="450"/>
      <c r="AC8" s="450"/>
      <c r="AD8" s="450"/>
      <c r="AE8" s="450"/>
    </row>
    <row r="9" ht="55.5" customHeight="1">
      <c r="A9" s="67" t="s">
        <v>8943</v>
      </c>
      <c r="B9" s="64"/>
      <c r="C9" s="64"/>
      <c r="D9" s="64"/>
      <c r="E9" s="64"/>
      <c r="F9" s="64"/>
      <c r="G9" s="64"/>
      <c r="H9" s="64"/>
      <c r="I9" s="64"/>
      <c r="J9" s="64"/>
      <c r="K9" s="64"/>
      <c r="L9" s="64"/>
      <c r="M9" s="65"/>
      <c r="N9" s="107"/>
      <c r="O9" s="107"/>
      <c r="P9" s="107"/>
      <c r="Q9" s="107"/>
      <c r="R9" s="107"/>
      <c r="S9" s="107"/>
      <c r="T9" s="107"/>
      <c r="U9" s="107"/>
      <c r="V9" s="107"/>
      <c r="W9" s="107"/>
      <c r="X9" s="107"/>
      <c r="Y9" s="107"/>
      <c r="Z9" s="107"/>
      <c r="AA9" s="107"/>
      <c r="AB9" s="107"/>
      <c r="AC9" s="107"/>
      <c r="AD9" s="107"/>
      <c r="AE9" s="107"/>
    </row>
    <row r="10">
      <c r="A10" s="109"/>
      <c r="B10" s="110"/>
      <c r="C10" s="110"/>
      <c r="D10" s="109"/>
      <c r="E10" s="109"/>
      <c r="F10" s="109"/>
      <c r="G10" s="109"/>
      <c r="H10" s="109"/>
      <c r="I10" s="109"/>
      <c r="J10" s="109"/>
      <c r="K10" s="109"/>
      <c r="L10" s="1"/>
      <c r="M10" s="1"/>
    </row>
    <row r="11">
      <c r="A11" s="104"/>
      <c r="B11" s="61"/>
      <c r="C11" s="61"/>
      <c r="D11" s="1"/>
      <c r="E11" s="1"/>
      <c r="F11" s="1"/>
      <c r="G11" s="1"/>
      <c r="H11" s="1"/>
      <c r="I11" s="1"/>
      <c r="J11" s="1"/>
      <c r="K11" s="1"/>
    </row>
    <row r="12" ht="51.75" customHeight="1">
      <c r="A12" s="131" t="s">
        <v>8944</v>
      </c>
      <c r="B12" s="228" t="s">
        <v>5672</v>
      </c>
      <c r="C12" s="132" t="s">
        <v>8</v>
      </c>
      <c r="D12" s="271" t="s">
        <v>5673</v>
      </c>
      <c r="E12" s="228" t="s">
        <v>5674</v>
      </c>
      <c r="F12" s="228" t="s">
        <v>212</v>
      </c>
      <c r="G12" s="228" t="s">
        <v>5675</v>
      </c>
      <c r="H12" s="228" t="s">
        <v>5676</v>
      </c>
      <c r="I12" s="112" t="s">
        <v>214</v>
      </c>
      <c r="J12" s="112" t="s">
        <v>215</v>
      </c>
      <c r="K12" s="112" t="s">
        <v>216</v>
      </c>
      <c r="L12" s="131" t="s">
        <v>217</v>
      </c>
      <c r="M12" s="131" t="s">
        <v>221</v>
      </c>
      <c r="N12" s="113" t="s">
        <v>222</v>
      </c>
    </row>
    <row r="14" ht="15.0" customHeight="1">
      <c r="A14" s="122" t="s">
        <v>185</v>
      </c>
      <c r="M14" s="122">
        <f>SUM(M12:M13)</f>
        <v>0</v>
      </c>
    </row>
    <row r="16" ht="15.0" customHeight="1">
      <c r="A16" s="123" t="s">
        <v>1169</v>
      </c>
      <c r="B16" s="103"/>
      <c r="C16" s="103"/>
      <c r="D16" s="103"/>
      <c r="E16" s="103"/>
      <c r="F16" s="103"/>
      <c r="G16" s="103"/>
      <c r="H16"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16:H16"/>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0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0" width="10.14"/>
    <col customWidth="1" min="11" max="11" width="21.57"/>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2" width="9.14"/>
    <col customWidth="1" min="23" max="23" width="23.14"/>
    <col customWidth="1" min="24" max="24" width="9.14"/>
    <col customWidth="1" min="25" max="30" width="8.0"/>
  </cols>
  <sheetData>
    <row r="1">
      <c r="A1" s="61"/>
      <c r="B1" s="61"/>
      <c r="C1" s="61"/>
      <c r="D1" s="61"/>
      <c r="E1" s="61"/>
      <c r="F1" s="61"/>
      <c r="G1" s="61"/>
      <c r="H1" s="61"/>
      <c r="I1" s="61"/>
      <c r="J1" s="61"/>
      <c r="K1" s="61"/>
      <c r="L1" s="61"/>
      <c r="M1" s="61"/>
      <c r="N1" s="61"/>
      <c r="O1" s="61"/>
      <c r="P1" s="61"/>
      <c r="Q1" s="61"/>
      <c r="R1" s="61"/>
      <c r="S1" s="61"/>
      <c r="T1" s="61"/>
      <c r="U1" s="61"/>
      <c r="V1" s="61"/>
      <c r="W1" s="61"/>
      <c r="X1" s="61"/>
      <c r="Y1" s="62"/>
      <c r="Z1" s="62"/>
      <c r="AA1" s="62"/>
      <c r="AB1" s="62"/>
      <c r="AC1" s="62"/>
      <c r="AD1" s="62"/>
    </row>
    <row r="2" ht="35.25" customHeight="1">
      <c r="A2" s="63" t="s">
        <v>193</v>
      </c>
      <c r="B2" s="64"/>
      <c r="C2" s="64"/>
      <c r="D2" s="64"/>
      <c r="E2" s="64"/>
      <c r="F2" s="64"/>
      <c r="G2" s="64"/>
      <c r="H2" s="64"/>
      <c r="I2" s="64"/>
      <c r="J2" s="64"/>
      <c r="K2" s="64"/>
      <c r="L2" s="64"/>
      <c r="M2" s="64"/>
      <c r="N2" s="64"/>
      <c r="O2" s="64"/>
      <c r="P2" s="64"/>
      <c r="Q2" s="64"/>
      <c r="R2" s="64"/>
      <c r="S2" s="64"/>
      <c r="T2" s="64"/>
      <c r="U2" s="64"/>
      <c r="V2" s="65"/>
      <c r="W2" s="61"/>
      <c r="X2" s="61"/>
      <c r="Y2" s="66"/>
      <c r="Z2" s="66"/>
      <c r="AA2" s="66"/>
      <c r="AB2" s="66"/>
      <c r="AC2" s="66"/>
      <c r="AD2" s="66"/>
    </row>
    <row r="3">
      <c r="A3" s="66"/>
      <c r="B3" s="62"/>
      <c r="C3" s="66"/>
      <c r="D3" s="66"/>
      <c r="E3" s="66"/>
      <c r="F3" s="66"/>
      <c r="G3" s="66"/>
      <c r="H3" s="61"/>
      <c r="I3" s="61"/>
      <c r="J3" s="66"/>
      <c r="K3" s="66"/>
      <c r="L3" s="66"/>
      <c r="M3" s="66"/>
      <c r="N3" s="66"/>
      <c r="O3" s="66"/>
      <c r="P3" s="66"/>
      <c r="Q3" s="66"/>
      <c r="R3" s="66"/>
      <c r="S3" s="66"/>
      <c r="T3" s="66"/>
      <c r="U3" s="61"/>
      <c r="V3" s="61"/>
      <c r="W3" s="61"/>
      <c r="X3" s="61"/>
      <c r="Y3" s="66"/>
      <c r="Z3" s="66"/>
      <c r="AA3" s="66"/>
      <c r="AB3" s="66"/>
      <c r="AC3" s="66"/>
      <c r="AD3" s="66"/>
    </row>
    <row r="4" ht="22.5" customHeight="1">
      <c r="A4" s="67" t="s">
        <v>194</v>
      </c>
      <c r="B4" s="64"/>
      <c r="C4" s="64"/>
      <c r="D4" s="64"/>
      <c r="E4" s="64"/>
      <c r="F4" s="64"/>
      <c r="G4" s="64"/>
      <c r="H4" s="64"/>
      <c r="I4" s="64"/>
      <c r="J4" s="64"/>
      <c r="K4" s="64"/>
      <c r="L4" s="64"/>
      <c r="M4" s="64"/>
      <c r="N4" s="64"/>
      <c r="O4" s="64"/>
      <c r="P4" s="64"/>
      <c r="Q4" s="64"/>
      <c r="R4" s="64"/>
      <c r="S4" s="64"/>
      <c r="T4" s="64"/>
      <c r="U4" s="64"/>
      <c r="V4" s="65"/>
      <c r="W4" s="61"/>
      <c r="X4" s="61"/>
      <c r="Y4" s="66"/>
      <c r="Z4" s="66"/>
      <c r="AA4" s="66"/>
      <c r="AB4" s="66"/>
      <c r="AC4" s="66"/>
      <c r="AD4" s="66"/>
    </row>
    <row r="5" ht="19.5" customHeight="1">
      <c r="A5" s="67" t="s">
        <v>195</v>
      </c>
      <c r="B5" s="64"/>
      <c r="C5" s="64"/>
      <c r="D5" s="64"/>
      <c r="E5" s="64"/>
      <c r="F5" s="64"/>
      <c r="G5" s="64"/>
      <c r="H5" s="64"/>
      <c r="I5" s="64"/>
      <c r="J5" s="64"/>
      <c r="K5" s="64"/>
      <c r="L5" s="64"/>
      <c r="M5" s="64"/>
      <c r="N5" s="64"/>
      <c r="O5" s="64"/>
      <c r="P5" s="64"/>
      <c r="Q5" s="64"/>
      <c r="R5" s="64"/>
      <c r="S5" s="64"/>
      <c r="T5" s="64"/>
      <c r="U5" s="64"/>
      <c r="V5" s="65"/>
      <c r="W5" s="61"/>
      <c r="X5" s="61"/>
      <c r="Y5" s="66"/>
      <c r="Z5" s="66"/>
      <c r="AA5" s="66"/>
      <c r="AB5" s="66"/>
      <c r="AC5" s="66"/>
      <c r="AD5" s="66"/>
    </row>
    <row r="6" ht="14.25" customHeight="1">
      <c r="A6" s="67" t="s">
        <v>196</v>
      </c>
      <c r="B6" s="64"/>
      <c r="C6" s="64"/>
      <c r="D6" s="64"/>
      <c r="E6" s="64"/>
      <c r="F6" s="64"/>
      <c r="G6" s="64"/>
      <c r="H6" s="64"/>
      <c r="I6" s="64"/>
      <c r="J6" s="64"/>
      <c r="K6" s="64"/>
      <c r="L6" s="64"/>
      <c r="M6" s="64"/>
      <c r="N6" s="64"/>
      <c r="O6" s="64"/>
      <c r="P6" s="64"/>
      <c r="Q6" s="64"/>
      <c r="R6" s="64"/>
      <c r="S6" s="64"/>
      <c r="T6" s="64"/>
      <c r="U6" s="64"/>
      <c r="V6" s="65"/>
      <c r="W6" s="61"/>
      <c r="X6" s="61"/>
      <c r="Y6" s="66"/>
      <c r="Z6" s="66"/>
      <c r="AA6" s="66"/>
      <c r="AB6" s="66"/>
      <c r="AC6" s="66"/>
      <c r="AD6" s="66"/>
    </row>
    <row r="7" ht="26.25" customHeight="1">
      <c r="A7" s="67" t="s">
        <v>197</v>
      </c>
      <c r="B7" s="64"/>
      <c r="C7" s="64"/>
      <c r="D7" s="64"/>
      <c r="E7" s="64"/>
      <c r="F7" s="64"/>
      <c r="G7" s="64"/>
      <c r="H7" s="64"/>
      <c r="I7" s="64"/>
      <c r="J7" s="64"/>
      <c r="K7" s="64"/>
      <c r="L7" s="64"/>
      <c r="M7" s="64"/>
      <c r="N7" s="64"/>
      <c r="O7" s="64"/>
      <c r="P7" s="64"/>
      <c r="Q7" s="64"/>
      <c r="R7" s="64"/>
      <c r="S7" s="64"/>
      <c r="T7" s="64"/>
      <c r="U7" s="64"/>
      <c r="V7" s="65"/>
      <c r="W7" s="68"/>
      <c r="X7" s="68"/>
      <c r="Y7" s="69"/>
      <c r="Z7" s="69"/>
      <c r="AA7" s="69"/>
      <c r="AB7" s="69"/>
      <c r="AC7" s="69"/>
      <c r="AD7" s="69"/>
    </row>
    <row r="8" ht="14.25" customHeight="1">
      <c r="A8" s="67" t="s">
        <v>198</v>
      </c>
      <c r="B8" s="64"/>
      <c r="C8" s="64"/>
      <c r="D8" s="64"/>
      <c r="E8" s="64"/>
      <c r="F8" s="64"/>
      <c r="G8" s="64"/>
      <c r="H8" s="64"/>
      <c r="I8" s="64"/>
      <c r="J8" s="64"/>
      <c r="K8" s="64"/>
      <c r="L8" s="64"/>
      <c r="M8" s="64"/>
      <c r="N8" s="64"/>
      <c r="O8" s="64"/>
      <c r="P8" s="64"/>
      <c r="Q8" s="64"/>
      <c r="R8" s="64"/>
      <c r="S8" s="64"/>
      <c r="T8" s="64"/>
      <c r="U8" s="64"/>
      <c r="V8" s="65"/>
      <c r="W8" s="68"/>
      <c r="X8" s="68"/>
      <c r="Y8" s="69"/>
      <c r="Z8" s="69"/>
      <c r="AA8" s="69"/>
      <c r="AB8" s="69"/>
      <c r="AC8" s="69"/>
      <c r="AD8" s="69"/>
    </row>
    <row r="9" ht="146.25" customHeight="1">
      <c r="A9" s="67" t="s">
        <v>199</v>
      </c>
      <c r="B9" s="64"/>
      <c r="C9" s="64"/>
      <c r="D9" s="64"/>
      <c r="E9" s="64"/>
      <c r="F9" s="64"/>
      <c r="G9" s="64"/>
      <c r="H9" s="64"/>
      <c r="I9" s="64"/>
      <c r="J9" s="64"/>
      <c r="K9" s="64"/>
      <c r="L9" s="64"/>
      <c r="M9" s="64"/>
      <c r="N9" s="64"/>
      <c r="O9" s="64"/>
      <c r="P9" s="64"/>
      <c r="Q9" s="64"/>
      <c r="R9" s="64"/>
      <c r="S9" s="64"/>
      <c r="T9" s="64"/>
      <c r="U9" s="64"/>
      <c r="V9" s="65"/>
      <c r="W9" s="68"/>
      <c r="X9" s="68"/>
      <c r="Y9" s="69"/>
      <c r="Z9" s="69"/>
      <c r="AA9" s="69"/>
      <c r="AB9" s="69"/>
      <c r="AC9" s="69"/>
      <c r="AD9" s="69"/>
    </row>
    <row r="10">
      <c r="A10" s="62"/>
      <c r="B10" s="62"/>
      <c r="C10" s="61"/>
      <c r="D10" s="61"/>
      <c r="E10" s="61"/>
      <c r="F10" s="61"/>
      <c r="G10" s="70"/>
      <c r="H10" s="66"/>
      <c r="I10" s="66"/>
      <c r="J10" s="70"/>
      <c r="K10" s="70"/>
      <c r="L10" s="70"/>
      <c r="M10" s="70"/>
      <c r="N10" s="70"/>
      <c r="O10" s="70"/>
      <c r="P10" s="70"/>
      <c r="Q10" s="70"/>
      <c r="R10" s="70"/>
      <c r="S10" s="70"/>
      <c r="T10" s="70"/>
      <c r="U10" s="61"/>
      <c r="V10" s="61"/>
      <c r="W10" s="61"/>
      <c r="X10" s="61"/>
      <c r="Y10" s="66"/>
      <c r="Z10" s="66"/>
      <c r="AA10" s="66"/>
      <c r="AB10" s="66"/>
      <c r="AC10" s="66"/>
      <c r="AD10" s="66"/>
    </row>
    <row r="11" ht="101.25" customHeight="1">
      <c r="A11" s="71" t="s">
        <v>200</v>
      </c>
      <c r="B11" s="71" t="s">
        <v>201</v>
      </c>
      <c r="C11" s="71" t="s">
        <v>202</v>
      </c>
      <c r="D11" s="72" t="s">
        <v>203</v>
      </c>
      <c r="E11" s="72" t="s">
        <v>204</v>
      </c>
      <c r="F11" s="72" t="s">
        <v>205</v>
      </c>
      <c r="G11" s="71" t="s">
        <v>206</v>
      </c>
      <c r="H11" s="73" t="s">
        <v>207</v>
      </c>
      <c r="I11" s="73" t="s">
        <v>208</v>
      </c>
      <c r="J11" s="72" t="s">
        <v>209</v>
      </c>
      <c r="K11" s="72" t="s">
        <v>210</v>
      </c>
      <c r="L11" s="72" t="s">
        <v>211</v>
      </c>
      <c r="M11" s="72" t="s">
        <v>212</v>
      </c>
      <c r="N11" s="72" t="s">
        <v>213</v>
      </c>
      <c r="O11" s="72" t="s">
        <v>214</v>
      </c>
      <c r="P11" s="72" t="s">
        <v>215</v>
      </c>
      <c r="Q11" s="74" t="s">
        <v>216</v>
      </c>
      <c r="R11" s="71" t="s">
        <v>217</v>
      </c>
      <c r="S11" s="71" t="s">
        <v>218</v>
      </c>
      <c r="T11" s="72" t="s">
        <v>219</v>
      </c>
      <c r="U11" s="72" t="s">
        <v>220</v>
      </c>
      <c r="V11" s="71" t="s">
        <v>221</v>
      </c>
      <c r="W11" s="75" t="s">
        <v>222</v>
      </c>
      <c r="X11" s="76"/>
      <c r="Y11" s="77"/>
      <c r="Z11" s="77"/>
      <c r="AA11" s="77"/>
      <c r="AB11" s="77"/>
      <c r="AC11" s="77"/>
      <c r="AD11" s="77"/>
    </row>
    <row r="12" ht="15.0" customHeight="1">
      <c r="A12" s="78" t="s">
        <v>223</v>
      </c>
      <c r="B12" s="78" t="s">
        <v>224</v>
      </c>
      <c r="C12" s="78" t="s">
        <v>52</v>
      </c>
      <c r="D12" s="78" t="s">
        <v>225</v>
      </c>
      <c r="E12" s="78">
        <v>16.0</v>
      </c>
      <c r="F12" s="78">
        <v>4.0</v>
      </c>
      <c r="G12" s="78" t="s">
        <v>226</v>
      </c>
      <c r="H12" s="79" t="s">
        <v>227</v>
      </c>
      <c r="I12" s="79" t="s">
        <v>228</v>
      </c>
      <c r="J12" s="80" t="s">
        <v>229</v>
      </c>
      <c r="K12" s="78" t="s">
        <v>230</v>
      </c>
      <c r="L12" s="81" t="s">
        <v>231</v>
      </c>
      <c r="M12" s="82">
        <v>2023.0</v>
      </c>
      <c r="N12" s="82" t="s">
        <v>232</v>
      </c>
      <c r="O12" s="82">
        <v>5.0</v>
      </c>
      <c r="P12" s="83">
        <v>5.0</v>
      </c>
      <c r="Q12" s="83">
        <v>7.0</v>
      </c>
      <c r="R12" s="83">
        <v>1500.0</v>
      </c>
      <c r="S12" s="84"/>
      <c r="T12" s="82"/>
      <c r="U12" s="82"/>
      <c r="V12" s="82">
        <f>R12/O12</f>
        <v>300</v>
      </c>
      <c r="W12" s="82" t="s">
        <v>61</v>
      </c>
      <c r="X12" s="62"/>
      <c r="Y12" s="62"/>
      <c r="Z12" s="62"/>
      <c r="AA12" s="62"/>
      <c r="AB12" s="62"/>
      <c r="AC12" s="62"/>
      <c r="AD12" s="62"/>
    </row>
    <row r="13" ht="15.0" customHeight="1">
      <c r="A13" s="78" t="s">
        <v>233</v>
      </c>
      <c r="B13" s="78" t="s">
        <v>234</v>
      </c>
      <c r="C13" s="78" t="s">
        <v>52</v>
      </c>
      <c r="D13" s="78" t="s">
        <v>235</v>
      </c>
      <c r="E13" s="78">
        <v>15.0</v>
      </c>
      <c r="F13" s="82">
        <v>15.0</v>
      </c>
      <c r="G13" s="78" t="s">
        <v>236</v>
      </c>
      <c r="H13" s="85" t="s">
        <v>237</v>
      </c>
      <c r="I13" s="85" t="s">
        <v>238</v>
      </c>
      <c r="J13" s="82" t="s">
        <v>239</v>
      </c>
      <c r="K13" s="82" t="s">
        <v>240</v>
      </c>
      <c r="L13" s="86" t="s">
        <v>241</v>
      </c>
      <c r="M13" s="82">
        <v>2023.0</v>
      </c>
      <c r="N13" s="82" t="s">
        <v>242</v>
      </c>
      <c r="O13" s="82">
        <v>4.0</v>
      </c>
      <c r="P13" s="83">
        <v>4.0</v>
      </c>
      <c r="Q13" s="83">
        <v>4.0</v>
      </c>
      <c r="R13" s="83">
        <v>1500.0</v>
      </c>
      <c r="S13" s="84"/>
      <c r="T13" s="85"/>
      <c r="U13" s="85"/>
      <c r="V13" s="85">
        <v>375.0</v>
      </c>
      <c r="W13" s="82" t="s">
        <v>51</v>
      </c>
      <c r="X13" s="62"/>
      <c r="Y13" s="62"/>
      <c r="Z13" s="62"/>
      <c r="AA13" s="62"/>
      <c r="AB13" s="62"/>
      <c r="AC13" s="62"/>
      <c r="AD13" s="62"/>
    </row>
    <row r="14" ht="15.0" customHeight="1">
      <c r="A14" s="78" t="s">
        <v>243</v>
      </c>
      <c r="B14" s="78" t="s">
        <v>244</v>
      </c>
      <c r="C14" s="78" t="s">
        <v>52</v>
      </c>
      <c r="D14" s="78" t="s">
        <v>225</v>
      </c>
      <c r="E14" s="78">
        <v>16.0</v>
      </c>
      <c r="F14" s="78">
        <v>19.0</v>
      </c>
      <c r="G14" s="78" t="s">
        <v>226</v>
      </c>
      <c r="H14" s="82" t="s">
        <v>245</v>
      </c>
      <c r="I14" s="82" t="s">
        <v>246</v>
      </c>
      <c r="J14" s="78" t="s">
        <v>247</v>
      </c>
      <c r="K14" s="78" t="s">
        <v>248</v>
      </c>
      <c r="L14" s="81" t="s">
        <v>241</v>
      </c>
      <c r="M14" s="82">
        <v>2023.0</v>
      </c>
      <c r="N14" s="82" t="s">
        <v>249</v>
      </c>
      <c r="O14" s="82">
        <v>5.0</v>
      </c>
      <c r="P14" s="83">
        <v>5.0</v>
      </c>
      <c r="Q14" s="83">
        <v>5.0</v>
      </c>
      <c r="R14" s="83">
        <v>1500.0</v>
      </c>
      <c r="S14" s="84"/>
      <c r="T14" s="85"/>
      <c r="U14" s="85"/>
      <c r="V14" s="85">
        <v>300.0</v>
      </c>
      <c r="W14" s="82" t="s">
        <v>51</v>
      </c>
      <c r="X14" s="62"/>
      <c r="Y14" s="62"/>
      <c r="Z14" s="62"/>
      <c r="AA14" s="62"/>
      <c r="AB14" s="62"/>
      <c r="AC14" s="62"/>
      <c r="AD14" s="62"/>
    </row>
    <row r="15" ht="15.0" customHeight="1">
      <c r="A15" s="78" t="s">
        <v>250</v>
      </c>
      <c r="B15" s="78" t="s">
        <v>251</v>
      </c>
      <c r="C15" s="78" t="s">
        <v>52</v>
      </c>
      <c r="D15" s="82" t="s">
        <v>252</v>
      </c>
      <c r="E15" s="82">
        <v>93.0</v>
      </c>
      <c r="F15" s="82">
        <v>4.0</v>
      </c>
      <c r="G15" s="82" t="s">
        <v>253</v>
      </c>
      <c r="H15" s="87" t="s">
        <v>254</v>
      </c>
      <c r="I15" s="87" t="s">
        <v>255</v>
      </c>
      <c r="J15" s="87" t="s">
        <v>256</v>
      </c>
      <c r="K15" s="88" t="s">
        <v>257</v>
      </c>
      <c r="L15" s="86" t="s">
        <v>258</v>
      </c>
      <c r="M15" s="82">
        <v>2023.0</v>
      </c>
      <c r="N15" s="89" t="s">
        <v>259</v>
      </c>
      <c r="O15" s="82">
        <v>4.0</v>
      </c>
      <c r="P15" s="83">
        <v>4.0</v>
      </c>
      <c r="Q15" s="83">
        <v>4.0</v>
      </c>
      <c r="R15" s="83">
        <v>200.0</v>
      </c>
      <c r="S15" s="88" t="s">
        <v>257</v>
      </c>
      <c r="T15" s="88" t="s">
        <v>257</v>
      </c>
      <c r="U15" s="88" t="s">
        <v>257</v>
      </c>
      <c r="V15" s="82">
        <f>R15/Q15</f>
        <v>50</v>
      </c>
      <c r="W15" s="82" t="s">
        <v>51</v>
      </c>
      <c r="X15" s="62"/>
      <c r="Y15" s="62"/>
      <c r="Z15" s="62"/>
      <c r="AA15" s="62"/>
      <c r="AB15" s="62"/>
      <c r="AC15" s="62"/>
      <c r="AD15" s="62"/>
    </row>
    <row r="16" ht="15.0" customHeight="1">
      <c r="A16" s="78" t="s">
        <v>260</v>
      </c>
      <c r="B16" s="78" t="s">
        <v>261</v>
      </c>
      <c r="C16" s="78" t="s">
        <v>52</v>
      </c>
      <c r="D16" s="78" t="s">
        <v>262</v>
      </c>
      <c r="E16" s="78">
        <v>11.0</v>
      </c>
      <c r="F16" s="78">
        <v>3.0</v>
      </c>
      <c r="G16" s="78" t="s">
        <v>263</v>
      </c>
      <c r="H16" s="90" t="s">
        <v>264</v>
      </c>
      <c r="I16" s="78" t="s">
        <v>265</v>
      </c>
      <c r="J16" s="90" t="s">
        <v>266</v>
      </c>
      <c r="K16" s="78" t="s">
        <v>267</v>
      </c>
      <c r="L16" s="78" t="s">
        <v>268</v>
      </c>
      <c r="M16" s="78">
        <v>2023.0</v>
      </c>
      <c r="N16" s="78" t="s">
        <v>269</v>
      </c>
      <c r="O16" s="78">
        <v>8.0</v>
      </c>
      <c r="P16" s="83">
        <v>6.0</v>
      </c>
      <c r="Q16" s="83">
        <v>8.0</v>
      </c>
      <c r="R16" s="83">
        <v>1000.0</v>
      </c>
      <c r="S16" s="84"/>
      <c r="T16" s="85"/>
      <c r="U16" s="85"/>
      <c r="V16" s="91">
        <f>R16/O16</f>
        <v>125</v>
      </c>
      <c r="W16" s="82" t="s">
        <v>73</v>
      </c>
      <c r="X16" s="62"/>
      <c r="Y16" s="62"/>
      <c r="Z16" s="62"/>
      <c r="AA16" s="62"/>
      <c r="AB16" s="62"/>
      <c r="AC16" s="62"/>
      <c r="AD16" s="62"/>
    </row>
    <row r="17" ht="15.0" customHeight="1">
      <c r="A17" s="78" t="s">
        <v>250</v>
      </c>
      <c r="B17" s="78" t="s">
        <v>270</v>
      </c>
      <c r="C17" s="78" t="s">
        <v>52</v>
      </c>
      <c r="D17" s="78" t="s">
        <v>252</v>
      </c>
      <c r="E17" s="78">
        <v>93.0</v>
      </c>
      <c r="F17" s="78"/>
      <c r="G17" s="78" t="s">
        <v>271</v>
      </c>
      <c r="H17" s="78" t="s">
        <v>272</v>
      </c>
      <c r="I17" s="78"/>
      <c r="J17" s="78" t="s">
        <v>273</v>
      </c>
      <c r="K17" s="78"/>
      <c r="L17" s="78" t="s">
        <v>274</v>
      </c>
      <c r="M17" s="78">
        <v>2023.0</v>
      </c>
      <c r="N17" s="78"/>
      <c r="O17" s="78">
        <v>4.0</v>
      </c>
      <c r="P17" s="83">
        <v>4.0</v>
      </c>
      <c r="Q17" s="83">
        <v>4.0</v>
      </c>
      <c r="R17" s="83">
        <v>200.0</v>
      </c>
      <c r="S17" s="84"/>
      <c r="T17" s="85"/>
      <c r="U17" s="85"/>
      <c r="V17" s="85">
        <v>50.0</v>
      </c>
      <c r="W17" s="82" t="s">
        <v>73</v>
      </c>
      <c r="X17" s="62"/>
      <c r="Y17" s="62"/>
      <c r="Z17" s="62"/>
      <c r="AA17" s="62"/>
      <c r="AB17" s="62"/>
      <c r="AC17" s="62"/>
      <c r="AD17" s="62"/>
    </row>
    <row r="18" ht="15.0" customHeight="1">
      <c r="A18" s="78" t="s">
        <v>223</v>
      </c>
      <c r="B18" s="78" t="s">
        <v>224</v>
      </c>
      <c r="C18" s="78" t="s">
        <v>52</v>
      </c>
      <c r="D18" s="78" t="s">
        <v>225</v>
      </c>
      <c r="E18" s="78">
        <v>16.0</v>
      </c>
      <c r="F18" s="78">
        <v>4.0</v>
      </c>
      <c r="G18" s="78" t="s">
        <v>226</v>
      </c>
      <c r="H18" s="79" t="s">
        <v>227</v>
      </c>
      <c r="I18" s="79" t="s">
        <v>228</v>
      </c>
      <c r="J18" s="78" t="s">
        <v>275</v>
      </c>
      <c r="K18" s="78" t="s">
        <v>230</v>
      </c>
      <c r="L18" s="81" t="s">
        <v>231</v>
      </c>
      <c r="M18" s="82">
        <v>2023.0</v>
      </c>
      <c r="N18" s="82" t="s">
        <v>232</v>
      </c>
      <c r="O18" s="82">
        <v>5.0</v>
      </c>
      <c r="P18" s="83">
        <v>5.0</v>
      </c>
      <c r="Q18" s="83">
        <v>7.0</v>
      </c>
      <c r="R18" s="83">
        <v>1500.0</v>
      </c>
      <c r="S18" s="84"/>
      <c r="T18" s="82"/>
      <c r="U18" s="82"/>
      <c r="V18" s="92">
        <f t="shared" ref="V18:V20" si="1">R18/O18</f>
        <v>300</v>
      </c>
      <c r="W18" s="82" t="s">
        <v>58</v>
      </c>
      <c r="X18" s="62"/>
      <c r="Y18" s="62"/>
      <c r="Z18" s="62"/>
      <c r="AA18" s="62"/>
      <c r="AB18" s="62"/>
      <c r="AC18" s="62"/>
      <c r="AD18" s="62"/>
    </row>
    <row r="19" ht="15.0" customHeight="1">
      <c r="A19" s="78" t="s">
        <v>243</v>
      </c>
      <c r="B19" s="78" t="s">
        <v>276</v>
      </c>
      <c r="C19" s="78" t="s">
        <v>52</v>
      </c>
      <c r="D19" s="78" t="s">
        <v>225</v>
      </c>
      <c r="E19" s="78">
        <v>16.0</v>
      </c>
      <c r="F19" s="78">
        <v>19.0</v>
      </c>
      <c r="G19" s="78" t="s">
        <v>226</v>
      </c>
      <c r="H19" s="79" t="s">
        <v>277</v>
      </c>
      <c r="I19" s="79" t="s">
        <v>246</v>
      </c>
      <c r="J19" s="78" t="s">
        <v>278</v>
      </c>
      <c r="K19" s="78" t="s">
        <v>248</v>
      </c>
      <c r="L19" s="81" t="s">
        <v>279</v>
      </c>
      <c r="M19" s="82">
        <v>2023.0</v>
      </c>
      <c r="N19" s="82" t="s">
        <v>232</v>
      </c>
      <c r="O19" s="82">
        <v>5.0</v>
      </c>
      <c r="P19" s="83">
        <v>5.0</v>
      </c>
      <c r="Q19" s="83">
        <v>5.0</v>
      </c>
      <c r="R19" s="83">
        <v>1500.0</v>
      </c>
      <c r="S19" s="84"/>
      <c r="T19" s="85"/>
      <c r="U19" s="85"/>
      <c r="V19" s="91">
        <f t="shared" si="1"/>
        <v>300</v>
      </c>
      <c r="W19" s="82" t="s">
        <v>58</v>
      </c>
      <c r="X19" s="62"/>
      <c r="Y19" s="62"/>
      <c r="Z19" s="62"/>
      <c r="AA19" s="62"/>
      <c r="AB19" s="62"/>
      <c r="AC19" s="62"/>
      <c r="AD19" s="62"/>
    </row>
    <row r="20" ht="15.0" customHeight="1">
      <c r="A20" s="82" t="s">
        <v>280</v>
      </c>
      <c r="B20" s="82" t="s">
        <v>281</v>
      </c>
      <c r="C20" s="82" t="s">
        <v>52</v>
      </c>
      <c r="D20" s="82" t="s">
        <v>282</v>
      </c>
      <c r="E20" s="82">
        <v>48.0</v>
      </c>
      <c r="F20" s="82">
        <v>1.0</v>
      </c>
      <c r="G20" s="82" t="s">
        <v>283</v>
      </c>
      <c r="H20" s="79" t="s">
        <v>284</v>
      </c>
      <c r="I20" s="79" t="s">
        <v>285</v>
      </c>
      <c r="J20" s="82" t="s">
        <v>286</v>
      </c>
      <c r="K20" s="82" t="s">
        <v>287</v>
      </c>
      <c r="L20" s="86" t="s">
        <v>288</v>
      </c>
      <c r="M20" s="82">
        <v>2023.0</v>
      </c>
      <c r="N20" s="82" t="s">
        <v>289</v>
      </c>
      <c r="O20" s="82">
        <v>1.0</v>
      </c>
      <c r="P20" s="83">
        <v>1.0</v>
      </c>
      <c r="Q20" s="83">
        <v>5.0</v>
      </c>
      <c r="R20" s="83">
        <v>300.0</v>
      </c>
      <c r="S20" s="84"/>
      <c r="T20" s="85"/>
      <c r="U20" s="85"/>
      <c r="V20" s="91">
        <f t="shared" si="1"/>
        <v>300</v>
      </c>
      <c r="W20" s="82" t="s">
        <v>58</v>
      </c>
      <c r="X20" s="62"/>
      <c r="Y20" s="62"/>
      <c r="Z20" s="62"/>
      <c r="AA20" s="62"/>
      <c r="AB20" s="62"/>
      <c r="AC20" s="62"/>
      <c r="AD20" s="62"/>
    </row>
    <row r="21" ht="15.0" customHeight="1">
      <c r="A21" s="78" t="s">
        <v>290</v>
      </c>
      <c r="B21" s="78" t="s">
        <v>291</v>
      </c>
      <c r="C21" s="82" t="s">
        <v>52</v>
      </c>
      <c r="D21" s="78" t="s">
        <v>292</v>
      </c>
      <c r="E21" s="78">
        <v>11.0</v>
      </c>
      <c r="F21" s="82">
        <v>3.0</v>
      </c>
      <c r="G21" s="81" t="s">
        <v>293</v>
      </c>
      <c r="H21" s="79" t="s">
        <v>294</v>
      </c>
      <c r="I21" s="79" t="s">
        <v>265</v>
      </c>
      <c r="J21" s="79" t="s">
        <v>295</v>
      </c>
      <c r="K21" s="78" t="s">
        <v>267</v>
      </c>
      <c r="L21" s="86" t="s">
        <v>268</v>
      </c>
      <c r="M21" s="82">
        <v>2023.0</v>
      </c>
      <c r="N21" s="82" t="s">
        <v>269</v>
      </c>
      <c r="O21" s="82">
        <v>8.0</v>
      </c>
      <c r="P21" s="83">
        <v>6.0</v>
      </c>
      <c r="Q21" s="83">
        <v>8.0</v>
      </c>
      <c r="R21" s="83">
        <v>1000.0</v>
      </c>
      <c r="S21" s="84"/>
      <c r="T21" s="85"/>
      <c r="U21" s="85"/>
      <c r="V21" s="91">
        <v>125.0</v>
      </c>
      <c r="W21" s="82" t="s">
        <v>296</v>
      </c>
      <c r="X21" s="62"/>
      <c r="Y21" s="62"/>
      <c r="Z21" s="62"/>
      <c r="AA21" s="62"/>
      <c r="AB21" s="62"/>
      <c r="AC21" s="62"/>
      <c r="AD21" s="62"/>
    </row>
    <row r="22" ht="15.0" customHeight="1">
      <c r="A22" s="78" t="s">
        <v>243</v>
      </c>
      <c r="B22" s="78" t="s">
        <v>297</v>
      </c>
      <c r="C22" s="78" t="s">
        <v>52</v>
      </c>
      <c r="D22" s="78" t="s">
        <v>298</v>
      </c>
      <c r="E22" s="78">
        <v>16.0</v>
      </c>
      <c r="F22" s="82">
        <v>19.0</v>
      </c>
      <c r="G22" s="78" t="s">
        <v>226</v>
      </c>
      <c r="H22" s="82" t="s">
        <v>277</v>
      </c>
      <c r="I22" s="82" t="s">
        <v>246</v>
      </c>
      <c r="J22" s="82" t="s">
        <v>299</v>
      </c>
      <c r="K22" s="82" t="s">
        <v>248</v>
      </c>
      <c r="L22" s="86" t="s">
        <v>300</v>
      </c>
      <c r="M22" s="82">
        <v>2023.0</v>
      </c>
      <c r="N22" s="82" t="s">
        <v>232</v>
      </c>
      <c r="O22" s="82">
        <v>5.0</v>
      </c>
      <c r="P22" s="83">
        <v>5.0</v>
      </c>
      <c r="Q22" s="83">
        <v>5.0</v>
      </c>
      <c r="R22" s="83">
        <v>1500.0</v>
      </c>
      <c r="S22" s="84"/>
      <c r="T22" s="82"/>
      <c r="U22" s="82"/>
      <c r="V22" s="82">
        <f>R22/Q22</f>
        <v>300</v>
      </c>
      <c r="W22" s="82" t="s">
        <v>90</v>
      </c>
      <c r="X22" s="62"/>
      <c r="Y22" s="62"/>
      <c r="Z22" s="62"/>
      <c r="AA22" s="62"/>
      <c r="AB22" s="62"/>
      <c r="AC22" s="62"/>
      <c r="AD22" s="62"/>
    </row>
    <row r="23" ht="15.0" customHeight="1">
      <c r="A23" s="78" t="s">
        <v>301</v>
      </c>
      <c r="B23" s="78" t="s">
        <v>302</v>
      </c>
      <c r="C23" s="78" t="s">
        <v>52</v>
      </c>
      <c r="D23" s="78" t="s">
        <v>303</v>
      </c>
      <c r="E23" s="78">
        <v>2540.0</v>
      </c>
      <c r="F23" s="82">
        <v>1.0</v>
      </c>
      <c r="G23" s="78" t="s">
        <v>304</v>
      </c>
      <c r="H23" s="79" t="s">
        <v>305</v>
      </c>
      <c r="I23" s="79" t="s">
        <v>306</v>
      </c>
      <c r="J23" s="82" t="s">
        <v>307</v>
      </c>
      <c r="K23" s="82"/>
      <c r="L23" s="86" t="s">
        <v>308</v>
      </c>
      <c r="M23" s="82">
        <v>2023.0</v>
      </c>
      <c r="N23" s="82"/>
      <c r="O23" s="82">
        <v>3.0</v>
      </c>
      <c r="P23" s="83">
        <v>2.0</v>
      </c>
      <c r="Q23" s="83">
        <v>3.0</v>
      </c>
      <c r="R23" s="84">
        <v>200.0</v>
      </c>
      <c r="S23" s="84" t="s">
        <v>309</v>
      </c>
      <c r="T23" s="85" t="s">
        <v>310</v>
      </c>
      <c r="U23" s="85" t="s">
        <v>304</v>
      </c>
      <c r="V23" s="85">
        <f t="shared" ref="V23:V24" si="2">R23/O23</f>
        <v>66.66666667</v>
      </c>
      <c r="W23" s="82" t="s">
        <v>92</v>
      </c>
      <c r="X23" s="62"/>
      <c r="Y23" s="62"/>
      <c r="Z23" s="62"/>
      <c r="AA23" s="62"/>
      <c r="AB23" s="62"/>
      <c r="AC23" s="62"/>
      <c r="AD23" s="62"/>
    </row>
    <row r="24" ht="15.0" customHeight="1">
      <c r="A24" s="78" t="s">
        <v>311</v>
      </c>
      <c r="B24" s="78" t="s">
        <v>312</v>
      </c>
      <c r="C24" s="78" t="s">
        <v>52</v>
      </c>
      <c r="D24" s="78" t="s">
        <v>303</v>
      </c>
      <c r="E24" s="78">
        <v>2540.0</v>
      </c>
      <c r="F24" s="78"/>
      <c r="G24" s="78" t="s">
        <v>313</v>
      </c>
      <c r="H24" s="79" t="s">
        <v>314</v>
      </c>
      <c r="I24" s="79" t="s">
        <v>306</v>
      </c>
      <c r="J24" s="78" t="s">
        <v>315</v>
      </c>
      <c r="K24" s="78"/>
      <c r="L24" s="81" t="s">
        <v>316</v>
      </c>
      <c r="M24" s="82">
        <v>2023.0</v>
      </c>
      <c r="N24" s="82"/>
      <c r="O24" s="82">
        <v>2.0</v>
      </c>
      <c r="P24" s="83">
        <v>2.0</v>
      </c>
      <c r="Q24" s="83">
        <v>2.0</v>
      </c>
      <c r="R24" s="84">
        <v>200.0</v>
      </c>
      <c r="S24" s="84" t="s">
        <v>309</v>
      </c>
      <c r="T24" s="85" t="s">
        <v>310</v>
      </c>
      <c r="U24" s="85" t="s">
        <v>304</v>
      </c>
      <c r="V24" s="85">
        <f t="shared" si="2"/>
        <v>100</v>
      </c>
      <c r="W24" s="82" t="s">
        <v>92</v>
      </c>
      <c r="X24" s="62"/>
      <c r="Y24" s="62"/>
      <c r="Z24" s="62"/>
      <c r="AA24" s="62"/>
      <c r="AB24" s="62"/>
      <c r="AC24" s="62"/>
      <c r="AD24" s="62"/>
    </row>
    <row r="25" ht="15.0" customHeight="1">
      <c r="A25" s="78" t="s">
        <v>233</v>
      </c>
      <c r="B25" s="78" t="s">
        <v>234</v>
      </c>
      <c r="C25" s="78" t="s">
        <v>52</v>
      </c>
      <c r="D25" s="78" t="s">
        <v>235</v>
      </c>
      <c r="E25" s="78">
        <v>15.0</v>
      </c>
      <c r="F25" s="82">
        <v>15.0</v>
      </c>
      <c r="G25" s="78" t="s">
        <v>236</v>
      </c>
      <c r="H25" s="85" t="s">
        <v>237</v>
      </c>
      <c r="I25" s="85" t="s">
        <v>238</v>
      </c>
      <c r="J25" s="82" t="s">
        <v>239</v>
      </c>
      <c r="K25" s="82" t="s">
        <v>240</v>
      </c>
      <c r="L25" s="86" t="s">
        <v>241</v>
      </c>
      <c r="M25" s="82">
        <v>2023.0</v>
      </c>
      <c r="N25" s="82" t="s">
        <v>242</v>
      </c>
      <c r="O25" s="82">
        <v>4.0</v>
      </c>
      <c r="P25" s="83">
        <v>4.0</v>
      </c>
      <c r="Q25" s="83">
        <v>4.0</v>
      </c>
      <c r="R25" s="83">
        <v>1500.0</v>
      </c>
      <c r="S25" s="84"/>
      <c r="T25" s="85"/>
      <c r="U25" s="85"/>
      <c r="V25" s="85">
        <v>375.0</v>
      </c>
      <c r="W25" s="82" t="s">
        <v>60</v>
      </c>
      <c r="X25" s="62"/>
      <c r="Y25" s="62"/>
      <c r="Z25" s="62"/>
      <c r="AA25" s="62"/>
      <c r="AB25" s="62"/>
      <c r="AC25" s="62"/>
      <c r="AD25" s="62"/>
    </row>
    <row r="26" ht="15.0" customHeight="1">
      <c r="A26" s="78" t="s">
        <v>243</v>
      </c>
      <c r="B26" s="78" t="s">
        <v>244</v>
      </c>
      <c r="C26" s="78" t="s">
        <v>52</v>
      </c>
      <c r="D26" s="78" t="s">
        <v>225</v>
      </c>
      <c r="E26" s="78">
        <v>16.0</v>
      </c>
      <c r="F26" s="78">
        <v>19.0</v>
      </c>
      <c r="G26" s="78" t="s">
        <v>226</v>
      </c>
      <c r="H26" s="82" t="s">
        <v>245</v>
      </c>
      <c r="I26" s="82" t="s">
        <v>246</v>
      </c>
      <c r="J26" s="78" t="s">
        <v>247</v>
      </c>
      <c r="K26" s="78" t="s">
        <v>248</v>
      </c>
      <c r="L26" s="81" t="s">
        <v>241</v>
      </c>
      <c r="M26" s="82">
        <v>2023.0</v>
      </c>
      <c r="N26" s="82" t="s">
        <v>249</v>
      </c>
      <c r="O26" s="82">
        <v>5.0</v>
      </c>
      <c r="P26" s="83">
        <v>5.0</v>
      </c>
      <c r="Q26" s="83">
        <v>5.0</v>
      </c>
      <c r="R26" s="83">
        <v>1500.0</v>
      </c>
      <c r="S26" s="84"/>
      <c r="T26" s="85"/>
      <c r="U26" s="85"/>
      <c r="V26" s="85">
        <v>300.0</v>
      </c>
      <c r="W26" s="82" t="s">
        <v>60</v>
      </c>
      <c r="X26" s="62"/>
      <c r="Y26" s="62"/>
      <c r="Z26" s="62"/>
      <c r="AA26" s="62"/>
      <c r="AB26" s="62"/>
      <c r="AC26" s="62"/>
      <c r="AD26" s="62"/>
    </row>
    <row r="27" ht="15.0" customHeight="1">
      <c r="A27" s="82" t="s">
        <v>317</v>
      </c>
      <c r="B27" s="78" t="s">
        <v>318</v>
      </c>
      <c r="C27" s="82" t="s">
        <v>52</v>
      </c>
      <c r="D27" s="82" t="s">
        <v>319</v>
      </c>
      <c r="E27" s="82">
        <v>15.0</v>
      </c>
      <c r="F27" s="82">
        <v>20.0</v>
      </c>
      <c r="G27" s="82" t="s">
        <v>320</v>
      </c>
      <c r="H27" s="82" t="s">
        <v>321</v>
      </c>
      <c r="I27" s="82" t="s">
        <v>322</v>
      </c>
      <c r="J27" s="82" t="s">
        <v>323</v>
      </c>
      <c r="K27" s="82" t="s">
        <v>324</v>
      </c>
      <c r="L27" s="86" t="s">
        <v>325</v>
      </c>
      <c r="M27" s="82">
        <v>2023.0</v>
      </c>
      <c r="N27" s="82" t="s">
        <v>269</v>
      </c>
      <c r="O27" s="82">
        <v>3.0</v>
      </c>
      <c r="P27" s="83">
        <v>3.0</v>
      </c>
      <c r="Q27" s="83">
        <v>3.0</v>
      </c>
      <c r="R27" s="83">
        <v>1000.0</v>
      </c>
      <c r="S27" s="84"/>
      <c r="T27" s="85"/>
      <c r="U27" s="85"/>
      <c r="V27" s="85">
        <v>333.33</v>
      </c>
      <c r="W27" s="82" t="s">
        <v>60</v>
      </c>
      <c r="X27" s="62"/>
      <c r="Y27" s="62"/>
      <c r="Z27" s="62"/>
      <c r="AA27" s="62"/>
      <c r="AB27" s="62"/>
      <c r="AC27" s="62"/>
      <c r="AD27" s="62"/>
    </row>
    <row r="28" ht="15.0" customHeight="1">
      <c r="A28" s="82" t="s">
        <v>326</v>
      </c>
      <c r="B28" s="78" t="s">
        <v>327</v>
      </c>
      <c r="C28" s="82" t="s">
        <v>52</v>
      </c>
      <c r="D28" s="82" t="s">
        <v>328</v>
      </c>
      <c r="E28" s="82">
        <v>13.0</v>
      </c>
      <c r="F28" s="82">
        <v>8.0</v>
      </c>
      <c r="G28" s="82" t="s">
        <v>329</v>
      </c>
      <c r="H28" s="82" t="s">
        <v>330</v>
      </c>
      <c r="I28" s="82" t="s">
        <v>331</v>
      </c>
      <c r="J28" s="82" t="s">
        <v>332</v>
      </c>
      <c r="K28" s="82" t="s">
        <v>333</v>
      </c>
      <c r="L28" s="86" t="s">
        <v>334</v>
      </c>
      <c r="M28" s="82">
        <v>2023.0</v>
      </c>
      <c r="N28" s="82" t="s">
        <v>269</v>
      </c>
      <c r="O28" s="82">
        <v>4.0</v>
      </c>
      <c r="P28" s="83">
        <v>4.0</v>
      </c>
      <c r="Q28" s="83">
        <v>5.0</v>
      </c>
      <c r="R28" s="83">
        <v>1000.0</v>
      </c>
      <c r="S28" s="84"/>
      <c r="T28" s="85"/>
      <c r="U28" s="85"/>
      <c r="V28" s="85">
        <v>250.0</v>
      </c>
      <c r="W28" s="82" t="s">
        <v>60</v>
      </c>
      <c r="X28" s="62"/>
      <c r="Y28" s="62"/>
      <c r="Z28" s="62"/>
      <c r="AA28" s="62"/>
      <c r="AB28" s="62"/>
      <c r="AC28" s="62"/>
      <c r="AD28" s="62"/>
    </row>
    <row r="29" ht="15.0" customHeight="1">
      <c r="A29" s="82" t="s">
        <v>335</v>
      </c>
      <c r="B29" s="78" t="s">
        <v>336</v>
      </c>
      <c r="C29" s="82" t="s">
        <v>52</v>
      </c>
      <c r="D29" s="82"/>
      <c r="E29" s="82"/>
      <c r="F29" s="82"/>
      <c r="G29" s="82"/>
      <c r="H29" s="82" t="s">
        <v>337</v>
      </c>
      <c r="I29" s="82"/>
      <c r="J29" s="82" t="s">
        <v>338</v>
      </c>
      <c r="K29" s="82"/>
      <c r="L29" s="86" t="s">
        <v>339</v>
      </c>
      <c r="M29" s="82">
        <v>2023.0</v>
      </c>
      <c r="N29" s="82"/>
      <c r="O29" s="82">
        <v>3.0</v>
      </c>
      <c r="P29" s="83">
        <v>3.0</v>
      </c>
      <c r="Q29" s="83">
        <v>3.0</v>
      </c>
      <c r="R29" s="83">
        <v>200.0</v>
      </c>
      <c r="S29" s="82" t="s">
        <v>340</v>
      </c>
      <c r="T29" s="85" t="s">
        <v>341</v>
      </c>
      <c r="U29" s="85" t="s">
        <v>342</v>
      </c>
      <c r="V29" s="85">
        <v>66.66</v>
      </c>
      <c r="W29" s="82" t="s">
        <v>60</v>
      </c>
      <c r="X29" s="62"/>
      <c r="Y29" s="62"/>
      <c r="Z29" s="62"/>
      <c r="AA29" s="62"/>
      <c r="AB29" s="62"/>
      <c r="AC29" s="62"/>
      <c r="AD29" s="62"/>
    </row>
    <row r="30" ht="15.0" customHeight="1">
      <c r="A30" s="78" t="s">
        <v>250</v>
      </c>
      <c r="B30" s="78" t="s">
        <v>251</v>
      </c>
      <c r="C30" s="78" t="s">
        <v>52</v>
      </c>
      <c r="D30" s="82" t="s">
        <v>252</v>
      </c>
      <c r="E30" s="82">
        <v>93.0</v>
      </c>
      <c r="F30" s="82">
        <v>4.0</v>
      </c>
      <c r="G30" s="82" t="s">
        <v>253</v>
      </c>
      <c r="H30" s="87" t="s">
        <v>254</v>
      </c>
      <c r="I30" s="87" t="s">
        <v>255</v>
      </c>
      <c r="J30" s="87" t="s">
        <v>256</v>
      </c>
      <c r="K30" s="88" t="s">
        <v>257</v>
      </c>
      <c r="L30" s="86" t="s">
        <v>258</v>
      </c>
      <c r="M30" s="82">
        <v>2023.0</v>
      </c>
      <c r="N30" s="89" t="s">
        <v>259</v>
      </c>
      <c r="O30" s="82">
        <v>4.0</v>
      </c>
      <c r="P30" s="83">
        <v>4.0</v>
      </c>
      <c r="Q30" s="83">
        <v>4.0</v>
      </c>
      <c r="R30" s="83">
        <v>200.0</v>
      </c>
      <c r="S30" s="88" t="s">
        <v>343</v>
      </c>
      <c r="T30" s="88" t="s">
        <v>344</v>
      </c>
      <c r="U30" s="88" t="s">
        <v>257</v>
      </c>
      <c r="V30" s="82">
        <f>R30/Q30</f>
        <v>50</v>
      </c>
      <c r="W30" s="82" t="s">
        <v>60</v>
      </c>
      <c r="X30" s="62"/>
      <c r="Y30" s="62"/>
      <c r="Z30" s="62"/>
      <c r="AA30" s="62"/>
      <c r="AB30" s="62"/>
      <c r="AC30" s="62"/>
      <c r="AD30" s="62"/>
    </row>
    <row r="31" ht="15.0" customHeight="1">
      <c r="A31" s="78" t="s">
        <v>290</v>
      </c>
      <c r="B31" s="78" t="s">
        <v>345</v>
      </c>
      <c r="C31" s="78" t="s">
        <v>52</v>
      </c>
      <c r="D31" s="78" t="s">
        <v>262</v>
      </c>
      <c r="E31" s="78">
        <v>11.0</v>
      </c>
      <c r="F31" s="82">
        <v>3.0</v>
      </c>
      <c r="G31" s="78" t="s">
        <v>293</v>
      </c>
      <c r="H31" s="79" t="s">
        <v>264</v>
      </c>
      <c r="I31" s="79" t="s">
        <v>265</v>
      </c>
      <c r="J31" s="79" t="s">
        <v>266</v>
      </c>
      <c r="K31" s="82" t="s">
        <v>267</v>
      </c>
      <c r="L31" s="89" t="s">
        <v>257</v>
      </c>
      <c r="M31" s="82">
        <v>2023.0</v>
      </c>
      <c r="N31" s="82" t="s">
        <v>269</v>
      </c>
      <c r="O31" s="82">
        <v>8.0</v>
      </c>
      <c r="P31" s="83">
        <v>6.0</v>
      </c>
      <c r="Q31" s="83">
        <v>8.0</v>
      </c>
      <c r="R31" s="83">
        <v>1000.0</v>
      </c>
      <c r="S31" s="89" t="s">
        <v>257</v>
      </c>
      <c r="T31" s="89" t="s">
        <v>257</v>
      </c>
      <c r="U31" s="89" t="s">
        <v>257</v>
      </c>
      <c r="V31" s="85">
        <f>1000/8</f>
        <v>125</v>
      </c>
      <c r="W31" s="82" t="s">
        <v>82</v>
      </c>
      <c r="X31" s="62"/>
      <c r="Y31" s="62"/>
      <c r="Z31" s="62"/>
      <c r="AA31" s="62"/>
      <c r="AB31" s="62"/>
      <c r="AC31" s="62"/>
      <c r="AD31" s="62"/>
    </row>
    <row r="32" ht="15.0" customHeight="1">
      <c r="A32" s="78" t="s">
        <v>250</v>
      </c>
      <c r="B32" s="78" t="s">
        <v>251</v>
      </c>
      <c r="C32" s="78" t="s">
        <v>52</v>
      </c>
      <c r="D32" s="82" t="s">
        <v>252</v>
      </c>
      <c r="E32" s="82">
        <v>93.0</v>
      </c>
      <c r="F32" s="82">
        <v>4.0</v>
      </c>
      <c r="G32" s="82" t="s">
        <v>253</v>
      </c>
      <c r="H32" s="79" t="s">
        <v>346</v>
      </c>
      <c r="I32" s="79" t="s">
        <v>347</v>
      </c>
      <c r="J32" s="79" t="s">
        <v>348</v>
      </c>
      <c r="K32" s="88" t="s">
        <v>257</v>
      </c>
      <c r="L32" s="86" t="s">
        <v>258</v>
      </c>
      <c r="M32" s="82">
        <v>2023.0</v>
      </c>
      <c r="N32" s="89" t="s">
        <v>259</v>
      </c>
      <c r="O32" s="82">
        <v>4.0</v>
      </c>
      <c r="P32" s="83">
        <v>4.0</v>
      </c>
      <c r="Q32" s="83">
        <v>4.0</v>
      </c>
      <c r="R32" s="83">
        <v>200.0</v>
      </c>
      <c r="S32" s="88" t="s">
        <v>257</v>
      </c>
      <c r="T32" s="88" t="s">
        <v>257</v>
      </c>
      <c r="U32" s="88" t="s">
        <v>257</v>
      </c>
      <c r="V32" s="82">
        <f t="shared" ref="V32:V35" si="3">R32/Q32</f>
        <v>50</v>
      </c>
      <c r="W32" s="82" t="s">
        <v>82</v>
      </c>
      <c r="X32" s="62"/>
      <c r="Y32" s="62"/>
      <c r="Z32" s="62"/>
      <c r="AA32" s="62"/>
      <c r="AB32" s="62"/>
      <c r="AC32" s="62"/>
      <c r="AD32" s="62"/>
    </row>
    <row r="33" ht="15.0" customHeight="1">
      <c r="A33" s="78" t="s">
        <v>349</v>
      </c>
      <c r="B33" s="78" t="s">
        <v>350</v>
      </c>
      <c r="C33" s="78" t="s">
        <v>52</v>
      </c>
      <c r="D33" s="78" t="s">
        <v>351</v>
      </c>
      <c r="E33" s="78">
        <v>14.0</v>
      </c>
      <c r="F33" s="82">
        <v>2.0</v>
      </c>
      <c r="G33" s="82" t="s">
        <v>352</v>
      </c>
      <c r="H33" s="79" t="s">
        <v>353</v>
      </c>
      <c r="I33" s="79" t="s">
        <v>354</v>
      </c>
      <c r="J33" s="79" t="s">
        <v>355</v>
      </c>
      <c r="K33" s="82" t="s">
        <v>356</v>
      </c>
      <c r="L33" s="86"/>
      <c r="M33" s="82">
        <v>2023.0</v>
      </c>
      <c r="N33" s="82" t="s">
        <v>357</v>
      </c>
      <c r="O33" s="82">
        <v>6.0</v>
      </c>
      <c r="P33" s="83">
        <v>3.0</v>
      </c>
      <c r="Q33" s="83">
        <v>6.0</v>
      </c>
      <c r="R33" s="83">
        <v>1000.0</v>
      </c>
      <c r="S33" s="89" t="s">
        <v>257</v>
      </c>
      <c r="T33" s="89" t="s">
        <v>257</v>
      </c>
      <c r="U33" s="89" t="s">
        <v>257</v>
      </c>
      <c r="V33" s="92">
        <f t="shared" si="3"/>
        <v>166.6666667</v>
      </c>
      <c r="W33" s="82" t="s">
        <v>87</v>
      </c>
      <c r="X33" s="62"/>
      <c r="Y33" s="62"/>
      <c r="Z33" s="62"/>
      <c r="AA33" s="62"/>
      <c r="AB33" s="62"/>
      <c r="AC33" s="62"/>
      <c r="AD33" s="62"/>
    </row>
    <row r="34" ht="15.0" customHeight="1">
      <c r="A34" s="78" t="s">
        <v>358</v>
      </c>
      <c r="B34" s="78" t="s">
        <v>359</v>
      </c>
      <c r="C34" s="78" t="s">
        <v>52</v>
      </c>
      <c r="D34" s="78" t="s">
        <v>298</v>
      </c>
      <c r="E34" s="78">
        <v>16.0</v>
      </c>
      <c r="F34" s="78">
        <v>8.0</v>
      </c>
      <c r="G34" s="78" t="s">
        <v>226</v>
      </c>
      <c r="H34" s="79" t="s">
        <v>360</v>
      </c>
      <c r="I34" s="79" t="s">
        <v>361</v>
      </c>
      <c r="J34" s="82" t="s">
        <v>362</v>
      </c>
      <c r="K34" s="82" t="s">
        <v>363</v>
      </c>
      <c r="L34" s="82">
        <v>2948.0</v>
      </c>
      <c r="M34" s="82">
        <v>2023.0</v>
      </c>
      <c r="N34" s="82" t="s">
        <v>364</v>
      </c>
      <c r="O34" s="82">
        <v>4.0</v>
      </c>
      <c r="P34" s="83">
        <v>2.0</v>
      </c>
      <c r="Q34" s="83">
        <v>4.0</v>
      </c>
      <c r="R34" s="83">
        <v>1500.0</v>
      </c>
      <c r="S34" s="84"/>
      <c r="T34" s="82"/>
      <c r="U34" s="82"/>
      <c r="V34" s="82">
        <f t="shared" si="3"/>
        <v>375</v>
      </c>
      <c r="W34" s="82" t="s">
        <v>87</v>
      </c>
      <c r="X34" s="62"/>
      <c r="Y34" s="62"/>
      <c r="Z34" s="62"/>
      <c r="AA34" s="62"/>
      <c r="AB34" s="62"/>
      <c r="AC34" s="62"/>
      <c r="AD34" s="62"/>
    </row>
    <row r="35" ht="15.0" customHeight="1">
      <c r="A35" s="82" t="s">
        <v>365</v>
      </c>
      <c r="B35" s="93" t="s">
        <v>366</v>
      </c>
      <c r="C35" s="78" t="s">
        <v>52</v>
      </c>
      <c r="D35" s="82" t="s">
        <v>252</v>
      </c>
      <c r="E35" s="82">
        <v>93.0</v>
      </c>
      <c r="F35" s="82"/>
      <c r="G35" s="82" t="s">
        <v>367</v>
      </c>
      <c r="H35" s="79" t="s">
        <v>368</v>
      </c>
      <c r="I35" s="82"/>
      <c r="J35" s="94" t="s">
        <v>369</v>
      </c>
      <c r="K35" s="82"/>
      <c r="L35" s="86" t="s">
        <v>367</v>
      </c>
      <c r="M35" s="82">
        <v>2023.0</v>
      </c>
      <c r="N35" s="82" t="s">
        <v>259</v>
      </c>
      <c r="O35" s="82">
        <v>2.0</v>
      </c>
      <c r="P35" s="83">
        <v>2.0</v>
      </c>
      <c r="Q35" s="83">
        <v>2.0</v>
      </c>
      <c r="R35" s="83">
        <v>200.0</v>
      </c>
      <c r="S35" s="84"/>
      <c r="T35" s="85"/>
      <c r="U35" s="85"/>
      <c r="V35" s="82">
        <f t="shared" si="3"/>
        <v>100</v>
      </c>
      <c r="W35" s="82" t="s">
        <v>87</v>
      </c>
      <c r="X35" s="62"/>
      <c r="Y35" s="62"/>
      <c r="Z35" s="62"/>
      <c r="AA35" s="62"/>
      <c r="AB35" s="62"/>
      <c r="AC35" s="62"/>
      <c r="AD35" s="62"/>
    </row>
    <row r="36" ht="15.0" customHeight="1">
      <c r="A36" s="78" t="s">
        <v>358</v>
      </c>
      <c r="B36" s="78" t="s">
        <v>370</v>
      </c>
      <c r="C36" s="78" t="s">
        <v>52</v>
      </c>
      <c r="D36" s="78" t="s">
        <v>298</v>
      </c>
      <c r="E36" s="78">
        <v>16.0</v>
      </c>
      <c r="F36" s="82">
        <v>8.0</v>
      </c>
      <c r="G36" s="78" t="s">
        <v>226</v>
      </c>
      <c r="H36" s="79" t="s">
        <v>360</v>
      </c>
      <c r="I36" s="79" t="s">
        <v>361</v>
      </c>
      <c r="J36" s="82" t="s">
        <v>362</v>
      </c>
      <c r="K36" s="82" t="s">
        <v>363</v>
      </c>
      <c r="L36" s="86" t="s">
        <v>371</v>
      </c>
      <c r="M36" s="82">
        <v>2023.0</v>
      </c>
      <c r="N36" s="82" t="s">
        <v>269</v>
      </c>
      <c r="O36" s="82">
        <v>4.0</v>
      </c>
      <c r="P36" s="83">
        <v>2.0</v>
      </c>
      <c r="Q36" s="83">
        <v>4.0</v>
      </c>
      <c r="R36" s="83">
        <v>1500.0</v>
      </c>
      <c r="S36" s="84"/>
      <c r="T36" s="85"/>
      <c r="U36" s="85"/>
      <c r="V36" s="85">
        <f t="shared" ref="V36:V38" si="4">R36/O36</f>
        <v>375</v>
      </c>
      <c r="W36" s="82" t="s">
        <v>59</v>
      </c>
      <c r="X36" s="62"/>
      <c r="Y36" s="62"/>
      <c r="Z36" s="62"/>
      <c r="AA36" s="62"/>
      <c r="AB36" s="62"/>
      <c r="AC36" s="62"/>
      <c r="AD36" s="62"/>
    </row>
    <row r="37" ht="15.0" customHeight="1">
      <c r="A37" s="78" t="s">
        <v>372</v>
      </c>
      <c r="B37" s="78" t="s">
        <v>373</v>
      </c>
      <c r="C37" s="78" t="s">
        <v>52</v>
      </c>
      <c r="D37" s="78" t="s">
        <v>252</v>
      </c>
      <c r="E37" s="78">
        <v>93.0</v>
      </c>
      <c r="F37" s="82">
        <v>4.0</v>
      </c>
      <c r="G37" s="78" t="s">
        <v>253</v>
      </c>
      <c r="H37" s="79" t="s">
        <v>374</v>
      </c>
      <c r="I37" s="79" t="s">
        <v>375</v>
      </c>
      <c r="J37" s="82" t="s">
        <v>376</v>
      </c>
      <c r="K37" s="82"/>
      <c r="L37" s="86" t="s">
        <v>377</v>
      </c>
      <c r="M37" s="82">
        <v>2023.0</v>
      </c>
      <c r="N37" s="82"/>
      <c r="O37" s="82">
        <v>2.0</v>
      </c>
      <c r="P37" s="83">
        <v>2.0</v>
      </c>
      <c r="Q37" s="83">
        <v>2.0</v>
      </c>
      <c r="R37" s="83">
        <v>200.0</v>
      </c>
      <c r="S37" s="84"/>
      <c r="T37" s="85"/>
      <c r="U37" s="85"/>
      <c r="V37" s="85">
        <f t="shared" si="4"/>
        <v>100</v>
      </c>
      <c r="W37" s="82" t="s">
        <v>59</v>
      </c>
      <c r="X37" s="62"/>
      <c r="Y37" s="62"/>
      <c r="Z37" s="62"/>
      <c r="AA37" s="62"/>
      <c r="AB37" s="62"/>
      <c r="AC37" s="62"/>
      <c r="AD37" s="62"/>
    </row>
    <row r="38" ht="15.0" customHeight="1">
      <c r="A38" s="78" t="s">
        <v>365</v>
      </c>
      <c r="B38" s="78" t="s">
        <v>378</v>
      </c>
      <c r="C38" s="78" t="s">
        <v>52</v>
      </c>
      <c r="D38" s="78" t="s">
        <v>252</v>
      </c>
      <c r="E38" s="78">
        <v>93.0</v>
      </c>
      <c r="F38" s="82">
        <v>4.0</v>
      </c>
      <c r="G38" s="78" t="s">
        <v>253</v>
      </c>
      <c r="H38" s="79" t="s">
        <v>379</v>
      </c>
      <c r="I38" s="79" t="s">
        <v>380</v>
      </c>
      <c r="J38" s="82" t="s">
        <v>369</v>
      </c>
      <c r="K38" s="82"/>
      <c r="L38" s="86" t="s">
        <v>367</v>
      </c>
      <c r="M38" s="82">
        <v>2023.0</v>
      </c>
      <c r="N38" s="82"/>
      <c r="O38" s="82">
        <v>2.0</v>
      </c>
      <c r="P38" s="83">
        <v>2.0</v>
      </c>
      <c r="Q38" s="83">
        <v>2.0</v>
      </c>
      <c r="R38" s="83">
        <v>200.0</v>
      </c>
      <c r="S38" s="84"/>
      <c r="T38" s="85"/>
      <c r="U38" s="85"/>
      <c r="V38" s="85">
        <f t="shared" si="4"/>
        <v>100</v>
      </c>
      <c r="W38" s="82" t="s">
        <v>59</v>
      </c>
      <c r="X38" s="62"/>
      <c r="Y38" s="62"/>
      <c r="Z38" s="62"/>
      <c r="AA38" s="62"/>
      <c r="AB38" s="62"/>
      <c r="AC38" s="62"/>
      <c r="AD38" s="62"/>
    </row>
    <row r="39" ht="15.0" customHeight="1">
      <c r="A39" s="78" t="s">
        <v>243</v>
      </c>
      <c r="B39" s="78" t="s">
        <v>381</v>
      </c>
      <c r="C39" s="78" t="s">
        <v>52</v>
      </c>
      <c r="D39" s="78" t="s">
        <v>298</v>
      </c>
      <c r="E39" s="78">
        <v>16.0</v>
      </c>
      <c r="F39" s="82">
        <v>19.0</v>
      </c>
      <c r="G39" s="78" t="s">
        <v>226</v>
      </c>
      <c r="H39" s="85" t="s">
        <v>277</v>
      </c>
      <c r="I39" s="85" t="s">
        <v>246</v>
      </c>
      <c r="J39" s="82" t="s">
        <v>299</v>
      </c>
      <c r="K39" s="82" t="s">
        <v>248</v>
      </c>
      <c r="L39" s="86" t="s">
        <v>300</v>
      </c>
      <c r="M39" s="82">
        <v>2023.0</v>
      </c>
      <c r="N39" s="82" t="s">
        <v>232</v>
      </c>
      <c r="O39" s="82">
        <v>5.0</v>
      </c>
      <c r="P39" s="83">
        <v>5.0</v>
      </c>
      <c r="Q39" s="83">
        <v>5.0</v>
      </c>
      <c r="R39" s="83">
        <v>1500.0</v>
      </c>
      <c r="S39" s="84"/>
      <c r="T39" s="85"/>
      <c r="U39" s="85"/>
      <c r="V39" s="85">
        <f>R39/Q39</f>
        <v>300</v>
      </c>
      <c r="W39" s="82" t="s">
        <v>91</v>
      </c>
      <c r="X39" s="62"/>
      <c r="Y39" s="62"/>
      <c r="Z39" s="62"/>
      <c r="AA39" s="62"/>
      <c r="AB39" s="62"/>
      <c r="AC39" s="62"/>
      <c r="AD39" s="62"/>
    </row>
    <row r="40" ht="15.0" customHeight="1">
      <c r="A40" s="78" t="s">
        <v>382</v>
      </c>
      <c r="B40" s="78" t="s">
        <v>350</v>
      </c>
      <c r="C40" s="78" t="s">
        <v>52</v>
      </c>
      <c r="D40" s="78" t="s">
        <v>351</v>
      </c>
      <c r="E40" s="78">
        <v>14.0</v>
      </c>
      <c r="F40" s="82">
        <v>2.0</v>
      </c>
      <c r="G40" s="82" t="s">
        <v>352</v>
      </c>
      <c r="H40" s="79" t="s">
        <v>353</v>
      </c>
      <c r="I40" s="79" t="s">
        <v>354</v>
      </c>
      <c r="J40" s="79" t="s">
        <v>355</v>
      </c>
      <c r="K40" s="82" t="s">
        <v>356</v>
      </c>
      <c r="L40" s="89" t="s">
        <v>257</v>
      </c>
      <c r="M40" s="82">
        <v>2023.0</v>
      </c>
      <c r="N40" s="82" t="s">
        <v>269</v>
      </c>
      <c r="O40" s="82">
        <v>6.0</v>
      </c>
      <c r="P40" s="82">
        <v>3.0</v>
      </c>
      <c r="Q40" s="82">
        <v>6.0</v>
      </c>
      <c r="R40" s="83">
        <v>1000.0</v>
      </c>
      <c r="S40" s="89" t="s">
        <v>257</v>
      </c>
      <c r="T40" s="89" t="s">
        <v>257</v>
      </c>
      <c r="U40" s="89" t="s">
        <v>257</v>
      </c>
      <c r="V40" s="83">
        <f t="shared" ref="V40:V41" si="5">R40/O40</f>
        <v>166.6666667</v>
      </c>
      <c r="W40" s="82" t="s">
        <v>85</v>
      </c>
      <c r="X40" s="62"/>
      <c r="Y40" s="62"/>
      <c r="Z40" s="62"/>
      <c r="AA40" s="62"/>
      <c r="AB40" s="62"/>
      <c r="AC40" s="62"/>
      <c r="AD40" s="62"/>
    </row>
    <row r="41" ht="15.0" customHeight="1">
      <c r="A41" s="78" t="s">
        <v>335</v>
      </c>
      <c r="B41" s="78" t="s">
        <v>383</v>
      </c>
      <c r="C41" s="78" t="s">
        <v>52</v>
      </c>
      <c r="D41" s="82" t="s">
        <v>252</v>
      </c>
      <c r="E41" s="78">
        <v>93.0</v>
      </c>
      <c r="F41" s="78">
        <v>4.0</v>
      </c>
      <c r="G41" s="82">
        <v>2.2147853E7</v>
      </c>
      <c r="H41" s="87" t="s">
        <v>384</v>
      </c>
      <c r="I41" s="87" t="s">
        <v>385</v>
      </c>
      <c r="J41" s="95" t="s">
        <v>386</v>
      </c>
      <c r="K41" s="89" t="s">
        <v>257</v>
      </c>
      <c r="L41" s="82" t="s">
        <v>387</v>
      </c>
      <c r="M41" s="82">
        <v>2023.0</v>
      </c>
      <c r="N41" s="89" t="s">
        <v>259</v>
      </c>
      <c r="O41" s="82">
        <v>3.0</v>
      </c>
      <c r="P41" s="83">
        <v>3.0</v>
      </c>
      <c r="Q41" s="83">
        <v>3.0</v>
      </c>
      <c r="R41" s="83">
        <v>200.0</v>
      </c>
      <c r="S41" s="89" t="s">
        <v>257</v>
      </c>
      <c r="T41" s="89" t="s">
        <v>257</v>
      </c>
      <c r="U41" s="89" t="s">
        <v>257</v>
      </c>
      <c r="V41" s="92">
        <f t="shared" si="5"/>
        <v>66.66666667</v>
      </c>
      <c r="W41" s="82" t="s">
        <v>85</v>
      </c>
      <c r="X41" s="62"/>
      <c r="Y41" s="62"/>
      <c r="Z41" s="62"/>
      <c r="AA41" s="62"/>
      <c r="AB41" s="62"/>
      <c r="AC41" s="62"/>
      <c r="AD41" s="62"/>
    </row>
    <row r="42" ht="15.0" customHeight="1">
      <c r="A42" s="82" t="s">
        <v>388</v>
      </c>
      <c r="B42" s="82" t="s">
        <v>389</v>
      </c>
      <c r="C42" s="82" t="s">
        <v>52</v>
      </c>
      <c r="D42" s="82" t="s">
        <v>390</v>
      </c>
      <c r="E42" s="82">
        <v>30.0</v>
      </c>
      <c r="F42" s="82">
        <v>4.0</v>
      </c>
      <c r="G42" s="82" t="s">
        <v>391</v>
      </c>
      <c r="H42" s="82" t="s">
        <v>392</v>
      </c>
      <c r="I42" s="82" t="s">
        <v>393</v>
      </c>
      <c r="J42" s="82" t="s">
        <v>394</v>
      </c>
      <c r="K42" s="82" t="s">
        <v>395</v>
      </c>
      <c r="L42" s="82" t="s">
        <v>396</v>
      </c>
      <c r="M42" s="82">
        <v>2023.0</v>
      </c>
      <c r="N42" s="82" t="s">
        <v>397</v>
      </c>
      <c r="O42" s="82">
        <v>2.0</v>
      </c>
      <c r="P42" s="83">
        <v>2.0</v>
      </c>
      <c r="Q42" s="83">
        <v>6.0</v>
      </c>
      <c r="R42" s="83">
        <v>500.0</v>
      </c>
      <c r="S42" s="82"/>
      <c r="T42" s="82"/>
      <c r="U42" s="82"/>
      <c r="V42" s="85">
        <v>250.0</v>
      </c>
      <c r="W42" s="82" t="s">
        <v>81</v>
      </c>
      <c r="X42" s="62"/>
      <c r="Y42" s="62"/>
      <c r="Z42" s="62"/>
      <c r="AA42" s="62"/>
      <c r="AB42" s="62"/>
      <c r="AC42" s="62"/>
      <c r="AD42" s="62"/>
    </row>
    <row r="43" ht="15.0" customHeight="1">
      <c r="A43" s="82" t="s">
        <v>398</v>
      </c>
      <c r="B43" s="82" t="s">
        <v>399</v>
      </c>
      <c r="C43" s="82" t="s">
        <v>52</v>
      </c>
      <c r="D43" s="82" t="s">
        <v>400</v>
      </c>
      <c r="E43" s="82">
        <v>13.0</v>
      </c>
      <c r="F43" s="82">
        <v>1.0</v>
      </c>
      <c r="G43" s="82" t="s">
        <v>401</v>
      </c>
      <c r="H43" s="82" t="s">
        <v>402</v>
      </c>
      <c r="I43" s="82" t="s">
        <v>403</v>
      </c>
      <c r="J43" s="82" t="s">
        <v>404</v>
      </c>
      <c r="K43" s="82" t="s">
        <v>405</v>
      </c>
      <c r="L43" s="86"/>
      <c r="M43" s="82">
        <v>2023.0</v>
      </c>
      <c r="N43" s="82" t="s">
        <v>269</v>
      </c>
      <c r="O43" s="82">
        <v>2.0</v>
      </c>
      <c r="P43" s="83">
        <v>2.0</v>
      </c>
      <c r="Q43" s="83">
        <v>6.0</v>
      </c>
      <c r="R43" s="83">
        <v>1000.0</v>
      </c>
      <c r="S43" s="84"/>
      <c r="T43" s="85"/>
      <c r="U43" s="85"/>
      <c r="V43" s="85">
        <v>500.0</v>
      </c>
      <c r="W43" s="82" t="s">
        <v>81</v>
      </c>
      <c r="X43" s="62"/>
      <c r="Y43" s="62"/>
      <c r="Z43" s="62"/>
      <c r="AA43" s="62"/>
      <c r="AB43" s="62"/>
      <c r="AC43" s="62"/>
      <c r="AD43" s="62"/>
    </row>
    <row r="44" ht="15.0" customHeight="1">
      <c r="A44" s="82" t="s">
        <v>406</v>
      </c>
      <c r="B44" s="82" t="s">
        <v>407</v>
      </c>
      <c r="C44" s="82" t="s">
        <v>52</v>
      </c>
      <c r="D44" s="82" t="s">
        <v>408</v>
      </c>
      <c r="E44" s="82">
        <v>21.0</v>
      </c>
      <c r="F44" s="82">
        <v>1.0</v>
      </c>
      <c r="G44" s="82" t="s">
        <v>409</v>
      </c>
      <c r="H44" s="82" t="s">
        <v>410</v>
      </c>
      <c r="I44" s="82" t="s">
        <v>411</v>
      </c>
      <c r="J44" s="82" t="s">
        <v>412</v>
      </c>
      <c r="K44" s="82" t="s">
        <v>413</v>
      </c>
      <c r="L44" s="82"/>
      <c r="M44" s="82">
        <v>2023.0</v>
      </c>
      <c r="N44" s="82" t="s">
        <v>414</v>
      </c>
      <c r="O44" s="82">
        <v>1.0</v>
      </c>
      <c r="P44" s="82">
        <v>1.0</v>
      </c>
      <c r="Q44" s="82">
        <v>6.0</v>
      </c>
      <c r="R44" s="82">
        <v>500.0</v>
      </c>
      <c r="S44" s="82"/>
      <c r="T44" s="82"/>
      <c r="U44" s="82"/>
      <c r="V44" s="82">
        <v>500.0</v>
      </c>
      <c r="W44" s="82" t="s">
        <v>81</v>
      </c>
      <c r="X44" s="62"/>
      <c r="Y44" s="62"/>
      <c r="Z44" s="62"/>
      <c r="AA44" s="62"/>
      <c r="AB44" s="62"/>
      <c r="AC44" s="62"/>
      <c r="AD44" s="62"/>
    </row>
    <row r="45" ht="15.0" customHeight="1">
      <c r="A45" s="82" t="s">
        <v>415</v>
      </c>
      <c r="B45" s="82" t="s">
        <v>416</v>
      </c>
      <c r="C45" s="82" t="s">
        <v>52</v>
      </c>
      <c r="D45" s="82" t="s">
        <v>417</v>
      </c>
      <c r="E45" s="82">
        <v>569.0</v>
      </c>
      <c r="F45" s="82"/>
      <c r="G45" s="82" t="s">
        <v>418</v>
      </c>
      <c r="H45" s="82" t="s">
        <v>419</v>
      </c>
      <c r="I45" s="82" t="s">
        <v>420</v>
      </c>
      <c r="J45" s="82" t="s">
        <v>421</v>
      </c>
      <c r="K45" s="82" t="s">
        <v>422</v>
      </c>
      <c r="L45" s="82"/>
      <c r="M45" s="82">
        <v>2023.0</v>
      </c>
      <c r="N45" s="82" t="s">
        <v>414</v>
      </c>
      <c r="O45" s="82">
        <v>2.0</v>
      </c>
      <c r="P45" s="82">
        <v>2.0</v>
      </c>
      <c r="Q45" s="82">
        <v>6.0</v>
      </c>
      <c r="R45" s="82">
        <v>500.0</v>
      </c>
      <c r="S45" s="82"/>
      <c r="T45" s="82"/>
      <c r="U45" s="82"/>
      <c r="V45" s="82">
        <v>250.0</v>
      </c>
      <c r="W45" s="82" t="s">
        <v>81</v>
      </c>
      <c r="X45" s="62"/>
      <c r="Y45" s="62"/>
      <c r="Z45" s="62"/>
      <c r="AA45" s="62"/>
      <c r="AB45" s="62"/>
      <c r="AC45" s="62"/>
      <c r="AD45" s="62"/>
    </row>
    <row r="46" ht="15.0" customHeight="1">
      <c r="A46" s="82" t="s">
        <v>423</v>
      </c>
      <c r="B46" s="82" t="s">
        <v>424</v>
      </c>
      <c r="C46" s="82" t="s">
        <v>52</v>
      </c>
      <c r="D46" s="82" t="s">
        <v>425</v>
      </c>
      <c r="E46" s="82">
        <v>14.0</v>
      </c>
      <c r="F46" s="82">
        <v>1.0</v>
      </c>
      <c r="G46" s="82" t="s">
        <v>352</v>
      </c>
      <c r="H46" s="82" t="s">
        <v>426</v>
      </c>
      <c r="I46" s="82" t="s">
        <v>427</v>
      </c>
      <c r="J46" s="82" t="s">
        <v>428</v>
      </c>
      <c r="K46" s="82" t="s">
        <v>429</v>
      </c>
      <c r="L46" s="82"/>
      <c r="M46" s="82">
        <v>2023.0</v>
      </c>
      <c r="N46" s="82" t="s">
        <v>269</v>
      </c>
      <c r="O46" s="82">
        <v>1.0</v>
      </c>
      <c r="P46" s="82">
        <v>1.0</v>
      </c>
      <c r="Q46" s="82">
        <v>6.0</v>
      </c>
      <c r="R46" s="82">
        <v>1000.0</v>
      </c>
      <c r="S46" s="82"/>
      <c r="T46" s="82"/>
      <c r="U46" s="82"/>
      <c r="V46" s="82">
        <v>1000.0</v>
      </c>
      <c r="W46" s="82" t="s">
        <v>81</v>
      </c>
      <c r="X46" s="62"/>
      <c r="Y46" s="62"/>
      <c r="Z46" s="62"/>
      <c r="AA46" s="62"/>
      <c r="AB46" s="62"/>
      <c r="AC46" s="62"/>
      <c r="AD46" s="62"/>
    </row>
    <row r="47" ht="15.0" customHeight="1">
      <c r="A47" s="82" t="s">
        <v>430</v>
      </c>
      <c r="B47" s="82" t="s">
        <v>431</v>
      </c>
      <c r="C47" s="82" t="s">
        <v>52</v>
      </c>
      <c r="D47" s="82" t="s">
        <v>432</v>
      </c>
      <c r="E47" s="82">
        <v>75.0</v>
      </c>
      <c r="F47" s="82"/>
      <c r="G47" s="82" t="s">
        <v>433</v>
      </c>
      <c r="H47" s="82" t="s">
        <v>434</v>
      </c>
      <c r="I47" s="82" t="s">
        <v>435</v>
      </c>
      <c r="J47" s="82" t="s">
        <v>436</v>
      </c>
      <c r="K47" s="82" t="s">
        <v>437</v>
      </c>
      <c r="L47" s="82" t="s">
        <v>438</v>
      </c>
      <c r="M47" s="82">
        <v>2023.0</v>
      </c>
      <c r="N47" s="82" t="s">
        <v>232</v>
      </c>
      <c r="O47" s="82">
        <v>1.0</v>
      </c>
      <c r="P47" s="82">
        <v>1.0</v>
      </c>
      <c r="Q47" s="82">
        <v>6.0</v>
      </c>
      <c r="R47" s="82">
        <v>1500.0</v>
      </c>
      <c r="S47" s="82"/>
      <c r="T47" s="82"/>
      <c r="U47" s="82"/>
      <c r="V47" s="82">
        <v>1500.0</v>
      </c>
      <c r="W47" s="82" t="s">
        <v>81</v>
      </c>
      <c r="X47" s="62"/>
      <c r="Y47" s="62"/>
      <c r="Z47" s="62"/>
      <c r="AA47" s="62"/>
      <c r="AB47" s="62"/>
      <c r="AC47" s="62"/>
      <c r="AD47" s="62"/>
    </row>
    <row r="48" ht="15.0" customHeight="1">
      <c r="A48" s="82" t="s">
        <v>439</v>
      </c>
      <c r="B48" s="82" t="s">
        <v>440</v>
      </c>
      <c r="C48" s="82" t="s">
        <v>52</v>
      </c>
      <c r="D48" s="82" t="s">
        <v>441</v>
      </c>
      <c r="E48" s="82">
        <v>52.0</v>
      </c>
      <c r="F48" s="82"/>
      <c r="G48" s="82" t="s">
        <v>442</v>
      </c>
      <c r="H48" s="87" t="s">
        <v>443</v>
      </c>
      <c r="I48" s="82" t="s">
        <v>444</v>
      </c>
      <c r="J48" s="82" t="s">
        <v>445</v>
      </c>
      <c r="K48" s="82" t="s">
        <v>446</v>
      </c>
      <c r="L48" s="86"/>
      <c r="M48" s="82">
        <v>2023.0</v>
      </c>
      <c r="N48" s="82" t="s">
        <v>232</v>
      </c>
      <c r="O48" s="82">
        <v>1.0</v>
      </c>
      <c r="P48" s="83">
        <v>1.0</v>
      </c>
      <c r="Q48" s="83">
        <v>5.0</v>
      </c>
      <c r="R48" s="83">
        <v>1500.0</v>
      </c>
      <c r="S48" s="84"/>
      <c r="T48" s="85"/>
      <c r="U48" s="85"/>
      <c r="V48" s="85">
        <v>1500.0</v>
      </c>
      <c r="W48" s="82" t="s">
        <v>81</v>
      </c>
      <c r="X48" s="62"/>
      <c r="Y48" s="62"/>
      <c r="Z48" s="62"/>
      <c r="AA48" s="62"/>
      <c r="AB48" s="62"/>
      <c r="AC48" s="62"/>
      <c r="AD48" s="62"/>
    </row>
    <row r="49" ht="15.0" customHeight="1">
      <c r="A49" s="78" t="s">
        <v>447</v>
      </c>
      <c r="B49" s="78" t="s">
        <v>448</v>
      </c>
      <c r="C49" s="78" t="s">
        <v>52</v>
      </c>
      <c r="D49" s="78" t="s">
        <v>400</v>
      </c>
      <c r="E49" s="78">
        <v>13.0</v>
      </c>
      <c r="F49" s="78">
        <v>1.0</v>
      </c>
      <c r="G49" s="78" t="s">
        <v>401</v>
      </c>
      <c r="H49" s="82" t="s">
        <v>449</v>
      </c>
      <c r="I49" s="82" t="s">
        <v>450</v>
      </c>
      <c r="J49" s="78" t="s">
        <v>451</v>
      </c>
      <c r="K49" s="78" t="s">
        <v>452</v>
      </c>
      <c r="L49" s="81"/>
      <c r="M49" s="82">
        <v>2023.0</v>
      </c>
      <c r="N49" s="82" t="s">
        <v>269</v>
      </c>
      <c r="O49" s="82">
        <v>1.0</v>
      </c>
      <c r="P49" s="83">
        <v>1.0</v>
      </c>
      <c r="Q49" s="83">
        <v>6.0</v>
      </c>
      <c r="R49" s="83">
        <v>1000.0</v>
      </c>
      <c r="S49" s="84"/>
      <c r="T49" s="85"/>
      <c r="U49" s="85"/>
      <c r="V49" s="85">
        <v>1000.0</v>
      </c>
      <c r="W49" s="82" t="s">
        <v>81</v>
      </c>
      <c r="X49" s="62"/>
      <c r="Y49" s="62"/>
      <c r="Z49" s="62"/>
      <c r="AA49" s="62"/>
      <c r="AB49" s="62"/>
      <c r="AC49" s="62"/>
      <c r="AD49" s="62"/>
    </row>
    <row r="50" ht="15.0" customHeight="1">
      <c r="A50" s="85" t="s">
        <v>453</v>
      </c>
      <c r="B50" s="85" t="s">
        <v>454</v>
      </c>
      <c r="C50" s="85" t="s">
        <v>52</v>
      </c>
      <c r="D50" s="78" t="s">
        <v>400</v>
      </c>
      <c r="E50" s="85">
        <v>13.0</v>
      </c>
      <c r="F50" s="85">
        <v>1.0</v>
      </c>
      <c r="G50" s="85" t="s">
        <v>401</v>
      </c>
      <c r="H50" s="85" t="s">
        <v>455</v>
      </c>
      <c r="I50" s="85" t="s">
        <v>456</v>
      </c>
      <c r="J50" s="85" t="s">
        <v>457</v>
      </c>
      <c r="K50" s="85" t="s">
        <v>458</v>
      </c>
      <c r="L50" s="85"/>
      <c r="M50" s="85">
        <v>2023.0</v>
      </c>
      <c r="N50" s="85" t="s">
        <v>269</v>
      </c>
      <c r="O50" s="85">
        <v>1.0</v>
      </c>
      <c r="P50" s="85">
        <v>1.0</v>
      </c>
      <c r="Q50" s="85">
        <v>6.0</v>
      </c>
      <c r="R50" s="85">
        <v>1000.0</v>
      </c>
      <c r="S50" s="85"/>
      <c r="T50" s="85"/>
      <c r="U50" s="85"/>
      <c r="V50" s="85">
        <v>1000.0</v>
      </c>
      <c r="W50" s="82" t="s">
        <v>81</v>
      </c>
      <c r="X50" s="62"/>
      <c r="Y50" s="62"/>
      <c r="Z50" s="62"/>
      <c r="AA50" s="62"/>
      <c r="AB50" s="62"/>
      <c r="AC50" s="62"/>
      <c r="AD50" s="62"/>
    </row>
    <row r="51" ht="15.0" customHeight="1">
      <c r="A51" s="85" t="s">
        <v>459</v>
      </c>
      <c r="B51" s="85" t="s">
        <v>460</v>
      </c>
      <c r="C51" s="85" t="s">
        <v>52</v>
      </c>
      <c r="D51" s="85" t="s">
        <v>461</v>
      </c>
      <c r="E51" s="85">
        <v>9.0</v>
      </c>
      <c r="F51" s="85">
        <v>2.0</v>
      </c>
      <c r="G51" s="85" t="s">
        <v>462</v>
      </c>
      <c r="H51" s="85" t="s">
        <v>463</v>
      </c>
      <c r="I51" s="85" t="s">
        <v>464</v>
      </c>
      <c r="J51" s="85" t="s">
        <v>465</v>
      </c>
      <c r="K51" s="85" t="s">
        <v>466</v>
      </c>
      <c r="L51" s="85"/>
      <c r="M51" s="85">
        <v>2023.0</v>
      </c>
      <c r="N51" s="85" t="s">
        <v>269</v>
      </c>
      <c r="O51" s="85">
        <v>1.0</v>
      </c>
      <c r="P51" s="85">
        <v>1.0</v>
      </c>
      <c r="Q51" s="85">
        <v>7.0</v>
      </c>
      <c r="R51" s="85">
        <v>1000.0</v>
      </c>
      <c r="S51" s="85"/>
      <c r="T51" s="85"/>
      <c r="U51" s="85"/>
      <c r="V51" s="85">
        <v>1000.0</v>
      </c>
      <c r="W51" s="82" t="s">
        <v>81</v>
      </c>
      <c r="X51" s="62"/>
      <c r="Y51" s="62"/>
      <c r="Z51" s="62"/>
      <c r="AA51" s="62"/>
      <c r="AB51" s="62"/>
      <c r="AC51" s="62"/>
      <c r="AD51" s="62"/>
    </row>
    <row r="52" ht="15.0" customHeight="1">
      <c r="A52" s="82" t="s">
        <v>467</v>
      </c>
      <c r="B52" s="82" t="s">
        <v>468</v>
      </c>
      <c r="C52" s="82" t="s">
        <v>52</v>
      </c>
      <c r="D52" s="82" t="s">
        <v>469</v>
      </c>
      <c r="E52" s="82">
        <v>9.0</v>
      </c>
      <c r="F52" s="82"/>
      <c r="G52" s="82" t="s">
        <v>470</v>
      </c>
      <c r="H52" s="82" t="s">
        <v>471</v>
      </c>
      <c r="I52" s="82" t="s">
        <v>472</v>
      </c>
      <c r="J52" s="82" t="s">
        <v>473</v>
      </c>
      <c r="K52" s="82" t="s">
        <v>474</v>
      </c>
      <c r="L52" s="86"/>
      <c r="M52" s="82">
        <v>2023.0</v>
      </c>
      <c r="N52" s="82" t="s">
        <v>289</v>
      </c>
      <c r="O52" s="82">
        <v>2.0</v>
      </c>
      <c r="P52" s="83">
        <v>2.0</v>
      </c>
      <c r="Q52" s="83">
        <v>6.0</v>
      </c>
      <c r="R52" s="83">
        <v>300.0</v>
      </c>
      <c r="S52" s="84"/>
      <c r="T52" s="85"/>
      <c r="U52" s="85"/>
      <c r="V52" s="85">
        <v>150.0</v>
      </c>
      <c r="W52" s="82" t="s">
        <v>81</v>
      </c>
      <c r="X52" s="62"/>
      <c r="Y52" s="62"/>
      <c r="Z52" s="62"/>
      <c r="AA52" s="62"/>
      <c r="AB52" s="62"/>
      <c r="AC52" s="62"/>
      <c r="AD52" s="62"/>
    </row>
    <row r="53" ht="15.0" customHeight="1">
      <c r="A53" s="82" t="s">
        <v>475</v>
      </c>
      <c r="B53" s="82" t="s">
        <v>476</v>
      </c>
      <c r="C53" s="82" t="s">
        <v>52</v>
      </c>
      <c r="D53" s="82" t="s">
        <v>477</v>
      </c>
      <c r="E53" s="82">
        <v>27.0</v>
      </c>
      <c r="F53" s="82">
        <v>7.0</v>
      </c>
      <c r="G53" s="82" t="s">
        <v>478</v>
      </c>
      <c r="H53" s="82" t="s">
        <v>479</v>
      </c>
      <c r="I53" s="82" t="s">
        <v>480</v>
      </c>
      <c r="J53" s="82" t="s">
        <v>481</v>
      </c>
      <c r="K53" s="82" t="s">
        <v>482</v>
      </c>
      <c r="L53" s="82" t="s">
        <v>483</v>
      </c>
      <c r="M53" s="82">
        <v>2023.0</v>
      </c>
      <c r="N53" s="82" t="s">
        <v>397</v>
      </c>
      <c r="O53" s="82">
        <v>2.0</v>
      </c>
      <c r="P53" s="82">
        <v>2.0</v>
      </c>
      <c r="Q53" s="82">
        <v>6.0</v>
      </c>
      <c r="R53" s="82">
        <v>500.0</v>
      </c>
      <c r="S53" s="82"/>
      <c r="T53" s="82"/>
      <c r="U53" s="82"/>
      <c r="V53" s="82">
        <v>250.0</v>
      </c>
      <c r="W53" s="82" t="s">
        <v>81</v>
      </c>
      <c r="X53" s="62"/>
      <c r="Y53" s="62"/>
      <c r="Z53" s="62"/>
      <c r="AA53" s="62"/>
      <c r="AB53" s="62"/>
      <c r="AC53" s="62"/>
      <c r="AD53" s="62"/>
    </row>
    <row r="54" ht="15.0" customHeight="1">
      <c r="A54" s="82" t="s">
        <v>484</v>
      </c>
      <c r="B54" s="82" t="s">
        <v>485</v>
      </c>
      <c r="C54" s="82" t="s">
        <v>52</v>
      </c>
      <c r="D54" s="82" t="s">
        <v>441</v>
      </c>
      <c r="E54" s="82">
        <v>49.0</v>
      </c>
      <c r="F54" s="82"/>
      <c r="G54" s="82" t="s">
        <v>442</v>
      </c>
      <c r="H54" s="82" t="s">
        <v>486</v>
      </c>
      <c r="I54" s="82" t="s">
        <v>487</v>
      </c>
      <c r="J54" s="82" t="s">
        <v>488</v>
      </c>
      <c r="K54" s="82" t="s">
        <v>489</v>
      </c>
      <c r="L54" s="82"/>
      <c r="M54" s="82">
        <v>2023.0</v>
      </c>
      <c r="N54" s="82" t="s">
        <v>232</v>
      </c>
      <c r="O54" s="82">
        <v>1.0</v>
      </c>
      <c r="P54" s="83">
        <v>1.0</v>
      </c>
      <c r="Q54" s="83">
        <v>7.0</v>
      </c>
      <c r="R54" s="83">
        <v>1500.0</v>
      </c>
      <c r="S54" s="82"/>
      <c r="T54" s="82"/>
      <c r="U54" s="82"/>
      <c r="V54" s="85">
        <v>1500.0</v>
      </c>
      <c r="W54" s="82" t="s">
        <v>81</v>
      </c>
      <c r="X54" s="62"/>
      <c r="Y54" s="62"/>
      <c r="Z54" s="62"/>
      <c r="AA54" s="62"/>
      <c r="AB54" s="62"/>
      <c r="AC54" s="62"/>
      <c r="AD54" s="62"/>
    </row>
    <row r="55" ht="15.0" customHeight="1">
      <c r="A55" s="82" t="s">
        <v>490</v>
      </c>
      <c r="B55" s="82" t="s">
        <v>491</v>
      </c>
      <c r="C55" s="82" t="s">
        <v>52</v>
      </c>
      <c r="D55" s="82" t="s">
        <v>492</v>
      </c>
      <c r="E55" s="82">
        <v>10.0</v>
      </c>
      <c r="F55" s="82"/>
      <c r="G55" s="82" t="s">
        <v>493</v>
      </c>
      <c r="H55" s="82" t="s">
        <v>494</v>
      </c>
      <c r="I55" s="82" t="s">
        <v>495</v>
      </c>
      <c r="J55" s="82" t="s">
        <v>496</v>
      </c>
      <c r="K55" s="82" t="s">
        <v>497</v>
      </c>
      <c r="L55" s="82"/>
      <c r="M55" s="82">
        <v>2023.0</v>
      </c>
      <c r="N55" s="82" t="s">
        <v>414</v>
      </c>
      <c r="O55" s="82">
        <v>2.0</v>
      </c>
      <c r="P55" s="82">
        <v>2.0</v>
      </c>
      <c r="Q55" s="82">
        <v>7.0</v>
      </c>
      <c r="R55" s="82">
        <v>500.0</v>
      </c>
      <c r="S55" s="82"/>
      <c r="T55" s="82"/>
      <c r="U55" s="82"/>
      <c r="V55" s="82">
        <v>250.0</v>
      </c>
      <c r="W55" s="82" t="s">
        <v>81</v>
      </c>
      <c r="X55" s="62"/>
      <c r="Y55" s="62"/>
      <c r="Z55" s="62"/>
      <c r="AA55" s="62"/>
      <c r="AB55" s="62"/>
      <c r="AC55" s="62"/>
      <c r="AD55" s="62"/>
    </row>
    <row r="56" ht="15.0" customHeight="1">
      <c r="A56" s="82" t="s">
        <v>498</v>
      </c>
      <c r="B56" s="82" t="s">
        <v>499</v>
      </c>
      <c r="C56" s="78" t="s">
        <v>52</v>
      </c>
      <c r="D56" s="82" t="s">
        <v>500</v>
      </c>
      <c r="E56" s="82">
        <v>5.0</v>
      </c>
      <c r="F56" s="82">
        <v>12.0</v>
      </c>
      <c r="G56" s="82" t="s">
        <v>501</v>
      </c>
      <c r="H56" s="82" t="s">
        <v>502</v>
      </c>
      <c r="I56" s="82" t="s">
        <v>503</v>
      </c>
      <c r="J56" s="82" t="s">
        <v>504</v>
      </c>
      <c r="K56" s="82" t="s">
        <v>505</v>
      </c>
      <c r="L56" s="86"/>
      <c r="M56" s="82">
        <v>2023.0</v>
      </c>
      <c r="N56" s="82" t="s">
        <v>289</v>
      </c>
      <c r="O56" s="82">
        <v>1.0</v>
      </c>
      <c r="P56" s="83">
        <v>1.0</v>
      </c>
      <c r="Q56" s="83">
        <v>6.0</v>
      </c>
      <c r="R56" s="83">
        <v>300.0</v>
      </c>
      <c r="S56" s="84"/>
      <c r="T56" s="85"/>
      <c r="U56" s="85"/>
      <c r="V56" s="85">
        <v>300.0</v>
      </c>
      <c r="W56" s="82" t="s">
        <v>81</v>
      </c>
      <c r="X56" s="62"/>
      <c r="Y56" s="62"/>
      <c r="Z56" s="62"/>
      <c r="AA56" s="62"/>
      <c r="AB56" s="62"/>
      <c r="AC56" s="62"/>
      <c r="AD56" s="62"/>
    </row>
    <row r="57" ht="15.0" customHeight="1">
      <c r="A57" s="78" t="s">
        <v>506</v>
      </c>
      <c r="B57" s="78" t="s">
        <v>507</v>
      </c>
      <c r="C57" s="78" t="s">
        <v>52</v>
      </c>
      <c r="D57" s="78" t="s">
        <v>508</v>
      </c>
      <c r="E57" s="78">
        <v>8.0</v>
      </c>
      <c r="F57" s="82">
        <v>2.0</v>
      </c>
      <c r="G57" s="78" t="s">
        <v>509</v>
      </c>
      <c r="H57" s="85" t="s">
        <v>510</v>
      </c>
      <c r="I57" s="85" t="s">
        <v>511</v>
      </c>
      <c r="J57" s="82" t="s">
        <v>512</v>
      </c>
      <c r="K57" s="82" t="s">
        <v>513</v>
      </c>
      <c r="L57" s="86" t="s">
        <v>514</v>
      </c>
      <c r="M57" s="82">
        <v>2023.0</v>
      </c>
      <c r="N57" s="82" t="s">
        <v>269</v>
      </c>
      <c r="O57" s="82">
        <v>2.0</v>
      </c>
      <c r="P57" s="83">
        <v>2.0</v>
      </c>
      <c r="Q57" s="83">
        <v>10.0</v>
      </c>
      <c r="R57" s="83">
        <v>1000.0</v>
      </c>
      <c r="S57" s="84"/>
      <c r="T57" s="85"/>
      <c r="U57" s="85"/>
      <c r="V57" s="85">
        <v>500.0</v>
      </c>
      <c r="W57" s="82" t="s">
        <v>81</v>
      </c>
      <c r="X57" s="62"/>
      <c r="Y57" s="62"/>
      <c r="Z57" s="62"/>
      <c r="AA57" s="62"/>
      <c r="AB57" s="62"/>
      <c r="AC57" s="62"/>
      <c r="AD57" s="62"/>
    </row>
    <row r="58" ht="15.0" customHeight="1">
      <c r="A58" s="78" t="s">
        <v>260</v>
      </c>
      <c r="B58" s="78" t="s">
        <v>261</v>
      </c>
      <c r="C58" s="82" t="s">
        <v>52</v>
      </c>
      <c r="D58" s="78" t="s">
        <v>262</v>
      </c>
      <c r="E58" s="78">
        <v>11.0</v>
      </c>
      <c r="F58" s="82">
        <v>3.0</v>
      </c>
      <c r="G58" s="81" t="s">
        <v>263</v>
      </c>
      <c r="H58" s="79" t="s">
        <v>264</v>
      </c>
      <c r="I58" s="95" t="s">
        <v>265</v>
      </c>
      <c r="J58" s="79" t="s">
        <v>266</v>
      </c>
      <c r="K58" s="82" t="s">
        <v>267</v>
      </c>
      <c r="L58" s="86" t="s">
        <v>268</v>
      </c>
      <c r="M58" s="82">
        <v>2023.0</v>
      </c>
      <c r="N58" s="82" t="s">
        <v>269</v>
      </c>
      <c r="O58" s="82">
        <v>8.0</v>
      </c>
      <c r="P58" s="83">
        <v>6.0</v>
      </c>
      <c r="Q58" s="83">
        <v>8.0</v>
      </c>
      <c r="R58" s="83">
        <v>1000.0</v>
      </c>
      <c r="S58" s="84"/>
      <c r="T58" s="85"/>
      <c r="U58" s="85"/>
      <c r="V58" s="91">
        <f>R58/O58</f>
        <v>125</v>
      </c>
      <c r="W58" s="82" t="s">
        <v>515</v>
      </c>
      <c r="X58" s="62"/>
      <c r="Y58" s="62"/>
      <c r="Z58" s="62"/>
      <c r="AA58" s="62"/>
      <c r="AB58" s="62"/>
      <c r="AC58" s="62"/>
      <c r="AD58" s="62"/>
    </row>
    <row r="59" ht="15.0" customHeight="1">
      <c r="A59" s="82" t="s">
        <v>516</v>
      </c>
      <c r="B59" s="82" t="s">
        <v>517</v>
      </c>
      <c r="C59" s="82" t="s">
        <v>52</v>
      </c>
      <c r="D59" s="82" t="s">
        <v>328</v>
      </c>
      <c r="E59" s="82">
        <v>13.0</v>
      </c>
      <c r="F59" s="82">
        <v>18.0</v>
      </c>
      <c r="G59" s="96" t="s">
        <v>518</v>
      </c>
      <c r="H59" s="79" t="s">
        <v>519</v>
      </c>
      <c r="I59" s="82" t="s">
        <v>331</v>
      </c>
      <c r="J59" s="79" t="s">
        <v>332</v>
      </c>
      <c r="K59" s="82" t="s">
        <v>333</v>
      </c>
      <c r="L59" s="86" t="s">
        <v>520</v>
      </c>
      <c r="M59" s="82">
        <v>2023.0</v>
      </c>
      <c r="N59" s="82" t="s">
        <v>269</v>
      </c>
      <c r="O59" s="82">
        <v>4.0</v>
      </c>
      <c r="P59" s="83">
        <v>4.0</v>
      </c>
      <c r="Q59" s="83">
        <v>5.0</v>
      </c>
      <c r="R59" s="83">
        <v>1000.0</v>
      </c>
      <c r="S59" s="84"/>
      <c r="T59" s="85"/>
      <c r="U59" s="85"/>
      <c r="V59" s="85">
        <f>1000/4</f>
        <v>250</v>
      </c>
      <c r="W59" s="82" t="s">
        <v>515</v>
      </c>
      <c r="X59" s="62"/>
      <c r="Y59" s="62"/>
      <c r="Z59" s="62"/>
      <c r="AA59" s="62"/>
      <c r="AB59" s="62"/>
      <c r="AC59" s="62"/>
      <c r="AD59" s="62"/>
    </row>
    <row r="60" ht="15.0" customHeight="1">
      <c r="A60" s="78" t="s">
        <v>521</v>
      </c>
      <c r="B60" s="78" t="s">
        <v>522</v>
      </c>
      <c r="C60" s="78" t="s">
        <v>52</v>
      </c>
      <c r="D60" s="78" t="s">
        <v>523</v>
      </c>
      <c r="E60" s="78">
        <v>15.0</v>
      </c>
      <c r="F60" s="82">
        <v>8.0</v>
      </c>
      <c r="G60" s="78" t="s">
        <v>226</v>
      </c>
      <c r="H60" s="87" t="s">
        <v>524</v>
      </c>
      <c r="I60" s="87" t="s">
        <v>525</v>
      </c>
      <c r="J60" s="87" t="s">
        <v>525</v>
      </c>
      <c r="K60" s="82" t="s">
        <v>526</v>
      </c>
      <c r="L60" s="86" t="s">
        <v>527</v>
      </c>
      <c r="M60" s="82">
        <v>2023.0</v>
      </c>
      <c r="N60" s="82" t="s">
        <v>232</v>
      </c>
      <c r="O60" s="82">
        <v>2.0</v>
      </c>
      <c r="P60" s="82">
        <v>2.0</v>
      </c>
      <c r="Q60" s="82">
        <v>9.0</v>
      </c>
      <c r="R60" s="83">
        <v>1000.0</v>
      </c>
      <c r="S60" s="84"/>
      <c r="T60" s="82"/>
      <c r="U60" s="82"/>
      <c r="V60" s="82">
        <v>500.0</v>
      </c>
      <c r="W60" s="82" t="s">
        <v>528</v>
      </c>
      <c r="X60" s="62"/>
      <c r="Y60" s="62"/>
      <c r="Z60" s="62"/>
      <c r="AA60" s="62"/>
      <c r="AB60" s="62"/>
      <c r="AC60" s="62"/>
      <c r="AD60" s="62"/>
    </row>
    <row r="61" ht="15.0" customHeight="1">
      <c r="A61" s="78" t="s">
        <v>290</v>
      </c>
      <c r="B61" s="78" t="s">
        <v>291</v>
      </c>
      <c r="C61" s="82" t="s">
        <v>52</v>
      </c>
      <c r="D61" s="78" t="s">
        <v>292</v>
      </c>
      <c r="E61" s="78">
        <v>11.0</v>
      </c>
      <c r="F61" s="82">
        <v>3.0</v>
      </c>
      <c r="G61" s="81" t="s">
        <v>293</v>
      </c>
      <c r="H61" s="79" t="s">
        <v>294</v>
      </c>
      <c r="I61" s="79" t="s">
        <v>265</v>
      </c>
      <c r="J61" s="79" t="s">
        <v>265</v>
      </c>
      <c r="K61" s="78" t="s">
        <v>267</v>
      </c>
      <c r="L61" s="86" t="s">
        <v>268</v>
      </c>
      <c r="M61" s="82">
        <v>2023.0</v>
      </c>
      <c r="N61" s="82" t="s">
        <v>269</v>
      </c>
      <c r="O61" s="82">
        <v>8.0</v>
      </c>
      <c r="P61" s="83">
        <v>6.0</v>
      </c>
      <c r="Q61" s="83">
        <v>8.0</v>
      </c>
      <c r="R61" s="83">
        <v>1000.0</v>
      </c>
      <c r="S61" s="84"/>
      <c r="T61" s="85"/>
      <c r="U61" s="85"/>
      <c r="V61" s="91">
        <v>125.0</v>
      </c>
      <c r="W61" s="82" t="s">
        <v>528</v>
      </c>
      <c r="X61" s="62"/>
      <c r="Y61" s="62"/>
      <c r="Z61" s="62"/>
      <c r="AA61" s="62"/>
      <c r="AB61" s="62"/>
      <c r="AC61" s="62"/>
      <c r="AD61" s="62"/>
    </row>
    <row r="62" ht="15.0" customHeight="1">
      <c r="A62" s="78" t="s">
        <v>529</v>
      </c>
      <c r="B62" s="78" t="s">
        <v>530</v>
      </c>
      <c r="C62" s="82" t="s">
        <v>52</v>
      </c>
      <c r="D62" s="78" t="s">
        <v>351</v>
      </c>
      <c r="E62" s="78">
        <v>14.0</v>
      </c>
      <c r="F62" s="78">
        <v>2.0</v>
      </c>
      <c r="G62" s="78" t="s">
        <v>531</v>
      </c>
      <c r="H62" s="79" t="s">
        <v>353</v>
      </c>
      <c r="I62" s="79" t="s">
        <v>354</v>
      </c>
      <c r="J62" s="79" t="s">
        <v>355</v>
      </c>
      <c r="K62" s="78" t="s">
        <v>356</v>
      </c>
      <c r="L62" s="81" t="s">
        <v>532</v>
      </c>
      <c r="M62" s="82">
        <v>2023.0</v>
      </c>
      <c r="N62" s="82" t="s">
        <v>269</v>
      </c>
      <c r="O62" s="82">
        <v>6.0</v>
      </c>
      <c r="P62" s="83">
        <v>3.0</v>
      </c>
      <c r="Q62" s="83">
        <v>6.0</v>
      </c>
      <c r="R62" s="83">
        <v>1000.0</v>
      </c>
      <c r="S62" s="84"/>
      <c r="T62" s="85"/>
      <c r="U62" s="85"/>
      <c r="V62" s="91">
        <f t="shared" ref="V62:V63" si="6">R62/O62</f>
        <v>166.6666667</v>
      </c>
      <c r="W62" s="82" t="s">
        <v>533</v>
      </c>
      <c r="X62" s="62"/>
      <c r="Y62" s="62"/>
      <c r="Z62" s="62"/>
      <c r="AA62" s="62"/>
      <c r="AB62" s="62"/>
      <c r="AC62" s="62"/>
      <c r="AD62" s="62"/>
    </row>
    <row r="63" ht="15.0" customHeight="1">
      <c r="A63" s="78" t="s">
        <v>260</v>
      </c>
      <c r="B63" s="78" t="s">
        <v>261</v>
      </c>
      <c r="C63" s="82" t="s">
        <v>52</v>
      </c>
      <c r="D63" s="78" t="s">
        <v>262</v>
      </c>
      <c r="E63" s="78">
        <v>11.0</v>
      </c>
      <c r="F63" s="82">
        <v>3.0</v>
      </c>
      <c r="G63" s="81" t="s">
        <v>263</v>
      </c>
      <c r="H63" s="79" t="s">
        <v>264</v>
      </c>
      <c r="I63" s="95" t="s">
        <v>265</v>
      </c>
      <c r="J63" s="79" t="s">
        <v>266</v>
      </c>
      <c r="K63" s="82" t="s">
        <v>267</v>
      </c>
      <c r="L63" s="86" t="s">
        <v>268</v>
      </c>
      <c r="M63" s="82">
        <v>2023.0</v>
      </c>
      <c r="N63" s="82" t="s">
        <v>269</v>
      </c>
      <c r="O63" s="82">
        <v>8.0</v>
      </c>
      <c r="P63" s="83">
        <v>6.0</v>
      </c>
      <c r="Q63" s="83">
        <v>8.0</v>
      </c>
      <c r="R63" s="83">
        <v>1000.0</v>
      </c>
      <c r="S63" s="84"/>
      <c r="T63" s="85"/>
      <c r="U63" s="85"/>
      <c r="V63" s="91">
        <f t="shared" si="6"/>
        <v>125</v>
      </c>
      <c r="W63" s="82" t="s">
        <v>533</v>
      </c>
      <c r="X63" s="62"/>
      <c r="Y63" s="62"/>
      <c r="Z63" s="62"/>
      <c r="AA63" s="62"/>
      <c r="AB63" s="62"/>
      <c r="AC63" s="62"/>
      <c r="AD63" s="62"/>
    </row>
    <row r="64" ht="15.0" customHeight="1">
      <c r="A64" s="82" t="s">
        <v>516</v>
      </c>
      <c r="B64" s="82" t="s">
        <v>517</v>
      </c>
      <c r="C64" s="82" t="s">
        <v>52</v>
      </c>
      <c r="D64" s="82" t="s">
        <v>328</v>
      </c>
      <c r="E64" s="82">
        <v>13.0</v>
      </c>
      <c r="F64" s="82">
        <v>18.0</v>
      </c>
      <c r="G64" s="96" t="s">
        <v>518</v>
      </c>
      <c r="H64" s="79" t="s">
        <v>519</v>
      </c>
      <c r="I64" s="82" t="s">
        <v>331</v>
      </c>
      <c r="J64" s="79" t="s">
        <v>332</v>
      </c>
      <c r="K64" s="82" t="s">
        <v>333</v>
      </c>
      <c r="L64" s="86" t="s">
        <v>520</v>
      </c>
      <c r="M64" s="82">
        <v>2023.0</v>
      </c>
      <c r="N64" s="82" t="s">
        <v>269</v>
      </c>
      <c r="O64" s="82">
        <v>4.0</v>
      </c>
      <c r="P64" s="83">
        <v>4.0</v>
      </c>
      <c r="Q64" s="83">
        <v>5.0</v>
      </c>
      <c r="R64" s="83">
        <v>1000.0</v>
      </c>
      <c r="S64" s="84"/>
      <c r="T64" s="85"/>
      <c r="U64" s="85"/>
      <c r="V64" s="85">
        <f>1000/4</f>
        <v>250</v>
      </c>
      <c r="W64" s="82" t="s">
        <v>533</v>
      </c>
      <c r="X64" s="62"/>
      <c r="Y64" s="62"/>
      <c r="Z64" s="62"/>
      <c r="AA64" s="62"/>
      <c r="AB64" s="62"/>
      <c r="AC64" s="62"/>
      <c r="AD64" s="62"/>
    </row>
    <row r="65" ht="15.0" customHeight="1">
      <c r="A65" s="78" t="s">
        <v>534</v>
      </c>
      <c r="B65" s="78" t="s">
        <v>535</v>
      </c>
      <c r="C65" s="78" t="s">
        <v>52</v>
      </c>
      <c r="D65" s="78" t="s">
        <v>536</v>
      </c>
      <c r="E65" s="78">
        <v>15.0</v>
      </c>
      <c r="F65" s="82">
        <v>1.0</v>
      </c>
      <c r="G65" s="78" t="s">
        <v>320</v>
      </c>
      <c r="H65" s="85" t="s">
        <v>537</v>
      </c>
      <c r="I65" s="85" t="s">
        <v>538</v>
      </c>
      <c r="J65" s="82" t="s">
        <v>539</v>
      </c>
      <c r="K65" s="82" t="s">
        <v>540</v>
      </c>
      <c r="L65" s="86" t="s">
        <v>541</v>
      </c>
      <c r="M65" s="82">
        <v>2023.0</v>
      </c>
      <c r="N65" s="82" t="s">
        <v>269</v>
      </c>
      <c r="O65" s="82">
        <v>3.0</v>
      </c>
      <c r="P65" s="83">
        <v>1.0</v>
      </c>
      <c r="Q65" s="83">
        <v>3.0</v>
      </c>
      <c r="R65" s="83">
        <v>1000.0</v>
      </c>
      <c r="S65" s="84"/>
      <c r="T65" s="85"/>
      <c r="U65" s="85"/>
      <c r="V65" s="85">
        <f>R65/Q65</f>
        <v>333.3333333</v>
      </c>
      <c r="W65" s="82" t="s">
        <v>77</v>
      </c>
      <c r="X65" s="62"/>
      <c r="Y65" s="62"/>
      <c r="Z65" s="62"/>
      <c r="AA65" s="62"/>
      <c r="AB65" s="62"/>
      <c r="AC65" s="62"/>
      <c r="AD65" s="62"/>
    </row>
    <row r="66" ht="15.0" customHeight="1">
      <c r="A66" s="78" t="s">
        <v>301</v>
      </c>
      <c r="B66" s="78" t="s">
        <v>302</v>
      </c>
      <c r="C66" s="78"/>
      <c r="D66" s="78" t="s">
        <v>303</v>
      </c>
      <c r="E66" s="78">
        <v>2540.0</v>
      </c>
      <c r="F66" s="82">
        <v>1.0</v>
      </c>
      <c r="G66" s="78" t="s">
        <v>304</v>
      </c>
      <c r="H66" s="79" t="s">
        <v>305</v>
      </c>
      <c r="I66" s="79" t="s">
        <v>306</v>
      </c>
      <c r="J66" s="82" t="s">
        <v>307</v>
      </c>
      <c r="K66" s="82"/>
      <c r="L66" s="86" t="s">
        <v>308</v>
      </c>
      <c r="M66" s="82">
        <v>2023.0</v>
      </c>
      <c r="N66" s="82"/>
      <c r="O66" s="82">
        <v>3.0</v>
      </c>
      <c r="P66" s="83">
        <v>2.0</v>
      </c>
      <c r="Q66" s="83">
        <v>3.0</v>
      </c>
      <c r="R66" s="83">
        <v>200.0</v>
      </c>
      <c r="S66" s="84" t="s">
        <v>309</v>
      </c>
      <c r="T66" s="85" t="s">
        <v>310</v>
      </c>
      <c r="U66" s="85"/>
      <c r="V66" s="82">
        <f t="shared" ref="V66:V67" si="7">R66/O66</f>
        <v>66.66666667</v>
      </c>
      <c r="W66" s="82" t="s">
        <v>542</v>
      </c>
      <c r="X66" s="62"/>
      <c r="Y66" s="62"/>
      <c r="Z66" s="62"/>
      <c r="AA66" s="62"/>
      <c r="AB66" s="62"/>
      <c r="AC66" s="62"/>
      <c r="AD66" s="62"/>
    </row>
    <row r="67" ht="15.0" customHeight="1">
      <c r="A67" s="78" t="s">
        <v>311</v>
      </c>
      <c r="B67" s="78" t="s">
        <v>312</v>
      </c>
      <c r="C67" s="78"/>
      <c r="D67" s="78" t="s">
        <v>303</v>
      </c>
      <c r="E67" s="78">
        <v>2540.0</v>
      </c>
      <c r="F67" s="78"/>
      <c r="G67" s="78" t="s">
        <v>313</v>
      </c>
      <c r="H67" s="79" t="s">
        <v>314</v>
      </c>
      <c r="I67" s="79" t="s">
        <v>306</v>
      </c>
      <c r="J67" s="78" t="s">
        <v>315</v>
      </c>
      <c r="K67" s="78"/>
      <c r="L67" s="81" t="s">
        <v>316</v>
      </c>
      <c r="M67" s="82">
        <v>2023.0</v>
      </c>
      <c r="N67" s="82"/>
      <c r="O67" s="82">
        <v>2.0</v>
      </c>
      <c r="P67" s="83">
        <v>2.0</v>
      </c>
      <c r="Q67" s="83">
        <v>2.0</v>
      </c>
      <c r="R67" s="83">
        <v>200.0</v>
      </c>
      <c r="S67" s="84" t="s">
        <v>309</v>
      </c>
      <c r="T67" s="85" t="s">
        <v>310</v>
      </c>
      <c r="U67" s="85"/>
      <c r="V67" s="82">
        <f t="shared" si="7"/>
        <v>100</v>
      </c>
      <c r="W67" s="82" t="s">
        <v>542</v>
      </c>
      <c r="X67" s="62"/>
      <c r="Y67" s="62"/>
      <c r="Z67" s="62"/>
      <c r="AA67" s="62"/>
      <c r="AB67" s="62"/>
      <c r="AC67" s="62"/>
      <c r="AD67" s="62"/>
    </row>
    <row r="68" ht="15.0" customHeight="1">
      <c r="A68" s="97" t="s">
        <v>467</v>
      </c>
      <c r="B68" s="82" t="s">
        <v>543</v>
      </c>
      <c r="C68" s="78" t="s">
        <v>52</v>
      </c>
      <c r="D68" s="82" t="s">
        <v>544</v>
      </c>
      <c r="E68" s="78">
        <v>9.0</v>
      </c>
      <c r="F68" s="78" t="s">
        <v>545</v>
      </c>
      <c r="G68" s="78"/>
      <c r="H68" s="79" t="s">
        <v>546</v>
      </c>
      <c r="I68" s="79" t="s">
        <v>472</v>
      </c>
      <c r="J68" s="79" t="s">
        <v>547</v>
      </c>
      <c r="K68" s="82" t="s">
        <v>548</v>
      </c>
      <c r="L68" s="81"/>
      <c r="M68" s="82">
        <v>2023.0</v>
      </c>
      <c r="N68" s="82" t="s">
        <v>289</v>
      </c>
      <c r="O68" s="82">
        <v>2.0</v>
      </c>
      <c r="P68" s="83">
        <v>2.0</v>
      </c>
      <c r="Q68" s="83">
        <v>7.0</v>
      </c>
      <c r="R68" s="83">
        <v>500.0</v>
      </c>
      <c r="S68" s="84"/>
      <c r="T68" s="85"/>
      <c r="U68" s="85"/>
      <c r="V68" s="82">
        <v>250.0</v>
      </c>
      <c r="W68" s="82" t="s">
        <v>74</v>
      </c>
      <c r="X68" s="62"/>
      <c r="Y68" s="62"/>
      <c r="Z68" s="62"/>
      <c r="AA68" s="62"/>
      <c r="AB68" s="62"/>
      <c r="AC68" s="62"/>
      <c r="AD68" s="62"/>
    </row>
    <row r="69" ht="15.0" customHeight="1">
      <c r="A69" s="78" t="s">
        <v>549</v>
      </c>
      <c r="B69" s="78" t="s">
        <v>550</v>
      </c>
      <c r="C69" s="82" t="s">
        <v>52</v>
      </c>
      <c r="D69" s="78" t="s">
        <v>319</v>
      </c>
      <c r="E69" s="78">
        <v>15.0</v>
      </c>
      <c r="F69" s="82">
        <v>20.0</v>
      </c>
      <c r="G69" s="81" t="s">
        <v>320</v>
      </c>
      <c r="H69" s="87" t="s">
        <v>551</v>
      </c>
      <c r="I69" s="79" t="s">
        <v>322</v>
      </c>
      <c r="J69" s="79" t="s">
        <v>323</v>
      </c>
      <c r="K69" s="82" t="s">
        <v>552</v>
      </c>
      <c r="L69" s="86"/>
      <c r="M69" s="82">
        <v>2023.0</v>
      </c>
      <c r="N69" s="82" t="s">
        <v>269</v>
      </c>
      <c r="O69" s="82">
        <v>3.0</v>
      </c>
      <c r="P69" s="83">
        <v>3.0</v>
      </c>
      <c r="Q69" s="83">
        <v>3.0</v>
      </c>
      <c r="R69" s="83">
        <v>1000.0</v>
      </c>
      <c r="S69" s="84"/>
      <c r="T69" s="85"/>
      <c r="U69" s="85"/>
      <c r="V69" s="91">
        <v>333.33</v>
      </c>
      <c r="W69" s="82" t="s">
        <v>89</v>
      </c>
      <c r="X69" s="62"/>
      <c r="Y69" s="62"/>
      <c r="Z69" s="62"/>
      <c r="AA69" s="62"/>
      <c r="AB69" s="62"/>
      <c r="AC69" s="62"/>
      <c r="AD69" s="62"/>
    </row>
    <row r="70" ht="15.0" customHeight="1">
      <c r="A70" s="78" t="s">
        <v>516</v>
      </c>
      <c r="B70" s="78" t="s">
        <v>553</v>
      </c>
      <c r="C70" s="82" t="s">
        <v>52</v>
      </c>
      <c r="D70" s="78" t="s">
        <v>554</v>
      </c>
      <c r="E70" s="78">
        <v>13.0</v>
      </c>
      <c r="F70" s="78">
        <v>18.0</v>
      </c>
      <c r="G70" s="81" t="s">
        <v>329</v>
      </c>
      <c r="H70" s="79" t="s">
        <v>519</v>
      </c>
      <c r="I70" s="79" t="s">
        <v>331</v>
      </c>
      <c r="J70" s="80" t="s">
        <v>332</v>
      </c>
      <c r="K70" s="78" t="s">
        <v>333</v>
      </c>
      <c r="L70" s="81"/>
      <c r="M70" s="82">
        <v>2023.0</v>
      </c>
      <c r="N70" s="82" t="s">
        <v>269</v>
      </c>
      <c r="O70" s="82">
        <v>4.0</v>
      </c>
      <c r="P70" s="83">
        <v>4.0</v>
      </c>
      <c r="Q70" s="83">
        <v>5.0</v>
      </c>
      <c r="R70" s="83">
        <v>1000.0</v>
      </c>
      <c r="S70" s="84"/>
      <c r="T70" s="85"/>
      <c r="U70" s="85"/>
      <c r="V70" s="91">
        <f>1000/4/2</f>
        <v>125</v>
      </c>
      <c r="W70" s="82" t="s">
        <v>89</v>
      </c>
      <c r="X70" s="62"/>
      <c r="Y70" s="62"/>
      <c r="Z70" s="62"/>
      <c r="AA70" s="62"/>
      <c r="AB70" s="62"/>
      <c r="AC70" s="62"/>
      <c r="AD70" s="62"/>
    </row>
    <row r="71" ht="15.0" customHeight="1">
      <c r="A71" s="78" t="s">
        <v>555</v>
      </c>
      <c r="B71" s="78" t="s">
        <v>556</v>
      </c>
      <c r="C71" s="78" t="s">
        <v>182</v>
      </c>
      <c r="D71" s="78" t="s">
        <v>557</v>
      </c>
      <c r="E71" s="78" t="s">
        <v>558</v>
      </c>
      <c r="F71" s="82" t="s">
        <v>559</v>
      </c>
      <c r="G71" s="78" t="s">
        <v>560</v>
      </c>
      <c r="H71" s="79" t="s">
        <v>561</v>
      </c>
      <c r="I71" s="85" t="s">
        <v>562</v>
      </c>
      <c r="J71" s="82" t="s">
        <v>563</v>
      </c>
      <c r="K71" s="82"/>
      <c r="L71" s="86" t="s">
        <v>564</v>
      </c>
      <c r="M71" s="82" t="s">
        <v>565</v>
      </c>
      <c r="N71" s="82" t="s">
        <v>259</v>
      </c>
      <c r="O71" s="82">
        <v>2.0</v>
      </c>
      <c r="P71" s="83">
        <v>2.0</v>
      </c>
      <c r="Q71" s="83">
        <v>2.0</v>
      </c>
      <c r="R71" s="83">
        <v>300.0</v>
      </c>
      <c r="S71" s="84"/>
      <c r="T71" s="85"/>
      <c r="U71" s="85"/>
      <c r="V71" s="85">
        <v>150.0</v>
      </c>
      <c r="W71" s="82" t="s">
        <v>566</v>
      </c>
      <c r="X71" s="62"/>
      <c r="Y71" s="62"/>
      <c r="Z71" s="62"/>
      <c r="AA71" s="62"/>
      <c r="AB71" s="62"/>
      <c r="AC71" s="62"/>
      <c r="AD71" s="62"/>
    </row>
    <row r="72" ht="15.0" customHeight="1">
      <c r="A72" s="82" t="s">
        <v>567</v>
      </c>
      <c r="B72" s="82" t="s">
        <v>568</v>
      </c>
      <c r="C72" s="82" t="s">
        <v>182</v>
      </c>
      <c r="D72" s="82" t="s">
        <v>569</v>
      </c>
      <c r="E72" s="82" t="s">
        <v>570</v>
      </c>
      <c r="F72" s="82" t="s">
        <v>571</v>
      </c>
      <c r="G72" s="78" t="s">
        <v>560</v>
      </c>
      <c r="H72" s="79" t="s">
        <v>572</v>
      </c>
      <c r="I72" s="82" t="s">
        <v>573</v>
      </c>
      <c r="J72" s="82" t="s">
        <v>574</v>
      </c>
      <c r="K72" s="82"/>
      <c r="L72" s="86" t="s">
        <v>575</v>
      </c>
      <c r="M72" s="82" t="s">
        <v>576</v>
      </c>
      <c r="N72" s="82" t="s">
        <v>259</v>
      </c>
      <c r="O72" s="82">
        <v>2.0</v>
      </c>
      <c r="P72" s="83">
        <v>2.0</v>
      </c>
      <c r="Q72" s="83">
        <v>2.0</v>
      </c>
      <c r="R72" s="83">
        <v>300.0</v>
      </c>
      <c r="S72" s="84"/>
      <c r="T72" s="85"/>
      <c r="U72" s="85"/>
      <c r="V72" s="85">
        <v>150.0</v>
      </c>
      <c r="W72" s="82" t="s">
        <v>566</v>
      </c>
      <c r="X72" s="62"/>
      <c r="Y72" s="62"/>
      <c r="Z72" s="62"/>
      <c r="AA72" s="62"/>
      <c r="AB72" s="62"/>
      <c r="AC72" s="62"/>
      <c r="AD72" s="62"/>
    </row>
    <row r="73" ht="15.0" customHeight="1">
      <c r="A73" s="82" t="s">
        <v>577</v>
      </c>
      <c r="B73" s="78" t="s">
        <v>556</v>
      </c>
      <c r="C73" s="82" t="s">
        <v>182</v>
      </c>
      <c r="D73" s="82" t="s">
        <v>578</v>
      </c>
      <c r="E73" s="82" t="s">
        <v>570</v>
      </c>
      <c r="F73" s="82" t="s">
        <v>571</v>
      </c>
      <c r="G73" s="78" t="s">
        <v>560</v>
      </c>
      <c r="H73" s="82" t="s">
        <v>579</v>
      </c>
      <c r="I73" s="82" t="s">
        <v>580</v>
      </c>
      <c r="J73" s="82" t="s">
        <v>581</v>
      </c>
      <c r="K73" s="82"/>
      <c r="L73" s="86" t="s">
        <v>582</v>
      </c>
      <c r="M73" s="82" t="s">
        <v>583</v>
      </c>
      <c r="N73" s="82" t="s">
        <v>259</v>
      </c>
      <c r="O73" s="82">
        <v>2.0</v>
      </c>
      <c r="P73" s="83">
        <v>2.0</v>
      </c>
      <c r="Q73" s="83">
        <v>2.0</v>
      </c>
      <c r="R73" s="83">
        <v>300.0</v>
      </c>
      <c r="S73" s="84"/>
      <c r="T73" s="85"/>
      <c r="U73" s="85"/>
      <c r="V73" s="85">
        <v>150.0</v>
      </c>
      <c r="W73" s="82" t="s">
        <v>566</v>
      </c>
      <c r="X73" s="62"/>
      <c r="Y73" s="62"/>
      <c r="Z73" s="62"/>
      <c r="AA73" s="62"/>
      <c r="AB73" s="62"/>
      <c r="AC73" s="62"/>
      <c r="AD73" s="62"/>
    </row>
    <row r="74" ht="15.0" customHeight="1">
      <c r="A74" s="78" t="s">
        <v>584</v>
      </c>
      <c r="B74" s="78" t="s">
        <v>585</v>
      </c>
      <c r="C74" s="78" t="s">
        <v>94</v>
      </c>
      <c r="D74" s="78" t="s">
        <v>536</v>
      </c>
      <c r="E74" s="78">
        <v>15.0</v>
      </c>
      <c r="F74" s="78">
        <v>7.0</v>
      </c>
      <c r="G74" s="78" t="s">
        <v>320</v>
      </c>
      <c r="H74" s="79" t="s">
        <v>586</v>
      </c>
      <c r="I74" s="79" t="s">
        <v>587</v>
      </c>
      <c r="J74" s="98" t="s">
        <v>588</v>
      </c>
      <c r="K74" s="99" t="s">
        <v>589</v>
      </c>
      <c r="L74" s="81"/>
      <c r="M74" s="82">
        <v>2023.0</v>
      </c>
      <c r="N74" s="82" t="s">
        <v>269</v>
      </c>
      <c r="O74" s="82">
        <v>2.0</v>
      </c>
      <c r="P74" s="82">
        <v>2.0</v>
      </c>
      <c r="Q74" s="83">
        <v>2.0</v>
      </c>
      <c r="R74" s="83">
        <v>1000.0</v>
      </c>
      <c r="S74" s="83"/>
      <c r="T74" s="84"/>
      <c r="U74" s="85"/>
      <c r="V74" s="85">
        <v>500.0</v>
      </c>
      <c r="W74" s="82" t="s">
        <v>590</v>
      </c>
      <c r="X74" s="62"/>
      <c r="Y74" s="62"/>
      <c r="Z74" s="62"/>
      <c r="AA74" s="62"/>
      <c r="AB74" s="62"/>
      <c r="AC74" s="62"/>
      <c r="AD74" s="62"/>
    </row>
    <row r="75" ht="15.0" customHeight="1">
      <c r="A75" s="78" t="s">
        <v>591</v>
      </c>
      <c r="B75" s="78" t="s">
        <v>592</v>
      </c>
      <c r="C75" s="78" t="s">
        <v>94</v>
      </c>
      <c r="D75" s="78" t="s">
        <v>593</v>
      </c>
      <c r="E75" s="78">
        <v>128.0</v>
      </c>
      <c r="F75" s="78">
        <v>4.0</v>
      </c>
      <c r="G75" s="78" t="s">
        <v>594</v>
      </c>
      <c r="H75" s="79" t="s">
        <v>595</v>
      </c>
      <c r="I75" s="79" t="s">
        <v>596</v>
      </c>
      <c r="J75" s="99" t="s">
        <v>597</v>
      </c>
      <c r="K75" s="99" t="s">
        <v>598</v>
      </c>
      <c r="L75" s="81" t="s">
        <v>599</v>
      </c>
      <c r="M75" s="82">
        <v>2023.0</v>
      </c>
      <c r="N75" s="82" t="s">
        <v>269</v>
      </c>
      <c r="O75" s="82">
        <v>4.0</v>
      </c>
      <c r="P75" s="83">
        <v>4.0</v>
      </c>
      <c r="Q75" s="83">
        <v>4.0</v>
      </c>
      <c r="R75" s="83">
        <v>1000.0</v>
      </c>
      <c r="S75" s="84"/>
      <c r="T75" s="85"/>
      <c r="U75" s="85"/>
      <c r="V75" s="85">
        <v>250.0</v>
      </c>
      <c r="W75" s="82" t="s">
        <v>590</v>
      </c>
      <c r="X75" s="62"/>
      <c r="Y75" s="62"/>
      <c r="Z75" s="62"/>
      <c r="AA75" s="62"/>
      <c r="AB75" s="62"/>
      <c r="AC75" s="62"/>
      <c r="AD75" s="62"/>
    </row>
    <row r="76" ht="15.0" customHeight="1">
      <c r="A76" s="82" t="s">
        <v>600</v>
      </c>
      <c r="B76" s="82" t="s">
        <v>601</v>
      </c>
      <c r="C76" s="78" t="s">
        <v>94</v>
      </c>
      <c r="D76" s="82" t="s">
        <v>602</v>
      </c>
      <c r="E76" s="82">
        <v>16.0</v>
      </c>
      <c r="F76" s="82">
        <v>3.0</v>
      </c>
      <c r="G76" s="82" t="s">
        <v>603</v>
      </c>
      <c r="H76" s="79" t="s">
        <v>604</v>
      </c>
      <c r="I76" s="79" t="s">
        <v>605</v>
      </c>
      <c r="J76" s="83" t="s">
        <v>606</v>
      </c>
      <c r="K76" s="83" t="s">
        <v>607</v>
      </c>
      <c r="L76" s="86"/>
      <c r="M76" s="82">
        <v>2023.0</v>
      </c>
      <c r="N76" s="82" t="s">
        <v>414</v>
      </c>
      <c r="O76" s="82">
        <v>3.0</v>
      </c>
      <c r="P76" s="83">
        <v>3.0</v>
      </c>
      <c r="Q76" s="83">
        <v>3.0</v>
      </c>
      <c r="R76" s="83">
        <v>500.0</v>
      </c>
      <c r="S76" s="84"/>
      <c r="T76" s="85"/>
      <c r="U76" s="85"/>
      <c r="V76" s="85">
        <v>167.0</v>
      </c>
      <c r="W76" s="82" t="s">
        <v>590</v>
      </c>
      <c r="X76" s="62"/>
      <c r="Y76" s="62"/>
      <c r="Z76" s="62"/>
      <c r="AA76" s="62"/>
      <c r="AB76" s="62"/>
      <c r="AC76" s="62"/>
      <c r="AD76" s="62"/>
    </row>
    <row r="77" ht="15.0" customHeight="1">
      <c r="A77" s="78" t="s">
        <v>608</v>
      </c>
      <c r="B77" s="78" t="s">
        <v>609</v>
      </c>
      <c r="C77" s="78" t="s">
        <v>94</v>
      </c>
      <c r="D77" s="78" t="s">
        <v>610</v>
      </c>
      <c r="E77" s="78">
        <v>12.0</v>
      </c>
      <c r="F77" s="82">
        <v>20.0</v>
      </c>
      <c r="G77" s="78" t="s">
        <v>611</v>
      </c>
      <c r="H77" s="79" t="s">
        <v>612</v>
      </c>
      <c r="I77" s="79" t="s">
        <v>613</v>
      </c>
      <c r="J77" s="79" t="s">
        <v>614</v>
      </c>
      <c r="K77" s="82" t="s">
        <v>615</v>
      </c>
      <c r="L77" s="86"/>
      <c r="M77" s="82">
        <v>2023.0</v>
      </c>
      <c r="N77" s="82" t="s">
        <v>232</v>
      </c>
      <c r="O77" s="82">
        <v>7.0</v>
      </c>
      <c r="P77" s="83">
        <v>7.0</v>
      </c>
      <c r="Q77" s="83">
        <v>8.0</v>
      </c>
      <c r="R77" s="83">
        <v>1500.0</v>
      </c>
      <c r="S77" s="84"/>
      <c r="T77" s="85"/>
      <c r="U77" s="85"/>
      <c r="V77" s="98">
        <f t="shared" ref="V77:V78" si="8">R77/P77</f>
        <v>214.2857143</v>
      </c>
      <c r="W77" s="82" t="s">
        <v>616</v>
      </c>
      <c r="X77" s="62"/>
      <c r="Y77" s="62"/>
      <c r="Z77" s="62"/>
      <c r="AA77" s="62"/>
      <c r="AB77" s="62"/>
      <c r="AC77" s="62"/>
      <c r="AD77" s="62"/>
    </row>
    <row r="78" ht="15.0" customHeight="1">
      <c r="A78" s="78" t="s">
        <v>600</v>
      </c>
      <c r="B78" s="78" t="s">
        <v>617</v>
      </c>
      <c r="C78" s="78" t="s">
        <v>94</v>
      </c>
      <c r="D78" s="78" t="s">
        <v>618</v>
      </c>
      <c r="E78" s="78">
        <v>16.0</v>
      </c>
      <c r="F78" s="78">
        <v>3.0</v>
      </c>
      <c r="G78" s="78" t="s">
        <v>603</v>
      </c>
      <c r="H78" s="79" t="s">
        <v>619</v>
      </c>
      <c r="I78" s="79" t="s">
        <v>620</v>
      </c>
      <c r="J78" s="80" t="s">
        <v>621</v>
      </c>
      <c r="K78" s="78" t="s">
        <v>607</v>
      </c>
      <c r="L78" s="81"/>
      <c r="M78" s="82">
        <v>2023.0</v>
      </c>
      <c r="N78" s="82" t="s">
        <v>414</v>
      </c>
      <c r="O78" s="82">
        <v>3.0</v>
      </c>
      <c r="P78" s="83">
        <v>3.0</v>
      </c>
      <c r="Q78" s="83">
        <v>3.0</v>
      </c>
      <c r="R78" s="83">
        <v>500.0</v>
      </c>
      <c r="S78" s="84"/>
      <c r="T78" s="85"/>
      <c r="U78" s="85"/>
      <c r="V78" s="98">
        <f t="shared" si="8"/>
        <v>166.6666667</v>
      </c>
      <c r="W78" s="82" t="s">
        <v>616</v>
      </c>
      <c r="X78" s="62"/>
      <c r="Y78" s="62"/>
      <c r="Z78" s="62"/>
      <c r="AA78" s="62"/>
      <c r="AB78" s="62"/>
      <c r="AC78" s="62"/>
      <c r="AD78" s="62"/>
    </row>
    <row r="79" ht="15.0" customHeight="1">
      <c r="A79" s="78" t="s">
        <v>591</v>
      </c>
      <c r="B79" s="78" t="s">
        <v>622</v>
      </c>
      <c r="C79" s="78" t="s">
        <v>94</v>
      </c>
      <c r="D79" s="78" t="s">
        <v>593</v>
      </c>
      <c r="E79" s="78">
        <v>128.0</v>
      </c>
      <c r="F79" s="78">
        <v>4.0</v>
      </c>
      <c r="G79" s="78" t="s">
        <v>623</v>
      </c>
      <c r="H79" s="79" t="s">
        <v>624</v>
      </c>
      <c r="I79" s="79" t="s">
        <v>625</v>
      </c>
      <c r="J79" s="85" t="s">
        <v>597</v>
      </c>
      <c r="K79" s="78" t="s">
        <v>598</v>
      </c>
      <c r="L79" s="81" t="s">
        <v>599</v>
      </c>
      <c r="M79" s="82">
        <v>2023.0</v>
      </c>
      <c r="N79" s="82" t="s">
        <v>269</v>
      </c>
      <c r="O79" s="82">
        <v>4.0</v>
      </c>
      <c r="P79" s="82">
        <v>4.0</v>
      </c>
      <c r="Q79" s="83">
        <v>4.0</v>
      </c>
      <c r="R79" s="83">
        <v>1000.0</v>
      </c>
      <c r="S79" s="83"/>
      <c r="T79" s="84"/>
      <c r="U79" s="85"/>
      <c r="V79" s="85">
        <f t="shared" ref="V79:V81" si="9">R79/O79</f>
        <v>250</v>
      </c>
      <c r="W79" s="82" t="s">
        <v>626</v>
      </c>
      <c r="X79" s="62"/>
      <c r="Y79" s="62"/>
      <c r="Z79" s="62"/>
      <c r="AA79" s="62"/>
      <c r="AB79" s="62"/>
      <c r="AC79" s="62"/>
      <c r="AD79" s="62"/>
    </row>
    <row r="80" ht="15.0" customHeight="1">
      <c r="A80" s="78" t="s">
        <v>627</v>
      </c>
      <c r="B80" s="78" t="s">
        <v>628</v>
      </c>
      <c r="C80" s="78" t="s">
        <v>94</v>
      </c>
      <c r="D80" s="78" t="s">
        <v>629</v>
      </c>
      <c r="E80" s="78">
        <v>18.0</v>
      </c>
      <c r="F80" s="78">
        <v>2.0</v>
      </c>
      <c r="G80" s="78" t="s">
        <v>630</v>
      </c>
      <c r="H80" s="79" t="s">
        <v>631</v>
      </c>
      <c r="I80" s="79" t="s">
        <v>632</v>
      </c>
      <c r="J80" s="78" t="s">
        <v>633</v>
      </c>
      <c r="K80" s="78" t="s">
        <v>634</v>
      </c>
      <c r="L80" s="81" t="s">
        <v>635</v>
      </c>
      <c r="M80" s="82">
        <v>2023.0</v>
      </c>
      <c r="N80" s="82" t="s">
        <v>289</v>
      </c>
      <c r="O80" s="82">
        <v>3.0</v>
      </c>
      <c r="P80" s="83">
        <v>3.0</v>
      </c>
      <c r="Q80" s="83">
        <v>3.0</v>
      </c>
      <c r="R80" s="83">
        <v>300.0</v>
      </c>
      <c r="S80" s="84"/>
      <c r="T80" s="85"/>
      <c r="U80" s="85"/>
      <c r="V80" s="85">
        <f t="shared" si="9"/>
        <v>100</v>
      </c>
      <c r="W80" s="82" t="s">
        <v>626</v>
      </c>
      <c r="X80" s="62"/>
      <c r="Y80" s="62"/>
      <c r="Z80" s="62"/>
      <c r="AA80" s="62"/>
      <c r="AB80" s="62"/>
      <c r="AC80" s="62"/>
      <c r="AD80" s="62"/>
    </row>
    <row r="81" ht="15.0" customHeight="1">
      <c r="A81" s="82" t="s">
        <v>636</v>
      </c>
      <c r="B81" s="82" t="s">
        <v>637</v>
      </c>
      <c r="C81" s="85" t="s">
        <v>147</v>
      </c>
      <c r="D81" s="82" t="s">
        <v>638</v>
      </c>
      <c r="E81" s="82">
        <v>126.0</v>
      </c>
      <c r="F81" s="82" t="s">
        <v>639</v>
      </c>
      <c r="G81" s="82" t="s">
        <v>640</v>
      </c>
      <c r="H81" s="79" t="s">
        <v>641</v>
      </c>
      <c r="I81" s="79" t="s">
        <v>642</v>
      </c>
      <c r="J81" s="82" t="s">
        <v>643</v>
      </c>
      <c r="K81" s="82" t="s">
        <v>644</v>
      </c>
      <c r="L81" s="86"/>
      <c r="M81" s="82">
        <v>2023.0</v>
      </c>
      <c r="N81" s="82" t="s">
        <v>645</v>
      </c>
      <c r="O81" s="82">
        <v>4.0</v>
      </c>
      <c r="P81" s="83">
        <v>4.0</v>
      </c>
      <c r="Q81" s="83">
        <v>5.0</v>
      </c>
      <c r="R81" s="83">
        <v>1500.0</v>
      </c>
      <c r="S81" s="84"/>
      <c r="T81" s="85"/>
      <c r="U81" s="85"/>
      <c r="V81" s="85">
        <f t="shared" si="9"/>
        <v>375</v>
      </c>
      <c r="W81" s="82" t="s">
        <v>646</v>
      </c>
      <c r="X81" s="62"/>
      <c r="Y81" s="62"/>
      <c r="Z81" s="62"/>
      <c r="AA81" s="62"/>
      <c r="AB81" s="62"/>
      <c r="AC81" s="62"/>
      <c r="AD81" s="62"/>
    </row>
    <row r="82" ht="15.0" customHeight="1">
      <c r="A82" s="78" t="s">
        <v>647</v>
      </c>
      <c r="B82" s="78" t="s">
        <v>648</v>
      </c>
      <c r="C82" s="78" t="s">
        <v>94</v>
      </c>
      <c r="D82" s="78" t="s">
        <v>649</v>
      </c>
      <c r="E82" s="78">
        <v>13.0</v>
      </c>
      <c r="F82" s="82">
        <v>12.0</v>
      </c>
      <c r="G82" s="78" t="s">
        <v>650</v>
      </c>
      <c r="H82" s="79" t="s">
        <v>651</v>
      </c>
      <c r="I82" s="79" t="s">
        <v>652</v>
      </c>
      <c r="J82" s="82" t="s">
        <v>653</v>
      </c>
      <c r="K82" s="82" t="s">
        <v>654</v>
      </c>
      <c r="L82" s="86"/>
      <c r="M82" s="82">
        <v>2023.0</v>
      </c>
      <c r="N82" s="82"/>
      <c r="O82" s="82">
        <v>6.0</v>
      </c>
      <c r="P82" s="83">
        <v>2.0</v>
      </c>
      <c r="Q82" s="83">
        <v>6.0</v>
      </c>
      <c r="R82" s="83">
        <v>300.0</v>
      </c>
      <c r="S82" s="84"/>
      <c r="T82" s="85"/>
      <c r="U82" s="85"/>
      <c r="V82" s="85">
        <v>50.0</v>
      </c>
      <c r="W82" s="82" t="s">
        <v>655</v>
      </c>
      <c r="X82" s="62"/>
      <c r="Y82" s="62"/>
      <c r="Z82" s="62"/>
      <c r="AA82" s="62"/>
      <c r="AB82" s="62"/>
      <c r="AC82" s="62"/>
      <c r="AD82" s="62"/>
    </row>
    <row r="83" ht="15.0" customHeight="1">
      <c r="A83" s="78" t="s">
        <v>656</v>
      </c>
      <c r="B83" s="78" t="s">
        <v>657</v>
      </c>
      <c r="C83" s="78" t="s">
        <v>94</v>
      </c>
      <c r="D83" s="78" t="s">
        <v>225</v>
      </c>
      <c r="E83" s="78">
        <v>16.0</v>
      </c>
      <c r="F83" s="82">
        <v>1644.0</v>
      </c>
      <c r="G83" s="78" t="s">
        <v>226</v>
      </c>
      <c r="H83" s="82" t="s">
        <v>658</v>
      </c>
      <c r="I83" s="79" t="s">
        <v>228</v>
      </c>
      <c r="J83" s="82" t="s">
        <v>659</v>
      </c>
      <c r="K83" s="82" t="s">
        <v>230</v>
      </c>
      <c r="L83" s="86"/>
      <c r="M83" s="82">
        <v>2023.0</v>
      </c>
      <c r="N83" s="82" t="s">
        <v>660</v>
      </c>
      <c r="O83" s="82">
        <v>5.0</v>
      </c>
      <c r="P83" s="82">
        <v>5.0</v>
      </c>
      <c r="Q83" s="83">
        <v>7.0</v>
      </c>
      <c r="R83" s="83">
        <v>1500.0</v>
      </c>
      <c r="S83" s="83"/>
      <c r="T83" s="84"/>
      <c r="U83" s="85"/>
      <c r="V83" s="85">
        <v>300.0</v>
      </c>
      <c r="W83" s="82" t="s">
        <v>661</v>
      </c>
      <c r="X83" s="62"/>
      <c r="Y83" s="62"/>
      <c r="Z83" s="62"/>
      <c r="AA83" s="62"/>
      <c r="AB83" s="62"/>
      <c r="AC83" s="62"/>
      <c r="AD83" s="62"/>
    </row>
    <row r="84" ht="15.0" customHeight="1">
      <c r="A84" s="78" t="s">
        <v>662</v>
      </c>
      <c r="B84" s="78" t="s">
        <v>663</v>
      </c>
      <c r="C84" s="78" t="s">
        <v>182</v>
      </c>
      <c r="D84" s="78" t="s">
        <v>664</v>
      </c>
      <c r="E84" s="78">
        <v>129.0</v>
      </c>
      <c r="F84" s="82"/>
      <c r="G84" s="78" t="s">
        <v>665</v>
      </c>
      <c r="H84" s="79" t="s">
        <v>666</v>
      </c>
      <c r="I84" s="79" t="s">
        <v>667</v>
      </c>
      <c r="J84" s="79" t="s">
        <v>668</v>
      </c>
      <c r="K84" s="82" t="s">
        <v>669</v>
      </c>
      <c r="L84" s="86" t="s">
        <v>670</v>
      </c>
      <c r="M84" s="82">
        <v>2023.0</v>
      </c>
      <c r="N84" s="82" t="s">
        <v>232</v>
      </c>
      <c r="O84" s="82">
        <v>3.0</v>
      </c>
      <c r="P84" s="83">
        <v>2.0</v>
      </c>
      <c r="Q84" s="83">
        <v>4.0</v>
      </c>
      <c r="R84" s="83">
        <v>1500.0</v>
      </c>
      <c r="S84" s="83"/>
      <c r="T84" s="83"/>
      <c r="U84" s="83"/>
      <c r="V84" s="84">
        <v>500.0</v>
      </c>
      <c r="W84" s="82" t="s">
        <v>671</v>
      </c>
      <c r="X84" s="62"/>
      <c r="Y84" s="62"/>
      <c r="Z84" s="62"/>
      <c r="AA84" s="62"/>
      <c r="AB84" s="62"/>
      <c r="AC84" s="62"/>
      <c r="AD84" s="62"/>
    </row>
    <row r="85" ht="15.0" customHeight="1">
      <c r="A85" s="78" t="s">
        <v>672</v>
      </c>
      <c r="B85" s="78" t="s">
        <v>673</v>
      </c>
      <c r="C85" s="78" t="s">
        <v>94</v>
      </c>
      <c r="D85" s="78"/>
      <c r="E85" s="78"/>
      <c r="F85" s="82"/>
      <c r="G85" s="78"/>
      <c r="H85" s="79" t="s">
        <v>674</v>
      </c>
      <c r="I85" s="79" t="s">
        <v>675</v>
      </c>
      <c r="J85" s="79" t="s">
        <v>676</v>
      </c>
      <c r="K85" s="82"/>
      <c r="L85" s="86" t="s">
        <v>677</v>
      </c>
      <c r="M85" s="82">
        <v>2023.0</v>
      </c>
      <c r="N85" s="82"/>
      <c r="O85" s="82">
        <v>4.0</v>
      </c>
      <c r="P85" s="83">
        <v>4.0</v>
      </c>
      <c r="Q85" s="83">
        <v>5.0</v>
      </c>
      <c r="R85" s="83">
        <v>200.0</v>
      </c>
      <c r="S85" s="84" t="s">
        <v>678</v>
      </c>
      <c r="T85" s="85" t="s">
        <v>679</v>
      </c>
      <c r="U85" s="85" t="s">
        <v>680</v>
      </c>
      <c r="V85" s="85">
        <f>R85/O85</f>
        <v>50</v>
      </c>
      <c r="W85" s="82" t="s">
        <v>681</v>
      </c>
      <c r="X85" s="62"/>
      <c r="Y85" s="62"/>
      <c r="Z85" s="62"/>
      <c r="AA85" s="62"/>
      <c r="AB85" s="62"/>
      <c r="AC85" s="62"/>
      <c r="AD85" s="62"/>
    </row>
    <row r="86" ht="15.0" customHeight="1">
      <c r="A86" s="78" t="s">
        <v>682</v>
      </c>
      <c r="B86" s="78" t="s">
        <v>683</v>
      </c>
      <c r="C86" s="78" t="s">
        <v>94</v>
      </c>
      <c r="D86" s="78" t="s">
        <v>235</v>
      </c>
      <c r="E86" s="78">
        <v>15.0</v>
      </c>
      <c r="F86" s="82">
        <v>2.0</v>
      </c>
      <c r="G86" s="78" t="s">
        <v>236</v>
      </c>
      <c r="H86" s="79" t="s">
        <v>684</v>
      </c>
      <c r="I86" s="79" t="s">
        <v>685</v>
      </c>
      <c r="J86" s="82" t="s">
        <v>686</v>
      </c>
      <c r="K86" s="82" t="s">
        <v>687</v>
      </c>
      <c r="L86" s="86" t="s">
        <v>688</v>
      </c>
      <c r="M86" s="82">
        <v>2023.0</v>
      </c>
      <c r="N86" s="82" t="s">
        <v>232</v>
      </c>
      <c r="O86" s="82">
        <v>3.0</v>
      </c>
      <c r="P86" s="83">
        <v>1.0</v>
      </c>
      <c r="Q86" s="83">
        <v>3.0</v>
      </c>
      <c r="R86" s="83">
        <v>1500.0</v>
      </c>
      <c r="S86" s="84" t="s">
        <v>257</v>
      </c>
      <c r="T86" s="85" t="s">
        <v>257</v>
      </c>
      <c r="U86" s="85" t="s">
        <v>257</v>
      </c>
      <c r="V86" s="85">
        <f>1500/3</f>
        <v>500</v>
      </c>
      <c r="W86" s="82" t="s">
        <v>689</v>
      </c>
      <c r="X86" s="62"/>
      <c r="Y86" s="62"/>
      <c r="Z86" s="62"/>
      <c r="AA86" s="62"/>
      <c r="AB86" s="62"/>
      <c r="AC86" s="62"/>
      <c r="AD86" s="62"/>
    </row>
    <row r="87" ht="15.0" customHeight="1">
      <c r="A87" s="78" t="s">
        <v>690</v>
      </c>
      <c r="B87" s="78" t="s">
        <v>691</v>
      </c>
      <c r="C87" s="78" t="s">
        <v>94</v>
      </c>
      <c r="D87" s="78" t="s">
        <v>692</v>
      </c>
      <c r="E87" s="78">
        <v>74.0</v>
      </c>
      <c r="F87" s="78">
        <v>1.0</v>
      </c>
      <c r="G87" s="78" t="s">
        <v>693</v>
      </c>
      <c r="H87" s="79" t="s">
        <v>694</v>
      </c>
      <c r="I87" s="79" t="s">
        <v>695</v>
      </c>
      <c r="J87" s="78" t="s">
        <v>696</v>
      </c>
      <c r="K87" s="78" t="s">
        <v>697</v>
      </c>
      <c r="L87" s="81" t="s">
        <v>698</v>
      </c>
      <c r="M87" s="82">
        <v>2023.0</v>
      </c>
      <c r="N87" s="82" t="s">
        <v>414</v>
      </c>
      <c r="O87" s="82">
        <v>6.0</v>
      </c>
      <c r="P87" s="83">
        <v>1.0</v>
      </c>
      <c r="Q87" s="83">
        <v>7.0</v>
      </c>
      <c r="R87" s="83">
        <v>500.0</v>
      </c>
      <c r="S87" s="84" t="s">
        <v>257</v>
      </c>
      <c r="T87" s="85" t="s">
        <v>257</v>
      </c>
      <c r="U87" s="85" t="s">
        <v>257</v>
      </c>
      <c r="V87" s="85">
        <f>500/6</f>
        <v>83.33333333</v>
      </c>
      <c r="W87" s="82" t="s">
        <v>689</v>
      </c>
      <c r="X87" s="62"/>
      <c r="Y87" s="62"/>
      <c r="Z87" s="62"/>
      <c r="AA87" s="62"/>
      <c r="AB87" s="62"/>
      <c r="AC87" s="62"/>
      <c r="AD87" s="62"/>
    </row>
    <row r="88" ht="15.0" customHeight="1">
      <c r="A88" s="82" t="s">
        <v>699</v>
      </c>
      <c r="B88" s="82" t="s">
        <v>700</v>
      </c>
      <c r="C88" s="82" t="s">
        <v>94</v>
      </c>
      <c r="D88" s="82" t="s">
        <v>701</v>
      </c>
      <c r="E88" s="82">
        <v>11.0</v>
      </c>
      <c r="F88" s="82">
        <v>3.0</v>
      </c>
      <c r="G88" s="82" t="s">
        <v>702</v>
      </c>
      <c r="H88" s="79" t="s">
        <v>703</v>
      </c>
      <c r="I88" s="79" t="s">
        <v>704</v>
      </c>
      <c r="J88" s="82" t="s">
        <v>705</v>
      </c>
      <c r="K88" s="82" t="s">
        <v>706</v>
      </c>
      <c r="L88" s="86" t="s">
        <v>707</v>
      </c>
      <c r="M88" s="82">
        <v>2023.0</v>
      </c>
      <c r="N88" s="82" t="s">
        <v>269</v>
      </c>
      <c r="O88" s="82">
        <v>5.0</v>
      </c>
      <c r="P88" s="83">
        <v>1.0</v>
      </c>
      <c r="Q88" s="83">
        <v>6.0</v>
      </c>
      <c r="R88" s="83">
        <v>1000.0</v>
      </c>
      <c r="S88" s="84" t="s">
        <v>257</v>
      </c>
      <c r="T88" s="85" t="s">
        <v>257</v>
      </c>
      <c r="U88" s="85" t="s">
        <v>257</v>
      </c>
      <c r="V88" s="85">
        <f>1000/6</f>
        <v>166.6666667</v>
      </c>
      <c r="W88" s="82" t="s">
        <v>689</v>
      </c>
      <c r="X88" s="62"/>
      <c r="Y88" s="62"/>
      <c r="Z88" s="62"/>
      <c r="AA88" s="62"/>
      <c r="AB88" s="62"/>
      <c r="AC88" s="62"/>
      <c r="AD88" s="62"/>
    </row>
    <row r="89" ht="15.0" customHeight="1">
      <c r="A89" s="82" t="s">
        <v>708</v>
      </c>
      <c r="B89" s="82" t="s">
        <v>709</v>
      </c>
      <c r="C89" s="82" t="s">
        <v>94</v>
      </c>
      <c r="D89" s="82" t="s">
        <v>710</v>
      </c>
      <c r="E89" s="82">
        <v>13.0</v>
      </c>
      <c r="F89" s="82">
        <v>8.0</v>
      </c>
      <c r="G89" s="82" t="s">
        <v>711</v>
      </c>
      <c r="H89" s="79" t="s">
        <v>712</v>
      </c>
      <c r="I89" s="79" t="s">
        <v>713</v>
      </c>
      <c r="J89" s="82" t="s">
        <v>714</v>
      </c>
      <c r="K89" s="82" t="s">
        <v>715</v>
      </c>
      <c r="L89" s="86" t="s">
        <v>716</v>
      </c>
      <c r="M89" s="82">
        <v>2023.0</v>
      </c>
      <c r="N89" s="82" t="s">
        <v>269</v>
      </c>
      <c r="O89" s="82">
        <v>4.0</v>
      </c>
      <c r="P89" s="83">
        <v>1.0</v>
      </c>
      <c r="Q89" s="83">
        <v>4.0</v>
      </c>
      <c r="R89" s="83">
        <v>1000.0</v>
      </c>
      <c r="S89" s="84"/>
      <c r="T89" s="85"/>
      <c r="U89" s="85"/>
      <c r="V89" s="85">
        <f>1000/4</f>
        <v>250</v>
      </c>
      <c r="W89" s="82" t="s">
        <v>689</v>
      </c>
      <c r="X89" s="62"/>
      <c r="Y89" s="62"/>
      <c r="Z89" s="62"/>
      <c r="AA89" s="62"/>
      <c r="AB89" s="62"/>
      <c r="AC89" s="62"/>
      <c r="AD89" s="62"/>
    </row>
    <row r="90" ht="15.0" customHeight="1">
      <c r="A90" s="82" t="s">
        <v>717</v>
      </c>
      <c r="B90" s="82" t="s">
        <v>718</v>
      </c>
      <c r="C90" s="82" t="s">
        <v>94</v>
      </c>
      <c r="D90" s="82" t="s">
        <v>710</v>
      </c>
      <c r="E90" s="82">
        <v>13.0</v>
      </c>
      <c r="F90" s="82">
        <v>6.0</v>
      </c>
      <c r="G90" s="82" t="s">
        <v>711</v>
      </c>
      <c r="H90" s="79" t="s">
        <v>719</v>
      </c>
      <c r="I90" s="79" t="s">
        <v>720</v>
      </c>
      <c r="J90" s="82" t="s">
        <v>721</v>
      </c>
      <c r="K90" s="82" t="s">
        <v>722</v>
      </c>
      <c r="L90" s="86" t="s">
        <v>723</v>
      </c>
      <c r="M90" s="82">
        <v>2023.0</v>
      </c>
      <c r="N90" s="82" t="s">
        <v>269</v>
      </c>
      <c r="O90" s="82">
        <v>3.0</v>
      </c>
      <c r="P90" s="83">
        <v>1.0</v>
      </c>
      <c r="Q90" s="83">
        <v>3.0</v>
      </c>
      <c r="R90" s="83">
        <v>1000.0</v>
      </c>
      <c r="S90" s="84"/>
      <c r="T90" s="85"/>
      <c r="U90" s="85"/>
      <c r="V90" s="85">
        <f t="shared" ref="V90:V91" si="10">1000/3</f>
        <v>333.3333333</v>
      </c>
      <c r="W90" s="82" t="s">
        <v>689</v>
      </c>
      <c r="X90" s="62"/>
      <c r="Y90" s="62"/>
      <c r="Z90" s="62"/>
      <c r="AA90" s="62"/>
      <c r="AB90" s="62"/>
      <c r="AC90" s="62"/>
      <c r="AD90" s="62"/>
    </row>
    <row r="91" ht="15.0" customHeight="1">
      <c r="A91" s="82" t="s">
        <v>724</v>
      </c>
      <c r="B91" s="82" t="s">
        <v>725</v>
      </c>
      <c r="C91" s="82" t="s">
        <v>94</v>
      </c>
      <c r="D91" s="82" t="s">
        <v>710</v>
      </c>
      <c r="E91" s="82">
        <v>13.0</v>
      </c>
      <c r="F91" s="82">
        <v>4.0</v>
      </c>
      <c r="G91" s="82" t="s">
        <v>711</v>
      </c>
      <c r="H91" s="79" t="s">
        <v>726</v>
      </c>
      <c r="I91" s="79" t="s">
        <v>727</v>
      </c>
      <c r="J91" s="82" t="s">
        <v>728</v>
      </c>
      <c r="K91" s="82" t="s">
        <v>729</v>
      </c>
      <c r="L91" s="86" t="s">
        <v>723</v>
      </c>
      <c r="M91" s="82">
        <v>2023.0</v>
      </c>
      <c r="N91" s="82" t="s">
        <v>269</v>
      </c>
      <c r="O91" s="82">
        <v>3.0</v>
      </c>
      <c r="P91" s="83">
        <v>1.0</v>
      </c>
      <c r="Q91" s="83">
        <v>3.0</v>
      </c>
      <c r="R91" s="83">
        <v>1000.0</v>
      </c>
      <c r="S91" s="84"/>
      <c r="T91" s="85"/>
      <c r="U91" s="85"/>
      <c r="V91" s="85">
        <f t="shared" si="10"/>
        <v>333.3333333</v>
      </c>
      <c r="W91" s="82" t="s">
        <v>689</v>
      </c>
      <c r="X91" s="62"/>
      <c r="Y91" s="62"/>
      <c r="Z91" s="62"/>
      <c r="AA91" s="62"/>
      <c r="AB91" s="62"/>
      <c r="AC91" s="62"/>
      <c r="AD91" s="62"/>
    </row>
    <row r="92" ht="15.0" customHeight="1">
      <c r="A92" s="82" t="s">
        <v>730</v>
      </c>
      <c r="B92" s="82" t="s">
        <v>731</v>
      </c>
      <c r="C92" s="82" t="s">
        <v>94</v>
      </c>
      <c r="D92" s="82" t="s">
        <v>225</v>
      </c>
      <c r="E92" s="82">
        <v>16.0</v>
      </c>
      <c r="F92" s="82">
        <v>4.0</v>
      </c>
      <c r="G92" s="82" t="s">
        <v>226</v>
      </c>
      <c r="H92" s="79" t="s">
        <v>732</v>
      </c>
      <c r="I92" s="79" t="s">
        <v>733</v>
      </c>
      <c r="J92" s="82" t="s">
        <v>734</v>
      </c>
      <c r="K92" s="82" t="s">
        <v>735</v>
      </c>
      <c r="L92" s="86" t="s">
        <v>736</v>
      </c>
      <c r="M92" s="82">
        <v>2023.0</v>
      </c>
      <c r="N92" s="82" t="s">
        <v>269</v>
      </c>
      <c r="O92" s="82">
        <v>1.0</v>
      </c>
      <c r="P92" s="83">
        <v>1.0</v>
      </c>
      <c r="Q92" s="83">
        <v>8.0</v>
      </c>
      <c r="R92" s="83">
        <v>1000.0</v>
      </c>
      <c r="S92" s="84"/>
      <c r="T92" s="85"/>
      <c r="U92" s="85"/>
      <c r="V92" s="85">
        <f>1000/1</f>
        <v>1000</v>
      </c>
      <c r="W92" s="82" t="s">
        <v>689</v>
      </c>
      <c r="X92" s="62"/>
      <c r="Y92" s="62"/>
      <c r="Z92" s="62"/>
      <c r="AA92" s="62"/>
      <c r="AB92" s="62"/>
      <c r="AC92" s="62"/>
      <c r="AD92" s="62"/>
    </row>
    <row r="93" ht="15.0" customHeight="1">
      <c r="A93" s="82" t="s">
        <v>737</v>
      </c>
      <c r="B93" s="82" t="s">
        <v>738</v>
      </c>
      <c r="C93" s="82" t="s">
        <v>94</v>
      </c>
      <c r="D93" s="82" t="s">
        <v>225</v>
      </c>
      <c r="E93" s="82">
        <v>16.0</v>
      </c>
      <c r="F93" s="82">
        <v>4.0</v>
      </c>
      <c r="G93" s="82" t="s">
        <v>226</v>
      </c>
      <c r="H93" s="79" t="s">
        <v>739</v>
      </c>
      <c r="I93" s="79" t="s">
        <v>740</v>
      </c>
      <c r="J93" s="82" t="s">
        <v>741</v>
      </c>
      <c r="K93" s="82" t="s">
        <v>742</v>
      </c>
      <c r="L93" s="86" t="s">
        <v>743</v>
      </c>
      <c r="M93" s="82">
        <v>2023.0</v>
      </c>
      <c r="N93" s="82" t="s">
        <v>269</v>
      </c>
      <c r="O93" s="82">
        <v>3.0</v>
      </c>
      <c r="P93" s="83">
        <v>1.0</v>
      </c>
      <c r="Q93" s="83">
        <v>11.0</v>
      </c>
      <c r="R93" s="83">
        <v>1000.0</v>
      </c>
      <c r="S93" s="84" t="s">
        <v>257</v>
      </c>
      <c r="T93" s="85" t="s">
        <v>257</v>
      </c>
      <c r="U93" s="85" t="s">
        <v>257</v>
      </c>
      <c r="V93" s="85">
        <f>1000/3</f>
        <v>333.3333333</v>
      </c>
      <c r="W93" s="82" t="s">
        <v>689</v>
      </c>
      <c r="X93" s="62"/>
      <c r="Y93" s="62"/>
      <c r="Z93" s="62"/>
      <c r="AA93" s="62"/>
      <c r="AB93" s="62"/>
      <c r="AC93" s="62"/>
      <c r="AD93" s="62"/>
    </row>
    <row r="94" ht="15.0" customHeight="1">
      <c r="A94" s="82" t="s">
        <v>744</v>
      </c>
      <c r="B94" s="82" t="s">
        <v>745</v>
      </c>
      <c r="C94" s="82" t="s">
        <v>94</v>
      </c>
      <c r="D94" s="82" t="s">
        <v>303</v>
      </c>
      <c r="E94" s="82">
        <v>2540.0</v>
      </c>
      <c r="F94" s="82">
        <v>13023.0</v>
      </c>
      <c r="G94" s="82" t="s">
        <v>746</v>
      </c>
      <c r="H94" s="79" t="s">
        <v>747</v>
      </c>
      <c r="I94" s="79" t="s">
        <v>748</v>
      </c>
      <c r="J94" s="82" t="s">
        <v>749</v>
      </c>
      <c r="K94" s="82" t="s">
        <v>257</v>
      </c>
      <c r="L94" s="86" t="s">
        <v>750</v>
      </c>
      <c r="M94" s="82">
        <v>2023.0</v>
      </c>
      <c r="N94" s="82" t="s">
        <v>259</v>
      </c>
      <c r="O94" s="82">
        <v>2.0</v>
      </c>
      <c r="P94" s="83">
        <v>1.0</v>
      </c>
      <c r="Q94" s="83">
        <v>2.0</v>
      </c>
      <c r="R94" s="83">
        <v>300.0</v>
      </c>
      <c r="S94" s="84" t="s">
        <v>257</v>
      </c>
      <c r="T94" s="85" t="s">
        <v>257</v>
      </c>
      <c r="U94" s="85" t="s">
        <v>257</v>
      </c>
      <c r="V94" s="85">
        <f>300/2</f>
        <v>150</v>
      </c>
      <c r="W94" s="82" t="s">
        <v>689</v>
      </c>
      <c r="X94" s="62"/>
      <c r="Y94" s="62"/>
      <c r="Z94" s="62"/>
      <c r="AA94" s="62"/>
      <c r="AB94" s="62"/>
      <c r="AC94" s="62"/>
      <c r="AD94" s="62"/>
    </row>
    <row r="95" ht="15.0" customHeight="1">
      <c r="A95" s="82" t="s">
        <v>751</v>
      </c>
      <c r="B95" s="82" t="s">
        <v>752</v>
      </c>
      <c r="C95" s="82" t="s">
        <v>94</v>
      </c>
      <c r="D95" s="82" t="s">
        <v>319</v>
      </c>
      <c r="E95" s="82">
        <v>15.0</v>
      </c>
      <c r="F95" s="82">
        <v>11.0</v>
      </c>
      <c r="G95" s="82" t="s">
        <v>320</v>
      </c>
      <c r="H95" s="79" t="s">
        <v>753</v>
      </c>
      <c r="I95" s="79" t="s">
        <v>754</v>
      </c>
      <c r="J95" s="82" t="s">
        <v>755</v>
      </c>
      <c r="K95" s="82" t="s">
        <v>756</v>
      </c>
      <c r="L95" s="86" t="s">
        <v>757</v>
      </c>
      <c r="M95" s="82">
        <v>2023.0</v>
      </c>
      <c r="N95" s="82" t="s">
        <v>269</v>
      </c>
      <c r="O95" s="82">
        <v>6.0</v>
      </c>
      <c r="P95" s="83">
        <v>1.0</v>
      </c>
      <c r="Q95" s="83">
        <v>6.0</v>
      </c>
      <c r="R95" s="83">
        <v>1000.0</v>
      </c>
      <c r="S95" s="84" t="s">
        <v>257</v>
      </c>
      <c r="T95" s="85" t="s">
        <v>257</v>
      </c>
      <c r="U95" s="85" t="s">
        <v>257</v>
      </c>
      <c r="V95" s="85">
        <f>1000/6</f>
        <v>166.6666667</v>
      </c>
      <c r="W95" s="82" t="s">
        <v>689</v>
      </c>
      <c r="X95" s="62"/>
      <c r="Y95" s="62"/>
      <c r="Z95" s="62"/>
      <c r="AA95" s="62"/>
      <c r="AB95" s="62"/>
      <c r="AC95" s="62"/>
      <c r="AD95" s="62"/>
    </row>
    <row r="96" ht="15.0" customHeight="1">
      <c r="A96" s="82" t="s">
        <v>758</v>
      </c>
      <c r="B96" s="82" t="s">
        <v>759</v>
      </c>
      <c r="C96" s="82" t="s">
        <v>94</v>
      </c>
      <c r="D96" s="82" t="s">
        <v>760</v>
      </c>
      <c r="E96" s="82">
        <v>2023.0</v>
      </c>
      <c r="F96" s="82">
        <v>13.0</v>
      </c>
      <c r="G96" s="82" t="s">
        <v>761</v>
      </c>
      <c r="H96" s="79" t="s">
        <v>762</v>
      </c>
      <c r="I96" s="79" t="s">
        <v>763</v>
      </c>
      <c r="J96" s="82" t="s">
        <v>764</v>
      </c>
      <c r="K96" s="82" t="s">
        <v>257</v>
      </c>
      <c r="L96" s="86" t="s">
        <v>765</v>
      </c>
      <c r="M96" s="82">
        <v>2023.0</v>
      </c>
      <c r="N96" s="82" t="s">
        <v>259</v>
      </c>
      <c r="O96" s="82">
        <v>2.0</v>
      </c>
      <c r="P96" s="83">
        <v>1.0</v>
      </c>
      <c r="Q96" s="83">
        <v>2.0</v>
      </c>
      <c r="R96" s="83">
        <v>300.0</v>
      </c>
      <c r="S96" s="84" t="s">
        <v>257</v>
      </c>
      <c r="T96" s="85" t="s">
        <v>257</v>
      </c>
      <c r="U96" s="85" t="s">
        <v>257</v>
      </c>
      <c r="V96" s="85">
        <f>(300/2)/2</f>
        <v>75</v>
      </c>
      <c r="W96" s="82" t="s">
        <v>689</v>
      </c>
      <c r="X96" s="62"/>
      <c r="Y96" s="62"/>
      <c r="Z96" s="62"/>
      <c r="AA96" s="62"/>
      <c r="AB96" s="62"/>
      <c r="AC96" s="62"/>
      <c r="AD96" s="62"/>
    </row>
    <row r="97" ht="15.0" customHeight="1">
      <c r="A97" s="82" t="s">
        <v>766</v>
      </c>
      <c r="B97" s="82" t="s">
        <v>767</v>
      </c>
      <c r="C97" s="82" t="s">
        <v>94</v>
      </c>
      <c r="D97" s="82" t="s">
        <v>760</v>
      </c>
      <c r="E97" s="82">
        <v>2023.0</v>
      </c>
      <c r="F97" s="82">
        <v>13.0</v>
      </c>
      <c r="G97" s="82" t="s">
        <v>761</v>
      </c>
      <c r="H97" s="79" t="s">
        <v>768</v>
      </c>
      <c r="I97" s="79" t="s">
        <v>769</v>
      </c>
      <c r="J97" s="82" t="s">
        <v>770</v>
      </c>
      <c r="K97" s="82" t="s">
        <v>257</v>
      </c>
      <c r="L97" s="86" t="s">
        <v>771</v>
      </c>
      <c r="M97" s="82">
        <v>2023.0</v>
      </c>
      <c r="N97" s="82" t="s">
        <v>259</v>
      </c>
      <c r="O97" s="82">
        <v>3.0</v>
      </c>
      <c r="P97" s="83">
        <v>1.0</v>
      </c>
      <c r="Q97" s="83">
        <v>4.0</v>
      </c>
      <c r="R97" s="83">
        <v>300.0</v>
      </c>
      <c r="S97" s="84" t="s">
        <v>257</v>
      </c>
      <c r="T97" s="85" t="s">
        <v>257</v>
      </c>
      <c r="U97" s="85" t="s">
        <v>257</v>
      </c>
      <c r="V97" s="85">
        <f>(300/3)/2</f>
        <v>50</v>
      </c>
      <c r="W97" s="82" t="s">
        <v>689</v>
      </c>
      <c r="X97" s="62"/>
      <c r="Y97" s="62"/>
      <c r="Z97" s="62"/>
      <c r="AA97" s="62"/>
      <c r="AB97" s="62"/>
      <c r="AC97" s="62"/>
      <c r="AD97" s="62"/>
    </row>
    <row r="98" ht="15.0" customHeight="1">
      <c r="A98" s="82" t="s">
        <v>772</v>
      </c>
      <c r="B98" s="82" t="s">
        <v>773</v>
      </c>
      <c r="C98" s="82" t="s">
        <v>94</v>
      </c>
      <c r="D98" s="82" t="s">
        <v>760</v>
      </c>
      <c r="E98" s="82">
        <v>2023.0</v>
      </c>
      <c r="F98" s="82">
        <v>14.0</v>
      </c>
      <c r="G98" s="82" t="s">
        <v>761</v>
      </c>
      <c r="H98" s="79" t="s">
        <v>774</v>
      </c>
      <c r="I98" s="79" t="s">
        <v>775</v>
      </c>
      <c r="J98" s="82" t="s">
        <v>776</v>
      </c>
      <c r="K98" s="82" t="s">
        <v>257</v>
      </c>
      <c r="L98" s="86" t="s">
        <v>777</v>
      </c>
      <c r="M98" s="82">
        <v>2023.0</v>
      </c>
      <c r="N98" s="82" t="s">
        <v>259</v>
      </c>
      <c r="O98" s="82">
        <v>3.0</v>
      </c>
      <c r="P98" s="83">
        <v>1.0</v>
      </c>
      <c r="Q98" s="83">
        <v>3.0</v>
      </c>
      <c r="R98" s="83">
        <v>300.0</v>
      </c>
      <c r="S98" s="84" t="s">
        <v>257</v>
      </c>
      <c r="T98" s="85" t="s">
        <v>257</v>
      </c>
      <c r="U98" s="85" t="s">
        <v>257</v>
      </c>
      <c r="V98" s="85">
        <f t="shared" ref="V98:V99" si="11">50</f>
        <v>50</v>
      </c>
      <c r="W98" s="82" t="s">
        <v>689</v>
      </c>
      <c r="X98" s="62"/>
      <c r="Y98" s="62"/>
      <c r="Z98" s="62"/>
      <c r="AA98" s="62"/>
      <c r="AB98" s="62"/>
      <c r="AC98" s="62"/>
      <c r="AD98" s="62"/>
    </row>
    <row r="99" ht="15.0" customHeight="1">
      <c r="A99" s="82" t="s">
        <v>778</v>
      </c>
      <c r="B99" s="82" t="s">
        <v>779</v>
      </c>
      <c r="C99" s="82" t="s">
        <v>94</v>
      </c>
      <c r="D99" s="82" t="s">
        <v>780</v>
      </c>
      <c r="E99" s="82">
        <v>66.0</v>
      </c>
      <c r="F99" s="82" t="s">
        <v>781</v>
      </c>
      <c r="G99" s="82" t="s">
        <v>782</v>
      </c>
      <c r="H99" s="79" t="s">
        <v>783</v>
      </c>
      <c r="I99" s="79" t="s">
        <v>784</v>
      </c>
      <c r="J99" s="82" t="s">
        <v>257</v>
      </c>
      <c r="K99" s="82" t="s">
        <v>785</v>
      </c>
      <c r="L99" s="86" t="s">
        <v>786</v>
      </c>
      <c r="M99" s="82">
        <v>2023.0</v>
      </c>
      <c r="N99" s="82" t="s">
        <v>787</v>
      </c>
      <c r="O99" s="82">
        <v>2.0</v>
      </c>
      <c r="P99" s="83">
        <v>1.0</v>
      </c>
      <c r="Q99" s="83">
        <v>3.0</v>
      </c>
      <c r="R99" s="83">
        <v>300.0</v>
      </c>
      <c r="S99" s="84" t="s">
        <v>257</v>
      </c>
      <c r="T99" s="85" t="s">
        <v>257</v>
      </c>
      <c r="U99" s="85" t="s">
        <v>257</v>
      </c>
      <c r="V99" s="85">
        <f t="shared" si="11"/>
        <v>50</v>
      </c>
      <c r="W99" s="82" t="s">
        <v>689</v>
      </c>
      <c r="X99" s="62"/>
      <c r="Y99" s="62"/>
      <c r="Z99" s="62"/>
      <c r="AA99" s="62"/>
      <c r="AB99" s="62"/>
      <c r="AC99" s="62"/>
      <c r="AD99" s="62"/>
    </row>
    <row r="100" ht="15.0" customHeight="1">
      <c r="A100" s="82" t="s">
        <v>788</v>
      </c>
      <c r="B100" s="82" t="s">
        <v>789</v>
      </c>
      <c r="C100" s="82" t="s">
        <v>94</v>
      </c>
      <c r="D100" s="82" t="s">
        <v>780</v>
      </c>
      <c r="E100" s="82">
        <v>66.0</v>
      </c>
      <c r="F100" s="82" t="s">
        <v>781</v>
      </c>
      <c r="G100" s="82" t="s">
        <v>782</v>
      </c>
      <c r="H100" s="79" t="s">
        <v>790</v>
      </c>
      <c r="I100" s="79" t="s">
        <v>791</v>
      </c>
      <c r="J100" s="82" t="s">
        <v>257</v>
      </c>
      <c r="K100" s="82" t="s">
        <v>792</v>
      </c>
      <c r="L100" s="86" t="s">
        <v>793</v>
      </c>
      <c r="M100" s="82">
        <v>2023.0</v>
      </c>
      <c r="N100" s="82" t="s">
        <v>787</v>
      </c>
      <c r="O100" s="82">
        <v>5.0</v>
      </c>
      <c r="P100" s="83">
        <v>1.0</v>
      </c>
      <c r="Q100" s="83">
        <v>5.0</v>
      </c>
      <c r="R100" s="83">
        <v>300.0</v>
      </c>
      <c r="S100" s="84" t="s">
        <v>257</v>
      </c>
      <c r="T100" s="85" t="s">
        <v>257</v>
      </c>
      <c r="U100" s="85" t="s">
        <v>257</v>
      </c>
      <c r="V100" s="85">
        <f>(300/5)/2</f>
        <v>30</v>
      </c>
      <c r="W100" s="82" t="s">
        <v>689</v>
      </c>
      <c r="X100" s="62"/>
      <c r="Y100" s="62"/>
      <c r="Z100" s="62"/>
      <c r="AA100" s="62"/>
      <c r="AB100" s="62"/>
      <c r="AC100" s="62"/>
      <c r="AD100" s="62"/>
    </row>
    <row r="101" ht="15.0" customHeight="1">
      <c r="A101" s="82" t="s">
        <v>794</v>
      </c>
      <c r="B101" s="82" t="s">
        <v>795</v>
      </c>
      <c r="C101" s="82" t="s">
        <v>94</v>
      </c>
      <c r="D101" s="82" t="s">
        <v>780</v>
      </c>
      <c r="E101" s="82">
        <v>66.0</v>
      </c>
      <c r="F101" s="82" t="s">
        <v>781</v>
      </c>
      <c r="G101" s="82" t="s">
        <v>782</v>
      </c>
      <c r="H101" s="79" t="s">
        <v>796</v>
      </c>
      <c r="I101" s="79" t="s">
        <v>797</v>
      </c>
      <c r="J101" s="82" t="s">
        <v>257</v>
      </c>
      <c r="K101" s="82" t="s">
        <v>798</v>
      </c>
      <c r="L101" s="86" t="s">
        <v>799</v>
      </c>
      <c r="M101" s="82">
        <v>2023.0</v>
      </c>
      <c r="N101" s="82" t="s">
        <v>787</v>
      </c>
      <c r="O101" s="82">
        <v>4.0</v>
      </c>
      <c r="P101" s="83">
        <v>1.0</v>
      </c>
      <c r="Q101" s="83">
        <v>4.0</v>
      </c>
      <c r="R101" s="83">
        <v>300.0</v>
      </c>
      <c r="S101" s="84" t="s">
        <v>257</v>
      </c>
      <c r="T101" s="85" t="s">
        <v>257</v>
      </c>
      <c r="U101" s="85" t="s">
        <v>257</v>
      </c>
      <c r="V101" s="85">
        <f>(300/4)/2</f>
        <v>37.5</v>
      </c>
      <c r="W101" s="82" t="s">
        <v>689</v>
      </c>
      <c r="X101" s="62"/>
      <c r="Y101" s="62"/>
      <c r="Z101" s="62"/>
      <c r="AA101" s="62"/>
      <c r="AB101" s="62"/>
      <c r="AC101" s="62"/>
      <c r="AD101" s="62"/>
    </row>
    <row r="102" ht="15.0" customHeight="1">
      <c r="A102" s="82" t="s">
        <v>800</v>
      </c>
      <c r="B102" s="82" t="s">
        <v>801</v>
      </c>
      <c r="C102" s="82" t="s">
        <v>94</v>
      </c>
      <c r="D102" s="82" t="s">
        <v>780</v>
      </c>
      <c r="E102" s="82">
        <v>66.0</v>
      </c>
      <c r="F102" s="82" t="s">
        <v>781</v>
      </c>
      <c r="G102" s="82" t="s">
        <v>782</v>
      </c>
      <c r="H102" s="79" t="s">
        <v>802</v>
      </c>
      <c r="I102" s="79" t="s">
        <v>803</v>
      </c>
      <c r="J102" s="82" t="s">
        <v>257</v>
      </c>
      <c r="K102" s="82" t="s">
        <v>804</v>
      </c>
      <c r="L102" s="86" t="s">
        <v>805</v>
      </c>
      <c r="M102" s="82">
        <v>2023.0</v>
      </c>
      <c r="N102" s="82" t="s">
        <v>787</v>
      </c>
      <c r="O102" s="85">
        <v>3.0</v>
      </c>
      <c r="P102" s="83">
        <v>1.0</v>
      </c>
      <c r="Q102" s="83">
        <v>3.0</v>
      </c>
      <c r="R102" s="83">
        <v>300.0</v>
      </c>
      <c r="S102" s="84" t="s">
        <v>257</v>
      </c>
      <c r="T102" s="85" t="s">
        <v>257</v>
      </c>
      <c r="U102" s="85" t="s">
        <v>257</v>
      </c>
      <c r="V102" s="85">
        <f>(300/3)/2</f>
        <v>50</v>
      </c>
      <c r="W102" s="82" t="s">
        <v>689</v>
      </c>
      <c r="X102" s="62"/>
      <c r="Y102" s="62"/>
      <c r="Z102" s="62"/>
      <c r="AA102" s="62"/>
      <c r="AB102" s="62"/>
      <c r="AC102" s="62"/>
      <c r="AD102" s="62"/>
    </row>
    <row r="103" ht="15.0" customHeight="1">
      <c r="A103" s="82" t="s">
        <v>806</v>
      </c>
      <c r="B103" s="82" t="s">
        <v>807</v>
      </c>
      <c r="C103" s="82" t="s">
        <v>94</v>
      </c>
      <c r="D103" s="82" t="s">
        <v>780</v>
      </c>
      <c r="E103" s="82">
        <v>66.0</v>
      </c>
      <c r="F103" s="82">
        <v>3.0</v>
      </c>
      <c r="G103" s="82" t="s">
        <v>808</v>
      </c>
      <c r="H103" s="79" t="s">
        <v>809</v>
      </c>
      <c r="I103" s="79" t="s">
        <v>810</v>
      </c>
      <c r="J103" s="82" t="s">
        <v>257</v>
      </c>
      <c r="K103" s="82" t="s">
        <v>811</v>
      </c>
      <c r="L103" s="86" t="s">
        <v>812</v>
      </c>
      <c r="M103" s="82">
        <v>2023.0</v>
      </c>
      <c r="N103" s="82" t="s">
        <v>787</v>
      </c>
      <c r="O103" s="85">
        <v>3.0</v>
      </c>
      <c r="P103" s="83">
        <v>1.0</v>
      </c>
      <c r="Q103" s="83">
        <v>3.0</v>
      </c>
      <c r="R103" s="83">
        <v>300.0</v>
      </c>
      <c r="S103" s="84"/>
      <c r="T103" s="85"/>
      <c r="U103" s="85"/>
      <c r="V103" s="85">
        <v>50.0</v>
      </c>
      <c r="W103" s="82" t="s">
        <v>689</v>
      </c>
      <c r="X103" s="62"/>
      <c r="Y103" s="62"/>
      <c r="Z103" s="62"/>
      <c r="AA103" s="62"/>
      <c r="AB103" s="62"/>
      <c r="AC103" s="62"/>
      <c r="AD103" s="62"/>
    </row>
    <row r="104" ht="15.0" customHeight="1">
      <c r="A104" s="82" t="s">
        <v>813</v>
      </c>
      <c r="B104" s="82" t="s">
        <v>814</v>
      </c>
      <c r="C104" s="82" t="s">
        <v>94</v>
      </c>
      <c r="D104" s="82" t="s">
        <v>780</v>
      </c>
      <c r="E104" s="82">
        <v>66.0</v>
      </c>
      <c r="F104" s="82">
        <v>3.0</v>
      </c>
      <c r="G104" s="82" t="s">
        <v>815</v>
      </c>
      <c r="H104" s="79" t="s">
        <v>816</v>
      </c>
      <c r="I104" s="79" t="s">
        <v>817</v>
      </c>
      <c r="J104" s="82" t="s">
        <v>257</v>
      </c>
      <c r="K104" s="82" t="s">
        <v>818</v>
      </c>
      <c r="L104" s="86" t="s">
        <v>819</v>
      </c>
      <c r="M104" s="82">
        <v>2023.0</v>
      </c>
      <c r="N104" s="82" t="s">
        <v>787</v>
      </c>
      <c r="O104" s="85">
        <v>2.0</v>
      </c>
      <c r="P104" s="83">
        <v>1.0</v>
      </c>
      <c r="Q104" s="83">
        <v>2.0</v>
      </c>
      <c r="R104" s="83">
        <v>300.0</v>
      </c>
      <c r="S104" s="84"/>
      <c r="T104" s="85"/>
      <c r="U104" s="85"/>
      <c r="V104" s="85">
        <v>75.0</v>
      </c>
      <c r="W104" s="82" t="s">
        <v>689</v>
      </c>
      <c r="X104" s="62"/>
      <c r="Y104" s="62"/>
      <c r="Z104" s="62"/>
      <c r="AA104" s="62"/>
      <c r="AB104" s="62"/>
      <c r="AC104" s="62"/>
      <c r="AD104" s="62"/>
    </row>
    <row r="105" ht="15.0" customHeight="1">
      <c r="A105" s="82" t="s">
        <v>820</v>
      </c>
      <c r="B105" s="82" t="s">
        <v>821</v>
      </c>
      <c r="C105" s="82" t="s">
        <v>94</v>
      </c>
      <c r="D105" s="82" t="s">
        <v>822</v>
      </c>
      <c r="E105" s="82">
        <v>14.0</v>
      </c>
      <c r="F105" s="82">
        <v>10.0</v>
      </c>
      <c r="G105" s="82" t="s">
        <v>823</v>
      </c>
      <c r="H105" s="79" t="s">
        <v>824</v>
      </c>
      <c r="I105" s="79" t="s">
        <v>825</v>
      </c>
      <c r="J105" s="82" t="s">
        <v>826</v>
      </c>
      <c r="K105" s="82" t="s">
        <v>827</v>
      </c>
      <c r="L105" s="86" t="s">
        <v>828</v>
      </c>
      <c r="M105" s="82">
        <v>2023.0</v>
      </c>
      <c r="N105" s="82" t="s">
        <v>232</v>
      </c>
      <c r="O105" s="85">
        <v>5.0</v>
      </c>
      <c r="P105" s="83">
        <v>1.0</v>
      </c>
      <c r="Q105" s="83">
        <v>5.0</v>
      </c>
      <c r="R105" s="83">
        <v>1500.0</v>
      </c>
      <c r="S105" s="84"/>
      <c r="T105" s="85"/>
      <c r="U105" s="85"/>
      <c r="V105" s="85">
        <f>1500/5</f>
        <v>300</v>
      </c>
      <c r="W105" s="82" t="s">
        <v>689</v>
      </c>
      <c r="X105" s="62"/>
      <c r="Y105" s="62"/>
      <c r="Z105" s="62"/>
      <c r="AA105" s="62"/>
      <c r="AB105" s="62"/>
      <c r="AC105" s="62"/>
      <c r="AD105" s="62"/>
    </row>
    <row r="106" ht="15.0" customHeight="1">
      <c r="A106" s="82" t="s">
        <v>829</v>
      </c>
      <c r="B106" s="82" t="s">
        <v>830</v>
      </c>
      <c r="C106" s="82" t="s">
        <v>94</v>
      </c>
      <c r="D106" s="82" t="s">
        <v>319</v>
      </c>
      <c r="E106" s="82">
        <v>15.0</v>
      </c>
      <c r="F106" s="82">
        <v>23.0</v>
      </c>
      <c r="G106" s="82" t="s">
        <v>320</v>
      </c>
      <c r="H106" s="87" t="s">
        <v>831</v>
      </c>
      <c r="I106" s="87" t="s">
        <v>832</v>
      </c>
      <c r="J106" s="82" t="s">
        <v>833</v>
      </c>
      <c r="K106" s="82" t="s">
        <v>834</v>
      </c>
      <c r="L106" s="86" t="s">
        <v>835</v>
      </c>
      <c r="M106" s="82">
        <v>2023.0</v>
      </c>
      <c r="N106" s="82" t="s">
        <v>269</v>
      </c>
      <c r="O106" s="82">
        <v>2.0</v>
      </c>
      <c r="P106" s="83">
        <v>1.0</v>
      </c>
      <c r="Q106" s="83">
        <v>3.0</v>
      </c>
      <c r="R106" s="83">
        <v>1000.0</v>
      </c>
      <c r="S106" s="84"/>
      <c r="T106" s="82"/>
      <c r="U106" s="82"/>
      <c r="V106" s="82">
        <f>1000/2</f>
        <v>500</v>
      </c>
      <c r="W106" s="82" t="s">
        <v>689</v>
      </c>
      <c r="X106" s="62"/>
      <c r="Y106" s="62"/>
      <c r="Z106" s="62"/>
      <c r="AA106" s="62"/>
      <c r="AB106" s="62"/>
      <c r="AC106" s="62"/>
      <c r="AD106" s="62"/>
    </row>
    <row r="107" ht="15.0" customHeight="1">
      <c r="A107" s="82" t="s">
        <v>836</v>
      </c>
      <c r="B107" s="82" t="s">
        <v>837</v>
      </c>
      <c r="C107" s="82" t="s">
        <v>94</v>
      </c>
      <c r="D107" s="82" t="s">
        <v>838</v>
      </c>
      <c r="E107" s="82">
        <v>68.0</v>
      </c>
      <c r="F107" s="82">
        <v>3.0</v>
      </c>
      <c r="G107" s="82" t="s">
        <v>839</v>
      </c>
      <c r="H107" s="79" t="s">
        <v>840</v>
      </c>
      <c r="I107" s="79" t="s">
        <v>841</v>
      </c>
      <c r="J107" s="82" t="s">
        <v>842</v>
      </c>
      <c r="K107" s="82" t="s">
        <v>843</v>
      </c>
      <c r="L107" s="86" t="s">
        <v>844</v>
      </c>
      <c r="M107" s="82">
        <v>2023.0</v>
      </c>
      <c r="N107" s="82" t="s">
        <v>414</v>
      </c>
      <c r="O107" s="85">
        <v>2.0</v>
      </c>
      <c r="P107" s="83">
        <v>1.0</v>
      </c>
      <c r="Q107" s="83">
        <v>3.0</v>
      </c>
      <c r="R107" s="83">
        <v>500.0</v>
      </c>
      <c r="S107" s="84" t="s">
        <v>257</v>
      </c>
      <c r="T107" s="85" t="s">
        <v>257</v>
      </c>
      <c r="U107" s="85" t="s">
        <v>257</v>
      </c>
      <c r="V107" s="85">
        <f t="shared" ref="V107:V108" si="12">500/2</f>
        <v>250</v>
      </c>
      <c r="W107" s="82" t="s">
        <v>689</v>
      </c>
      <c r="X107" s="62"/>
      <c r="Y107" s="62"/>
      <c r="Z107" s="62"/>
      <c r="AA107" s="62"/>
      <c r="AB107" s="62"/>
      <c r="AC107" s="62"/>
      <c r="AD107" s="62"/>
    </row>
    <row r="108" ht="15.0" customHeight="1">
      <c r="A108" s="82" t="s">
        <v>845</v>
      </c>
      <c r="B108" s="82" t="s">
        <v>846</v>
      </c>
      <c r="C108" s="82" t="s">
        <v>94</v>
      </c>
      <c r="D108" s="82" t="s">
        <v>838</v>
      </c>
      <c r="E108" s="82">
        <v>68.0</v>
      </c>
      <c r="F108" s="82">
        <v>3.0</v>
      </c>
      <c r="G108" s="82" t="s">
        <v>839</v>
      </c>
      <c r="H108" s="79" t="s">
        <v>847</v>
      </c>
      <c r="I108" s="79" t="s">
        <v>848</v>
      </c>
      <c r="J108" s="82" t="s">
        <v>849</v>
      </c>
      <c r="K108" s="82" t="s">
        <v>850</v>
      </c>
      <c r="L108" s="86" t="s">
        <v>851</v>
      </c>
      <c r="M108" s="82">
        <v>2023.0</v>
      </c>
      <c r="N108" s="82" t="s">
        <v>414</v>
      </c>
      <c r="O108" s="85">
        <v>2.0</v>
      </c>
      <c r="P108" s="83">
        <v>1.0</v>
      </c>
      <c r="Q108" s="83">
        <v>2.0</v>
      </c>
      <c r="R108" s="83">
        <v>500.0</v>
      </c>
      <c r="S108" s="84" t="s">
        <v>257</v>
      </c>
      <c r="T108" s="85" t="s">
        <v>257</v>
      </c>
      <c r="U108" s="85" t="s">
        <v>257</v>
      </c>
      <c r="V108" s="85">
        <f t="shared" si="12"/>
        <v>250</v>
      </c>
      <c r="W108" s="82" t="s">
        <v>689</v>
      </c>
      <c r="X108" s="62"/>
      <c r="Y108" s="62"/>
      <c r="Z108" s="62"/>
      <c r="AA108" s="62"/>
      <c r="AB108" s="62"/>
      <c r="AC108" s="62"/>
      <c r="AD108" s="62"/>
    </row>
    <row r="109" ht="15.0" customHeight="1">
      <c r="A109" s="78" t="s">
        <v>656</v>
      </c>
      <c r="B109" s="78" t="s">
        <v>657</v>
      </c>
      <c r="C109" s="78" t="s">
        <v>94</v>
      </c>
      <c r="D109" s="78" t="s">
        <v>225</v>
      </c>
      <c r="E109" s="78">
        <v>16.0</v>
      </c>
      <c r="F109" s="82">
        <v>1644.0</v>
      </c>
      <c r="G109" s="78" t="s">
        <v>226</v>
      </c>
      <c r="H109" s="79" t="s">
        <v>658</v>
      </c>
      <c r="I109" s="79" t="s">
        <v>228</v>
      </c>
      <c r="J109" s="82" t="s">
        <v>659</v>
      </c>
      <c r="K109" s="82" t="s">
        <v>230</v>
      </c>
      <c r="L109" s="86"/>
      <c r="M109" s="82">
        <v>2023.0</v>
      </c>
      <c r="N109" s="82" t="s">
        <v>660</v>
      </c>
      <c r="O109" s="82">
        <v>5.0</v>
      </c>
      <c r="P109" s="82">
        <v>5.0</v>
      </c>
      <c r="Q109" s="83">
        <v>7.0</v>
      </c>
      <c r="R109" s="83">
        <v>1500.0</v>
      </c>
      <c r="S109" s="83"/>
      <c r="T109" s="84"/>
      <c r="U109" s="85"/>
      <c r="V109" s="85">
        <v>300.0</v>
      </c>
      <c r="W109" s="82" t="s">
        <v>852</v>
      </c>
      <c r="X109" s="62"/>
      <c r="Y109" s="62"/>
      <c r="Z109" s="62"/>
      <c r="AA109" s="62"/>
      <c r="AB109" s="62"/>
      <c r="AC109" s="62"/>
      <c r="AD109" s="62"/>
    </row>
    <row r="110" ht="15.0" customHeight="1">
      <c r="A110" s="78" t="s">
        <v>853</v>
      </c>
      <c r="B110" s="78" t="s">
        <v>854</v>
      </c>
      <c r="C110" s="78" t="s">
        <v>94</v>
      </c>
      <c r="D110" s="78" t="s">
        <v>441</v>
      </c>
      <c r="E110" s="78">
        <v>49.0</v>
      </c>
      <c r="F110" s="82"/>
      <c r="G110" s="78" t="s">
        <v>855</v>
      </c>
      <c r="H110" s="79" t="s">
        <v>856</v>
      </c>
      <c r="I110" s="79" t="s">
        <v>857</v>
      </c>
      <c r="J110" s="82" t="s">
        <v>858</v>
      </c>
      <c r="K110" s="82" t="s">
        <v>859</v>
      </c>
      <c r="L110" s="86" t="s">
        <v>860</v>
      </c>
      <c r="M110" s="82">
        <v>2023.0</v>
      </c>
      <c r="N110" s="82" t="s">
        <v>232</v>
      </c>
      <c r="O110" s="82">
        <v>2.0</v>
      </c>
      <c r="P110" s="83">
        <v>2.0</v>
      </c>
      <c r="Q110" s="83">
        <v>10.0</v>
      </c>
      <c r="R110" s="83">
        <v>1500.0</v>
      </c>
      <c r="S110" s="84"/>
      <c r="T110" s="85"/>
      <c r="U110" s="85"/>
      <c r="V110" s="85">
        <v>750.0</v>
      </c>
      <c r="W110" s="82" t="s">
        <v>861</v>
      </c>
      <c r="X110" s="62"/>
      <c r="Y110" s="62"/>
      <c r="Z110" s="62"/>
      <c r="AA110" s="62"/>
      <c r="AB110" s="62"/>
      <c r="AC110" s="62"/>
      <c r="AD110" s="62"/>
    </row>
    <row r="111" ht="15.0" customHeight="1">
      <c r="A111" s="78" t="s">
        <v>862</v>
      </c>
      <c r="B111" s="78" t="s">
        <v>863</v>
      </c>
      <c r="C111" s="78" t="s">
        <v>94</v>
      </c>
      <c r="D111" s="78" t="s">
        <v>864</v>
      </c>
      <c r="E111" s="78">
        <v>18.0</v>
      </c>
      <c r="F111" s="82">
        <v>2.0</v>
      </c>
      <c r="G111" s="78" t="s">
        <v>630</v>
      </c>
      <c r="H111" s="79" t="s">
        <v>865</v>
      </c>
      <c r="I111" s="79" t="s">
        <v>866</v>
      </c>
      <c r="J111" s="82" t="s">
        <v>867</v>
      </c>
      <c r="K111" s="82" t="s">
        <v>868</v>
      </c>
      <c r="L111" s="86" t="s">
        <v>869</v>
      </c>
      <c r="M111" s="82">
        <v>2023.0</v>
      </c>
      <c r="N111" s="82" t="s">
        <v>397</v>
      </c>
      <c r="O111" s="82">
        <v>2.0</v>
      </c>
      <c r="P111" s="83">
        <v>2.0</v>
      </c>
      <c r="Q111" s="83">
        <v>2.0</v>
      </c>
      <c r="R111" s="83">
        <v>500.0</v>
      </c>
      <c r="S111" s="84"/>
      <c r="T111" s="85"/>
      <c r="U111" s="85"/>
      <c r="V111" s="85">
        <f>R111/2</f>
        <v>250</v>
      </c>
      <c r="W111" s="82" t="s">
        <v>870</v>
      </c>
      <c r="X111" s="62"/>
      <c r="Y111" s="62"/>
      <c r="Z111" s="62"/>
      <c r="AA111" s="62"/>
      <c r="AB111" s="62"/>
      <c r="AC111" s="62"/>
      <c r="AD111" s="62"/>
    </row>
    <row r="112" ht="15.0" customHeight="1">
      <c r="A112" s="82" t="s">
        <v>871</v>
      </c>
      <c r="B112" s="82" t="s">
        <v>872</v>
      </c>
      <c r="C112" s="82" t="s">
        <v>94</v>
      </c>
      <c r="D112" s="82" t="s">
        <v>873</v>
      </c>
      <c r="E112" s="82">
        <v>4.0</v>
      </c>
      <c r="F112" s="82"/>
      <c r="G112" s="82" t="s">
        <v>874</v>
      </c>
      <c r="H112" s="79" t="s">
        <v>875</v>
      </c>
      <c r="I112" s="79" t="s">
        <v>876</v>
      </c>
      <c r="J112" s="82" t="s">
        <v>877</v>
      </c>
      <c r="K112" s="86" t="s">
        <v>878</v>
      </c>
      <c r="L112" s="86" t="s">
        <v>879</v>
      </c>
      <c r="M112" s="82">
        <v>2023.0</v>
      </c>
      <c r="N112" s="82" t="s">
        <v>289</v>
      </c>
      <c r="O112" s="82">
        <v>2.0</v>
      </c>
      <c r="P112" s="83">
        <v>2.0</v>
      </c>
      <c r="Q112" s="83">
        <v>4.0</v>
      </c>
      <c r="R112" s="83">
        <v>500.0</v>
      </c>
      <c r="S112" s="84" t="s">
        <v>257</v>
      </c>
      <c r="T112" s="84" t="s">
        <v>257</v>
      </c>
      <c r="U112" s="84" t="s">
        <v>257</v>
      </c>
      <c r="V112" s="84">
        <v>250.0</v>
      </c>
      <c r="W112" s="82" t="s">
        <v>880</v>
      </c>
      <c r="X112" s="62"/>
      <c r="Y112" s="62"/>
      <c r="Z112" s="62"/>
      <c r="AA112" s="62"/>
      <c r="AB112" s="62"/>
      <c r="AC112" s="62"/>
      <c r="AD112" s="62"/>
    </row>
    <row r="113" ht="15.0" customHeight="1">
      <c r="A113" s="82" t="s">
        <v>881</v>
      </c>
      <c r="B113" s="82" t="s">
        <v>882</v>
      </c>
      <c r="C113" s="82" t="s">
        <v>94</v>
      </c>
      <c r="D113" s="82" t="s">
        <v>883</v>
      </c>
      <c r="E113" s="86" t="s">
        <v>884</v>
      </c>
      <c r="F113" s="82"/>
      <c r="G113" s="82" t="s">
        <v>885</v>
      </c>
      <c r="H113" s="79" t="s">
        <v>886</v>
      </c>
      <c r="I113" s="79" t="s">
        <v>887</v>
      </c>
      <c r="J113" s="82" t="s">
        <v>888</v>
      </c>
      <c r="K113" s="86" t="s">
        <v>314</v>
      </c>
      <c r="L113" s="86" t="s">
        <v>889</v>
      </c>
      <c r="M113" s="82">
        <v>2023.0</v>
      </c>
      <c r="N113" s="82" t="s">
        <v>890</v>
      </c>
      <c r="O113" s="82">
        <v>5.0</v>
      </c>
      <c r="P113" s="83">
        <v>1.0</v>
      </c>
      <c r="Q113" s="83">
        <v>5.0</v>
      </c>
      <c r="R113" s="83">
        <v>300.0</v>
      </c>
      <c r="S113" s="84" t="s">
        <v>257</v>
      </c>
      <c r="T113" s="85" t="s">
        <v>257</v>
      </c>
      <c r="U113" s="85" t="s">
        <v>257</v>
      </c>
      <c r="V113" s="84">
        <v>60.0</v>
      </c>
      <c r="W113" s="82" t="s">
        <v>880</v>
      </c>
      <c r="X113" s="62"/>
      <c r="Y113" s="62"/>
      <c r="Z113" s="62"/>
      <c r="AA113" s="62"/>
      <c r="AB113" s="62"/>
      <c r="AC113" s="62"/>
      <c r="AD113" s="62"/>
    </row>
    <row r="114" ht="15.0" customHeight="1">
      <c r="A114" s="87" t="s">
        <v>891</v>
      </c>
      <c r="B114" s="82" t="s">
        <v>892</v>
      </c>
      <c r="C114" s="82" t="s">
        <v>94</v>
      </c>
      <c r="D114" s="82" t="s">
        <v>893</v>
      </c>
      <c r="E114" s="82">
        <v>17.0</v>
      </c>
      <c r="F114" s="82"/>
      <c r="G114" s="82" t="s">
        <v>894</v>
      </c>
      <c r="H114" s="87" t="s">
        <v>895</v>
      </c>
      <c r="I114" s="87" t="s">
        <v>896</v>
      </c>
      <c r="J114" s="82" t="s">
        <v>897</v>
      </c>
      <c r="K114" s="84" t="s">
        <v>397</v>
      </c>
      <c r="L114" s="86" t="s">
        <v>898</v>
      </c>
      <c r="M114" s="82">
        <v>2023.0</v>
      </c>
      <c r="N114" s="82"/>
      <c r="O114" s="82">
        <v>4.0</v>
      </c>
      <c r="P114" s="83">
        <v>1.0</v>
      </c>
      <c r="Q114" s="83">
        <v>4.0</v>
      </c>
      <c r="R114" s="83">
        <v>500.0</v>
      </c>
      <c r="S114" s="84"/>
      <c r="T114" s="82"/>
      <c r="U114" s="82"/>
      <c r="V114" s="82">
        <v>125.0</v>
      </c>
      <c r="W114" s="82" t="s">
        <v>880</v>
      </c>
      <c r="X114" s="62"/>
      <c r="Y114" s="62"/>
      <c r="Z114" s="62"/>
      <c r="AA114" s="62"/>
      <c r="AB114" s="62"/>
      <c r="AC114" s="62"/>
      <c r="AD114" s="62"/>
    </row>
    <row r="115" ht="15.0" customHeight="1">
      <c r="A115" s="78" t="s">
        <v>899</v>
      </c>
      <c r="B115" s="78" t="s">
        <v>900</v>
      </c>
      <c r="C115" s="78" t="s">
        <v>94</v>
      </c>
      <c r="D115" s="78" t="s">
        <v>901</v>
      </c>
      <c r="E115" s="78">
        <v>8.0</v>
      </c>
      <c r="F115" s="82">
        <v>5.0</v>
      </c>
      <c r="G115" s="78" t="s">
        <v>902</v>
      </c>
      <c r="H115" s="79" t="s">
        <v>903</v>
      </c>
      <c r="I115" s="79" t="s">
        <v>904</v>
      </c>
      <c r="J115" s="82" t="s">
        <v>905</v>
      </c>
      <c r="K115" s="83">
        <v>1.095227500001E12</v>
      </c>
      <c r="L115" s="86" t="s">
        <v>906</v>
      </c>
      <c r="M115" s="82">
        <v>2023.0</v>
      </c>
      <c r="N115" s="82"/>
      <c r="O115" s="82">
        <v>6.0</v>
      </c>
      <c r="P115" s="83">
        <v>1.0</v>
      </c>
      <c r="Q115" s="83">
        <v>7.0</v>
      </c>
      <c r="R115" s="83">
        <v>300.0</v>
      </c>
      <c r="S115" s="84"/>
      <c r="T115" s="85"/>
      <c r="U115" s="85"/>
      <c r="V115" s="85">
        <v>50.0</v>
      </c>
      <c r="W115" s="82" t="s">
        <v>907</v>
      </c>
      <c r="X115" s="62"/>
      <c r="Y115" s="62"/>
      <c r="Z115" s="62"/>
      <c r="AA115" s="62"/>
      <c r="AB115" s="62"/>
      <c r="AC115" s="62"/>
      <c r="AD115" s="62"/>
    </row>
    <row r="116" ht="15.0" customHeight="1">
      <c r="A116" s="78" t="s">
        <v>908</v>
      </c>
      <c r="B116" s="78" t="s">
        <v>909</v>
      </c>
      <c r="C116" s="78" t="s">
        <v>94</v>
      </c>
      <c r="D116" s="78" t="s">
        <v>910</v>
      </c>
      <c r="E116" s="78">
        <v>14.0</v>
      </c>
      <c r="F116" s="78"/>
      <c r="G116" s="78" t="s">
        <v>911</v>
      </c>
      <c r="H116" s="79" t="s">
        <v>912</v>
      </c>
      <c r="I116" s="79" t="s">
        <v>913</v>
      </c>
      <c r="J116" s="78" t="s">
        <v>914</v>
      </c>
      <c r="K116" s="99">
        <v>1.085496900001E12</v>
      </c>
      <c r="L116" s="81" t="s">
        <v>915</v>
      </c>
      <c r="M116" s="82">
        <v>2023.0</v>
      </c>
      <c r="N116" s="82" t="s">
        <v>232</v>
      </c>
      <c r="O116" s="82">
        <v>5.0</v>
      </c>
      <c r="P116" s="83">
        <v>4.0</v>
      </c>
      <c r="Q116" s="83">
        <v>5.0</v>
      </c>
      <c r="R116" s="83">
        <v>1500.0</v>
      </c>
      <c r="S116" s="84"/>
      <c r="T116" s="85"/>
      <c r="U116" s="85"/>
      <c r="V116" s="85">
        <v>300.0</v>
      </c>
      <c r="W116" s="82" t="s">
        <v>907</v>
      </c>
      <c r="X116" s="62"/>
      <c r="Y116" s="62"/>
      <c r="Z116" s="62"/>
      <c r="AA116" s="62"/>
      <c r="AB116" s="62"/>
      <c r="AC116" s="62"/>
      <c r="AD116" s="62"/>
    </row>
    <row r="117" ht="15.0" customHeight="1">
      <c r="A117" s="82" t="s">
        <v>916</v>
      </c>
      <c r="B117" s="82" t="s">
        <v>917</v>
      </c>
      <c r="C117" s="82" t="s">
        <v>94</v>
      </c>
      <c r="D117" s="82" t="s">
        <v>319</v>
      </c>
      <c r="E117" s="82">
        <v>15.0</v>
      </c>
      <c r="F117" s="82">
        <v>15.0</v>
      </c>
      <c r="G117" s="82" t="s">
        <v>320</v>
      </c>
      <c r="H117" s="79" t="s">
        <v>918</v>
      </c>
      <c r="I117" s="79" t="s">
        <v>919</v>
      </c>
      <c r="J117" s="82" t="s">
        <v>920</v>
      </c>
      <c r="K117" s="83">
        <v>1.045828000001E12</v>
      </c>
      <c r="L117" s="86" t="s">
        <v>921</v>
      </c>
      <c r="M117" s="82">
        <v>2023.0</v>
      </c>
      <c r="N117" s="82" t="s">
        <v>269</v>
      </c>
      <c r="O117" s="82">
        <v>5.0</v>
      </c>
      <c r="P117" s="83">
        <v>1.0</v>
      </c>
      <c r="Q117" s="83">
        <v>6.0</v>
      </c>
      <c r="R117" s="83">
        <v>1000.0</v>
      </c>
      <c r="S117" s="84"/>
      <c r="T117" s="85"/>
      <c r="U117" s="85"/>
      <c r="V117" s="85">
        <v>250.0</v>
      </c>
      <c r="W117" s="82" t="s">
        <v>907</v>
      </c>
      <c r="X117" s="62"/>
      <c r="Y117" s="62"/>
      <c r="Z117" s="62"/>
      <c r="AA117" s="62"/>
      <c r="AB117" s="62"/>
      <c r="AC117" s="62"/>
      <c r="AD117" s="62"/>
    </row>
    <row r="118" ht="15.0" customHeight="1">
      <c r="A118" s="82" t="s">
        <v>922</v>
      </c>
      <c r="B118" s="82" t="s">
        <v>923</v>
      </c>
      <c r="C118" s="82" t="s">
        <v>94</v>
      </c>
      <c r="D118" s="82" t="s">
        <v>924</v>
      </c>
      <c r="E118" s="82">
        <v>30.0</v>
      </c>
      <c r="F118" s="82">
        <v>16.0</v>
      </c>
      <c r="G118" s="82" t="s">
        <v>925</v>
      </c>
      <c r="H118" s="79" t="s">
        <v>926</v>
      </c>
      <c r="I118" s="79" t="s">
        <v>927</v>
      </c>
      <c r="J118" s="82" t="s">
        <v>928</v>
      </c>
      <c r="K118" s="83">
        <v>9.30833200003E11</v>
      </c>
      <c r="L118" s="86" t="s">
        <v>929</v>
      </c>
      <c r="M118" s="82">
        <v>2023.0</v>
      </c>
      <c r="N118" s="82" t="s">
        <v>232</v>
      </c>
      <c r="O118" s="82">
        <v>2.0</v>
      </c>
      <c r="P118" s="83">
        <v>1.0</v>
      </c>
      <c r="Q118" s="83">
        <v>6.0</v>
      </c>
      <c r="R118" s="83">
        <v>1500.0</v>
      </c>
      <c r="S118" s="84"/>
      <c r="T118" s="85"/>
      <c r="U118" s="85"/>
      <c r="V118" s="85">
        <v>750.0</v>
      </c>
      <c r="W118" s="82" t="s">
        <v>907</v>
      </c>
      <c r="X118" s="62"/>
      <c r="Y118" s="62"/>
      <c r="Z118" s="62"/>
      <c r="AA118" s="62"/>
      <c r="AB118" s="62"/>
      <c r="AC118" s="62"/>
      <c r="AD118" s="62"/>
    </row>
    <row r="119" ht="15.0" customHeight="1">
      <c r="A119" s="82" t="s">
        <v>930</v>
      </c>
      <c r="B119" s="82" t="s">
        <v>931</v>
      </c>
      <c r="C119" s="82" t="s">
        <v>94</v>
      </c>
      <c r="D119" s="82" t="s">
        <v>701</v>
      </c>
      <c r="E119" s="82">
        <v>11.0</v>
      </c>
      <c r="F119" s="82">
        <v>2.0</v>
      </c>
      <c r="G119" s="82" t="s">
        <v>702</v>
      </c>
      <c r="H119" s="79" t="s">
        <v>932</v>
      </c>
      <c r="I119" s="79" t="s">
        <v>933</v>
      </c>
      <c r="J119" s="82" t="s">
        <v>934</v>
      </c>
      <c r="K119" s="83">
        <v>9.42295400001E11</v>
      </c>
      <c r="L119" s="86" t="s">
        <v>935</v>
      </c>
      <c r="M119" s="82">
        <v>2023.0</v>
      </c>
      <c r="N119" s="82" t="s">
        <v>269</v>
      </c>
      <c r="O119" s="82">
        <v>4.0</v>
      </c>
      <c r="P119" s="83">
        <v>1.0</v>
      </c>
      <c r="Q119" s="83">
        <v>4.0</v>
      </c>
      <c r="R119" s="83">
        <v>1000.0</v>
      </c>
      <c r="S119" s="84"/>
      <c r="T119" s="85"/>
      <c r="U119" s="85"/>
      <c r="V119" s="85">
        <v>250.0</v>
      </c>
      <c r="W119" s="82" t="s">
        <v>907</v>
      </c>
      <c r="X119" s="62"/>
      <c r="Y119" s="62"/>
      <c r="Z119" s="62"/>
      <c r="AA119" s="62"/>
      <c r="AB119" s="62"/>
      <c r="AC119" s="62"/>
      <c r="AD119" s="62"/>
    </row>
    <row r="120" ht="15.0" customHeight="1">
      <c r="A120" s="82" t="s">
        <v>936</v>
      </c>
      <c r="B120" s="82" t="s">
        <v>937</v>
      </c>
      <c r="C120" s="82" t="s">
        <v>94</v>
      </c>
      <c r="D120" s="82" t="s">
        <v>938</v>
      </c>
      <c r="E120" s="82">
        <v>23.0</v>
      </c>
      <c r="F120" s="82">
        <v>1.0</v>
      </c>
      <c r="G120" s="82" t="s">
        <v>939</v>
      </c>
      <c r="H120" s="79" t="s">
        <v>940</v>
      </c>
      <c r="I120" s="79" t="s">
        <v>941</v>
      </c>
      <c r="J120" s="82" t="s">
        <v>257</v>
      </c>
      <c r="K120" s="83">
        <v>9.89840300032E11</v>
      </c>
      <c r="L120" s="86" t="s">
        <v>942</v>
      </c>
      <c r="M120" s="82">
        <v>2023.0</v>
      </c>
      <c r="N120" s="82" t="s">
        <v>257</v>
      </c>
      <c r="O120" s="82">
        <v>7.0</v>
      </c>
      <c r="P120" s="83">
        <v>3.0</v>
      </c>
      <c r="Q120" s="83">
        <v>7.0</v>
      </c>
      <c r="R120" s="83">
        <v>300.0</v>
      </c>
      <c r="S120" s="84"/>
      <c r="T120" s="85"/>
      <c r="U120" s="85"/>
      <c r="V120" s="85">
        <v>42.85</v>
      </c>
      <c r="W120" s="82" t="s">
        <v>907</v>
      </c>
      <c r="X120" s="62"/>
      <c r="Y120" s="62"/>
      <c r="Z120" s="62"/>
      <c r="AA120" s="62"/>
      <c r="AB120" s="62"/>
      <c r="AC120" s="62"/>
      <c r="AD120" s="62"/>
    </row>
    <row r="121" ht="15.0" customHeight="1">
      <c r="A121" s="82" t="s">
        <v>943</v>
      </c>
      <c r="B121" s="82" t="s">
        <v>944</v>
      </c>
      <c r="C121" s="82" t="s">
        <v>94</v>
      </c>
      <c r="D121" s="82" t="s">
        <v>945</v>
      </c>
      <c r="E121" s="82"/>
      <c r="F121" s="82"/>
      <c r="G121" s="82" t="s">
        <v>946</v>
      </c>
      <c r="H121" s="79" t="s">
        <v>947</v>
      </c>
      <c r="I121" s="79" t="s">
        <v>948</v>
      </c>
      <c r="J121" s="82" t="s">
        <v>949</v>
      </c>
      <c r="K121" s="83">
        <v>9.82537700001E11</v>
      </c>
      <c r="L121" s="86" t="s">
        <v>334</v>
      </c>
      <c r="M121" s="82">
        <v>2023.0</v>
      </c>
      <c r="N121" s="82"/>
      <c r="O121" s="82">
        <v>6.0</v>
      </c>
      <c r="P121" s="83">
        <v>1.0</v>
      </c>
      <c r="Q121" s="83">
        <v>6.0</v>
      </c>
      <c r="R121" s="83">
        <v>300.0</v>
      </c>
      <c r="S121" s="84" t="s">
        <v>950</v>
      </c>
      <c r="T121" s="85" t="s">
        <v>951</v>
      </c>
      <c r="U121" s="85" t="s">
        <v>952</v>
      </c>
      <c r="V121" s="85">
        <v>50.0</v>
      </c>
      <c r="W121" s="82" t="s">
        <v>907</v>
      </c>
      <c r="X121" s="62"/>
      <c r="Y121" s="62"/>
      <c r="Z121" s="62"/>
      <c r="AA121" s="62"/>
      <c r="AB121" s="62"/>
      <c r="AC121" s="62"/>
      <c r="AD121" s="62"/>
    </row>
    <row r="122" ht="15.0" customHeight="1">
      <c r="A122" s="78" t="s">
        <v>223</v>
      </c>
      <c r="B122" s="78" t="s">
        <v>224</v>
      </c>
      <c r="C122" s="78" t="s">
        <v>52</v>
      </c>
      <c r="D122" s="78" t="s">
        <v>225</v>
      </c>
      <c r="E122" s="78">
        <v>16.0</v>
      </c>
      <c r="F122" s="78">
        <v>4.0</v>
      </c>
      <c r="G122" s="78" t="s">
        <v>226</v>
      </c>
      <c r="H122" s="79" t="s">
        <v>227</v>
      </c>
      <c r="I122" s="79" t="s">
        <v>228</v>
      </c>
      <c r="J122" s="78" t="s">
        <v>275</v>
      </c>
      <c r="K122" s="78" t="s">
        <v>230</v>
      </c>
      <c r="L122" s="81" t="s">
        <v>231</v>
      </c>
      <c r="M122" s="82">
        <v>2023.0</v>
      </c>
      <c r="N122" s="82" t="s">
        <v>953</v>
      </c>
      <c r="O122" s="82">
        <v>5.0</v>
      </c>
      <c r="P122" s="83">
        <v>5.0</v>
      </c>
      <c r="Q122" s="83">
        <v>7.0</v>
      </c>
      <c r="R122" s="83">
        <v>1500.0</v>
      </c>
      <c r="S122" s="84"/>
      <c r="T122" s="85"/>
      <c r="U122" s="85"/>
      <c r="V122" s="85">
        <f t="shared" ref="V122:V124" si="13">R122/O122</f>
        <v>300</v>
      </c>
      <c r="W122" s="82" t="s">
        <v>954</v>
      </c>
      <c r="X122" s="62"/>
      <c r="Y122" s="62"/>
      <c r="Z122" s="62"/>
      <c r="AA122" s="62"/>
      <c r="AB122" s="62"/>
      <c r="AC122" s="62"/>
      <c r="AD122" s="62"/>
    </row>
    <row r="123" ht="15.0" customHeight="1">
      <c r="A123" s="78" t="s">
        <v>955</v>
      </c>
      <c r="B123" s="78" t="s">
        <v>956</v>
      </c>
      <c r="C123" s="78" t="s">
        <v>957</v>
      </c>
      <c r="D123" s="78" t="s">
        <v>958</v>
      </c>
      <c r="E123" s="78">
        <v>14.0</v>
      </c>
      <c r="F123" s="82">
        <v>6.0</v>
      </c>
      <c r="G123" s="78" t="s">
        <v>959</v>
      </c>
      <c r="H123" s="79" t="s">
        <v>960</v>
      </c>
      <c r="I123" s="85" t="s">
        <v>961</v>
      </c>
      <c r="J123" s="82" t="s">
        <v>962</v>
      </c>
      <c r="K123" s="82" t="s">
        <v>963</v>
      </c>
      <c r="L123" s="86"/>
      <c r="M123" s="82">
        <v>2023.0</v>
      </c>
      <c r="N123" s="82" t="s">
        <v>232</v>
      </c>
      <c r="O123" s="82">
        <v>4.0</v>
      </c>
      <c r="P123" s="83">
        <v>4.0</v>
      </c>
      <c r="Q123" s="83">
        <v>5.0</v>
      </c>
      <c r="R123" s="83">
        <v>1500.0</v>
      </c>
      <c r="S123" s="84"/>
      <c r="T123" s="85"/>
      <c r="U123" s="85"/>
      <c r="V123" s="85">
        <f t="shared" si="13"/>
        <v>375</v>
      </c>
      <c r="W123" s="82" t="s">
        <v>964</v>
      </c>
      <c r="X123" s="62"/>
      <c r="Y123" s="62"/>
      <c r="Z123" s="62"/>
      <c r="AA123" s="62"/>
      <c r="AB123" s="62"/>
      <c r="AC123" s="62"/>
      <c r="AD123" s="62"/>
    </row>
    <row r="124" ht="15.0" customHeight="1">
      <c r="A124" s="78" t="s">
        <v>908</v>
      </c>
      <c r="B124" s="78" t="s">
        <v>965</v>
      </c>
      <c r="C124" s="78" t="s">
        <v>957</v>
      </c>
      <c r="D124" s="78" t="s">
        <v>966</v>
      </c>
      <c r="E124" s="78">
        <v>14.0</v>
      </c>
      <c r="F124" s="78"/>
      <c r="G124" s="78" t="s">
        <v>967</v>
      </c>
      <c r="H124" s="79" t="s">
        <v>968</v>
      </c>
      <c r="I124" s="82" t="s">
        <v>913</v>
      </c>
      <c r="J124" s="78" t="s">
        <v>969</v>
      </c>
      <c r="K124" s="78" t="s">
        <v>970</v>
      </c>
      <c r="L124" s="81"/>
      <c r="M124" s="82">
        <v>2023.0</v>
      </c>
      <c r="N124" s="82" t="s">
        <v>232</v>
      </c>
      <c r="O124" s="82">
        <v>5.0</v>
      </c>
      <c r="P124" s="83">
        <v>4.0</v>
      </c>
      <c r="Q124" s="83">
        <v>5.0</v>
      </c>
      <c r="R124" s="83">
        <v>1500.0</v>
      </c>
      <c r="S124" s="84"/>
      <c r="T124" s="85"/>
      <c r="U124" s="85"/>
      <c r="V124" s="85">
        <f t="shared" si="13"/>
        <v>300</v>
      </c>
      <c r="W124" s="82" t="s">
        <v>964</v>
      </c>
      <c r="X124" s="62"/>
      <c r="Y124" s="62"/>
      <c r="Z124" s="62"/>
      <c r="AA124" s="62"/>
      <c r="AB124" s="62"/>
      <c r="AC124" s="62"/>
      <c r="AD124" s="62"/>
    </row>
    <row r="125" ht="15.0" customHeight="1">
      <c r="A125" s="78" t="s">
        <v>662</v>
      </c>
      <c r="B125" s="78" t="s">
        <v>663</v>
      </c>
      <c r="C125" s="78" t="s">
        <v>182</v>
      </c>
      <c r="D125" s="78" t="s">
        <v>664</v>
      </c>
      <c r="E125" s="78">
        <v>129.0</v>
      </c>
      <c r="F125" s="82"/>
      <c r="G125" s="78" t="s">
        <v>665</v>
      </c>
      <c r="H125" s="79" t="s">
        <v>666</v>
      </c>
      <c r="I125" s="79" t="s">
        <v>667</v>
      </c>
      <c r="J125" s="79" t="s">
        <v>668</v>
      </c>
      <c r="K125" s="82" t="s">
        <v>669</v>
      </c>
      <c r="L125" s="86" t="s">
        <v>670</v>
      </c>
      <c r="M125" s="82">
        <v>2023.0</v>
      </c>
      <c r="N125" s="82" t="s">
        <v>232</v>
      </c>
      <c r="O125" s="82">
        <v>3.0</v>
      </c>
      <c r="P125" s="83">
        <v>2.0</v>
      </c>
      <c r="Q125" s="83">
        <v>4.0</v>
      </c>
      <c r="R125" s="83">
        <v>1500.0</v>
      </c>
      <c r="S125" s="83"/>
      <c r="T125" s="83"/>
      <c r="U125" s="83"/>
      <c r="V125" s="84">
        <v>500.0</v>
      </c>
      <c r="W125" s="82" t="s">
        <v>971</v>
      </c>
      <c r="X125" s="62"/>
      <c r="Y125" s="62"/>
      <c r="Z125" s="62"/>
      <c r="AA125" s="62"/>
      <c r="AB125" s="62"/>
      <c r="AC125" s="62"/>
      <c r="AD125" s="62"/>
    </row>
    <row r="126" ht="15.0" customHeight="1">
      <c r="A126" s="78" t="s">
        <v>972</v>
      </c>
      <c r="B126" s="78" t="s">
        <v>973</v>
      </c>
      <c r="C126" s="78" t="s">
        <v>182</v>
      </c>
      <c r="D126" s="78" t="s">
        <v>974</v>
      </c>
      <c r="E126" s="78">
        <v>51.0</v>
      </c>
      <c r="F126" s="82"/>
      <c r="G126" s="78" t="s">
        <v>442</v>
      </c>
      <c r="H126" s="79" t="s">
        <v>975</v>
      </c>
      <c r="I126" s="79" t="s">
        <v>976</v>
      </c>
      <c r="J126" s="79" t="s">
        <v>977</v>
      </c>
      <c r="K126" s="82" t="s">
        <v>978</v>
      </c>
      <c r="L126" s="86" t="s">
        <v>979</v>
      </c>
      <c r="M126" s="82">
        <v>2023.0</v>
      </c>
      <c r="N126" s="82" t="s">
        <v>232</v>
      </c>
      <c r="O126" s="82">
        <v>1.0</v>
      </c>
      <c r="P126" s="83">
        <v>1.0</v>
      </c>
      <c r="Q126" s="83">
        <v>6.0</v>
      </c>
      <c r="R126" s="83">
        <v>1500.0</v>
      </c>
      <c r="S126" s="83"/>
      <c r="T126" s="83"/>
      <c r="U126" s="83"/>
      <c r="V126" s="84">
        <v>1500.0</v>
      </c>
      <c r="W126" s="82" t="s">
        <v>971</v>
      </c>
      <c r="X126" s="62"/>
      <c r="Y126" s="62"/>
      <c r="Z126" s="62"/>
      <c r="AA126" s="62"/>
      <c r="AB126" s="62"/>
      <c r="AC126" s="62"/>
      <c r="AD126" s="62"/>
    </row>
    <row r="127" ht="15.0" customHeight="1">
      <c r="A127" s="78" t="s">
        <v>980</v>
      </c>
      <c r="B127" s="82" t="s">
        <v>981</v>
      </c>
      <c r="C127" s="82" t="s">
        <v>182</v>
      </c>
      <c r="D127" s="78" t="s">
        <v>982</v>
      </c>
      <c r="E127" s="82">
        <v>16.0</v>
      </c>
      <c r="F127" s="82">
        <v>11.0</v>
      </c>
      <c r="G127" s="78" t="s">
        <v>983</v>
      </c>
      <c r="H127" s="79" t="s">
        <v>984</v>
      </c>
      <c r="I127" s="79" t="s">
        <v>985</v>
      </c>
      <c r="J127" s="79" t="s">
        <v>986</v>
      </c>
      <c r="K127" s="82" t="s">
        <v>987</v>
      </c>
      <c r="L127" s="86" t="s">
        <v>988</v>
      </c>
      <c r="M127" s="82">
        <v>2023.0</v>
      </c>
      <c r="N127" s="82" t="s">
        <v>269</v>
      </c>
      <c r="O127" s="82">
        <v>1.0</v>
      </c>
      <c r="P127" s="82">
        <v>1.0</v>
      </c>
      <c r="Q127" s="82">
        <v>5.0</v>
      </c>
      <c r="R127" s="82">
        <v>1000.0</v>
      </c>
      <c r="S127" s="82"/>
      <c r="T127" s="82"/>
      <c r="U127" s="82"/>
      <c r="V127" s="84">
        <v>1000.0</v>
      </c>
      <c r="W127" s="82" t="s">
        <v>971</v>
      </c>
      <c r="X127" s="62"/>
      <c r="Y127" s="62"/>
      <c r="Z127" s="62"/>
      <c r="AA127" s="62"/>
      <c r="AB127" s="62"/>
      <c r="AC127" s="62"/>
      <c r="AD127" s="62"/>
    </row>
    <row r="128" ht="15.0" customHeight="1">
      <c r="A128" s="82" t="s">
        <v>989</v>
      </c>
      <c r="B128" s="82" t="s">
        <v>990</v>
      </c>
      <c r="C128" s="82" t="s">
        <v>182</v>
      </c>
      <c r="D128" s="78" t="s">
        <v>991</v>
      </c>
      <c r="E128" s="82">
        <v>9.0</v>
      </c>
      <c r="F128" s="82">
        <v>9.0</v>
      </c>
      <c r="G128" s="78" t="s">
        <v>462</v>
      </c>
      <c r="H128" s="79" t="s">
        <v>992</v>
      </c>
      <c r="I128" s="80" t="s">
        <v>993</v>
      </c>
      <c r="J128" s="79" t="s">
        <v>994</v>
      </c>
      <c r="K128" s="82" t="s">
        <v>995</v>
      </c>
      <c r="L128" s="86"/>
      <c r="M128" s="82">
        <v>2023.0</v>
      </c>
      <c r="N128" s="82" t="s">
        <v>269</v>
      </c>
      <c r="O128" s="82">
        <v>3.0</v>
      </c>
      <c r="P128" s="83">
        <v>2.0</v>
      </c>
      <c r="Q128" s="83">
        <v>7.0</v>
      </c>
      <c r="R128" s="83">
        <v>1000.0</v>
      </c>
      <c r="S128" s="83"/>
      <c r="T128" s="83"/>
      <c r="U128" s="83"/>
      <c r="V128" s="84">
        <v>330.0</v>
      </c>
      <c r="W128" s="82" t="s">
        <v>971</v>
      </c>
      <c r="X128" s="62"/>
      <c r="Y128" s="62"/>
      <c r="Z128" s="62"/>
      <c r="AA128" s="62"/>
      <c r="AB128" s="62"/>
      <c r="AC128" s="62"/>
      <c r="AD128" s="62"/>
    </row>
    <row r="129" ht="15.0" customHeight="1">
      <c r="A129" s="82" t="s">
        <v>233</v>
      </c>
      <c r="B129" s="82" t="s">
        <v>996</v>
      </c>
      <c r="C129" s="82" t="s">
        <v>182</v>
      </c>
      <c r="D129" s="78" t="s">
        <v>997</v>
      </c>
      <c r="E129" s="82">
        <v>15.0</v>
      </c>
      <c r="F129" s="82">
        <v>17.0</v>
      </c>
      <c r="G129" s="78" t="s">
        <v>236</v>
      </c>
      <c r="H129" s="79" t="s">
        <v>998</v>
      </c>
      <c r="I129" s="80" t="s">
        <v>238</v>
      </c>
      <c r="J129" s="79" t="s">
        <v>999</v>
      </c>
      <c r="K129" s="82" t="s">
        <v>240</v>
      </c>
      <c r="L129" s="86" t="s">
        <v>1000</v>
      </c>
      <c r="M129" s="82">
        <v>2023.0</v>
      </c>
      <c r="N129" s="82" t="s">
        <v>232</v>
      </c>
      <c r="O129" s="82">
        <v>4.0</v>
      </c>
      <c r="P129" s="83">
        <v>4.0</v>
      </c>
      <c r="Q129" s="83">
        <v>4.0</v>
      </c>
      <c r="R129" s="83">
        <v>1500.0</v>
      </c>
      <c r="S129" s="83"/>
      <c r="T129" s="83"/>
      <c r="U129" s="83"/>
      <c r="V129" s="84">
        <v>375.0</v>
      </c>
      <c r="W129" s="82" t="s">
        <v>971</v>
      </c>
      <c r="X129" s="62"/>
      <c r="Y129" s="62"/>
      <c r="Z129" s="62"/>
      <c r="AA129" s="62"/>
      <c r="AB129" s="62"/>
      <c r="AC129" s="62"/>
      <c r="AD129" s="62"/>
    </row>
    <row r="130" ht="15.0" customHeight="1">
      <c r="A130" s="82" t="s">
        <v>1001</v>
      </c>
      <c r="B130" s="82" t="s">
        <v>1002</v>
      </c>
      <c r="C130" s="82" t="s">
        <v>182</v>
      </c>
      <c r="D130" s="78" t="s">
        <v>974</v>
      </c>
      <c r="E130" s="82">
        <v>49.0</v>
      </c>
      <c r="F130" s="82"/>
      <c r="G130" s="82" t="s">
        <v>442</v>
      </c>
      <c r="H130" s="79" t="s">
        <v>1003</v>
      </c>
      <c r="I130" s="79" t="s">
        <v>856</v>
      </c>
      <c r="J130" s="79" t="s">
        <v>1004</v>
      </c>
      <c r="K130" s="82" t="s">
        <v>859</v>
      </c>
      <c r="L130" s="86" t="s">
        <v>860</v>
      </c>
      <c r="M130" s="82">
        <v>2023.0</v>
      </c>
      <c r="N130" s="82" t="s">
        <v>232</v>
      </c>
      <c r="O130" s="82">
        <v>2.0</v>
      </c>
      <c r="P130" s="83">
        <v>2.0</v>
      </c>
      <c r="Q130" s="83">
        <v>10.0</v>
      </c>
      <c r="R130" s="83">
        <v>1500.0</v>
      </c>
      <c r="S130" s="83"/>
      <c r="T130" s="83"/>
      <c r="U130" s="83"/>
      <c r="V130" s="84">
        <v>750.0</v>
      </c>
      <c r="W130" s="82" t="s">
        <v>971</v>
      </c>
      <c r="X130" s="62"/>
      <c r="Y130" s="62"/>
      <c r="Z130" s="62"/>
      <c r="AA130" s="62"/>
      <c r="AB130" s="62"/>
      <c r="AC130" s="62"/>
      <c r="AD130" s="62"/>
    </row>
    <row r="131" ht="15.0" customHeight="1">
      <c r="A131" s="82" t="s">
        <v>521</v>
      </c>
      <c r="B131" s="82" t="s">
        <v>522</v>
      </c>
      <c r="C131" s="82" t="s">
        <v>182</v>
      </c>
      <c r="D131" s="82" t="s">
        <v>991</v>
      </c>
      <c r="E131" s="82">
        <v>9.0</v>
      </c>
      <c r="F131" s="82">
        <v>6.0</v>
      </c>
      <c r="G131" s="78"/>
      <c r="H131" s="79" t="s">
        <v>1005</v>
      </c>
      <c r="I131" s="80" t="s">
        <v>1006</v>
      </c>
      <c r="J131" s="79" t="s">
        <v>1007</v>
      </c>
      <c r="K131" s="82" t="s">
        <v>1008</v>
      </c>
      <c r="L131" s="86" t="s">
        <v>1009</v>
      </c>
      <c r="M131" s="82">
        <v>2023.0</v>
      </c>
      <c r="N131" s="82" t="s">
        <v>269</v>
      </c>
      <c r="O131" s="82">
        <v>2.0</v>
      </c>
      <c r="P131" s="82">
        <v>2.0</v>
      </c>
      <c r="Q131" s="82">
        <v>9.0</v>
      </c>
      <c r="R131" s="82">
        <v>1000.0</v>
      </c>
      <c r="S131" s="82"/>
      <c r="T131" s="82"/>
      <c r="U131" s="82"/>
      <c r="V131" s="84">
        <v>500.0</v>
      </c>
      <c r="W131" s="82" t="s">
        <v>971</v>
      </c>
      <c r="X131" s="62"/>
      <c r="Y131" s="62"/>
      <c r="Z131" s="62"/>
      <c r="AA131" s="62"/>
      <c r="AB131" s="62"/>
      <c r="AC131" s="62"/>
      <c r="AD131" s="62"/>
    </row>
    <row r="132" ht="15.0" customHeight="1">
      <c r="A132" s="82" t="s">
        <v>1010</v>
      </c>
      <c r="B132" s="82" t="s">
        <v>1011</v>
      </c>
      <c r="C132" s="82" t="s">
        <v>182</v>
      </c>
      <c r="D132" s="78" t="s">
        <v>974</v>
      </c>
      <c r="E132" s="82">
        <v>49.0</v>
      </c>
      <c r="F132" s="82"/>
      <c r="G132" s="82" t="s">
        <v>442</v>
      </c>
      <c r="H132" s="79" t="s">
        <v>1012</v>
      </c>
      <c r="I132" s="80" t="s">
        <v>1013</v>
      </c>
      <c r="J132" s="79" t="s">
        <v>1014</v>
      </c>
      <c r="K132" s="82" t="s">
        <v>1015</v>
      </c>
      <c r="L132" s="86" t="s">
        <v>1016</v>
      </c>
      <c r="M132" s="82">
        <v>2023.0</v>
      </c>
      <c r="N132" s="82" t="s">
        <v>232</v>
      </c>
      <c r="O132" s="82">
        <v>1.0</v>
      </c>
      <c r="P132" s="82">
        <v>1.0</v>
      </c>
      <c r="Q132" s="82">
        <v>11.0</v>
      </c>
      <c r="R132" s="82">
        <v>1500.0</v>
      </c>
      <c r="S132" s="82"/>
      <c r="T132" s="82"/>
      <c r="U132" s="82"/>
      <c r="V132" s="84">
        <v>1500.0</v>
      </c>
      <c r="W132" s="82" t="s">
        <v>971</v>
      </c>
      <c r="X132" s="62"/>
      <c r="Y132" s="62"/>
      <c r="Z132" s="62"/>
      <c r="AA132" s="62"/>
      <c r="AB132" s="62"/>
      <c r="AC132" s="62"/>
      <c r="AD132" s="62"/>
    </row>
    <row r="133" ht="15.0" customHeight="1">
      <c r="A133" s="82" t="s">
        <v>1017</v>
      </c>
      <c r="B133" s="82" t="s">
        <v>1018</v>
      </c>
      <c r="C133" s="82" t="s">
        <v>182</v>
      </c>
      <c r="D133" s="78" t="s">
        <v>974</v>
      </c>
      <c r="E133" s="82">
        <v>47.0</v>
      </c>
      <c r="F133" s="82"/>
      <c r="G133" s="82" t="s">
        <v>442</v>
      </c>
      <c r="H133" s="79" t="s">
        <v>1019</v>
      </c>
      <c r="I133" s="79" t="s">
        <v>1020</v>
      </c>
      <c r="J133" s="82" t="s">
        <v>1021</v>
      </c>
      <c r="K133" s="82" t="s">
        <v>1022</v>
      </c>
      <c r="L133" s="86" t="s">
        <v>1023</v>
      </c>
      <c r="M133" s="82">
        <v>2023.0</v>
      </c>
      <c r="N133" s="82"/>
      <c r="O133" s="82">
        <v>1.0</v>
      </c>
      <c r="P133" s="83">
        <v>1.0</v>
      </c>
      <c r="Q133" s="83">
        <v>10.0</v>
      </c>
      <c r="R133" s="83">
        <v>1500.0</v>
      </c>
      <c r="S133" s="84"/>
      <c r="T133" s="85"/>
      <c r="U133" s="85"/>
      <c r="V133" s="84">
        <v>1500.0</v>
      </c>
      <c r="W133" s="82" t="s">
        <v>971</v>
      </c>
      <c r="X133" s="62"/>
      <c r="Y133" s="62"/>
      <c r="Z133" s="62"/>
      <c r="AA133" s="62"/>
      <c r="AB133" s="62"/>
      <c r="AC133" s="62"/>
      <c r="AD133" s="62"/>
    </row>
    <row r="134" ht="15.0" customHeight="1">
      <c r="A134" s="82" t="s">
        <v>1024</v>
      </c>
      <c r="B134" s="82" t="s">
        <v>1025</v>
      </c>
      <c r="C134" s="82" t="s">
        <v>182</v>
      </c>
      <c r="D134" s="78" t="s">
        <v>974</v>
      </c>
      <c r="E134" s="82">
        <v>45.0</v>
      </c>
      <c r="F134" s="82"/>
      <c r="G134" s="82" t="s">
        <v>442</v>
      </c>
      <c r="H134" s="79" t="s">
        <v>1026</v>
      </c>
      <c r="I134" s="79" t="s">
        <v>1027</v>
      </c>
      <c r="J134" s="82" t="s">
        <v>1028</v>
      </c>
      <c r="K134" s="82" t="s">
        <v>1029</v>
      </c>
      <c r="L134" s="86">
        <v>102964.0</v>
      </c>
      <c r="M134" s="82">
        <v>2023.0</v>
      </c>
      <c r="N134" s="82"/>
      <c r="O134" s="82">
        <v>1.0</v>
      </c>
      <c r="P134" s="83">
        <v>1.0</v>
      </c>
      <c r="Q134" s="83">
        <v>9.0</v>
      </c>
      <c r="R134" s="83">
        <v>1500.0</v>
      </c>
      <c r="S134" s="84"/>
      <c r="T134" s="85"/>
      <c r="U134" s="85"/>
      <c r="V134" s="84">
        <v>1500.0</v>
      </c>
      <c r="W134" s="82" t="s">
        <v>971</v>
      </c>
      <c r="X134" s="62"/>
      <c r="Y134" s="62"/>
      <c r="Z134" s="62"/>
      <c r="AA134" s="62"/>
      <c r="AB134" s="62"/>
      <c r="AC134" s="62"/>
      <c r="AD134" s="62"/>
    </row>
    <row r="135" ht="15.0" customHeight="1">
      <c r="A135" s="82" t="s">
        <v>1030</v>
      </c>
      <c r="B135" s="82" t="s">
        <v>1031</v>
      </c>
      <c r="C135" s="82" t="s">
        <v>182</v>
      </c>
      <c r="D135" s="78" t="s">
        <v>701</v>
      </c>
      <c r="E135" s="82">
        <v>11.0</v>
      </c>
      <c r="F135" s="82">
        <v>3.0</v>
      </c>
      <c r="G135" s="82" t="s">
        <v>1032</v>
      </c>
      <c r="H135" s="79" t="s">
        <v>1033</v>
      </c>
      <c r="I135" s="79" t="s">
        <v>1034</v>
      </c>
      <c r="J135" s="82" t="s">
        <v>1035</v>
      </c>
      <c r="K135" s="82" t="s">
        <v>1036</v>
      </c>
      <c r="L135" s="86" t="s">
        <v>1037</v>
      </c>
      <c r="M135" s="82">
        <v>2023.0</v>
      </c>
      <c r="N135" s="82"/>
      <c r="O135" s="82">
        <v>1.0</v>
      </c>
      <c r="P135" s="83">
        <v>1.0</v>
      </c>
      <c r="Q135" s="83">
        <v>5.0</v>
      </c>
      <c r="R135" s="83">
        <v>1000.0</v>
      </c>
      <c r="S135" s="84"/>
      <c r="T135" s="85"/>
      <c r="U135" s="85"/>
      <c r="V135" s="84">
        <v>1000.0</v>
      </c>
      <c r="W135" s="82" t="s">
        <v>971</v>
      </c>
      <c r="X135" s="62"/>
      <c r="Y135" s="62"/>
      <c r="Z135" s="62"/>
      <c r="AA135" s="62"/>
      <c r="AB135" s="62"/>
      <c r="AC135" s="62"/>
      <c r="AD135" s="62"/>
    </row>
    <row r="136" ht="15.0" customHeight="1">
      <c r="A136" s="82" t="s">
        <v>1038</v>
      </c>
      <c r="B136" s="82" t="s">
        <v>1039</v>
      </c>
      <c r="C136" s="82" t="s">
        <v>182</v>
      </c>
      <c r="D136" s="82" t="s">
        <v>1040</v>
      </c>
      <c r="E136" s="82">
        <v>13.0</v>
      </c>
      <c r="F136" s="82">
        <v>2.0</v>
      </c>
      <c r="G136" s="82"/>
      <c r="H136" s="79" t="s">
        <v>1041</v>
      </c>
      <c r="I136" s="79" t="s">
        <v>1042</v>
      </c>
      <c r="J136" s="82" t="s">
        <v>1043</v>
      </c>
      <c r="K136" s="82" t="s">
        <v>1044</v>
      </c>
      <c r="L136" s="86" t="s">
        <v>1045</v>
      </c>
      <c r="M136" s="82">
        <v>2023.0</v>
      </c>
      <c r="N136" s="82"/>
      <c r="O136" s="82">
        <v>1.0</v>
      </c>
      <c r="P136" s="83">
        <v>1.0</v>
      </c>
      <c r="Q136" s="83">
        <v>8.0</v>
      </c>
      <c r="R136" s="83">
        <v>1000.0</v>
      </c>
      <c r="S136" s="84"/>
      <c r="T136" s="85"/>
      <c r="U136" s="85"/>
      <c r="V136" s="84">
        <v>1000.0</v>
      </c>
      <c r="W136" s="82" t="s">
        <v>971</v>
      </c>
      <c r="X136" s="62"/>
      <c r="Y136" s="62"/>
      <c r="Z136" s="62"/>
      <c r="AA136" s="62"/>
      <c r="AB136" s="62"/>
      <c r="AC136" s="62"/>
      <c r="AD136" s="62"/>
    </row>
    <row r="137" ht="15.0" customHeight="1">
      <c r="A137" s="78" t="s">
        <v>908</v>
      </c>
      <c r="B137" s="78" t="s">
        <v>1046</v>
      </c>
      <c r="C137" s="100" t="s">
        <v>94</v>
      </c>
      <c r="D137" s="78" t="s">
        <v>910</v>
      </c>
      <c r="E137" s="78">
        <v>14.0</v>
      </c>
      <c r="F137" s="85">
        <v>1160046.0</v>
      </c>
      <c r="G137" s="85" t="s">
        <v>911</v>
      </c>
      <c r="H137" s="85" t="s">
        <v>912</v>
      </c>
      <c r="I137" s="85" t="s">
        <v>913</v>
      </c>
      <c r="J137" s="79" t="s">
        <v>969</v>
      </c>
      <c r="K137" s="85" t="s">
        <v>970</v>
      </c>
      <c r="L137" s="86"/>
      <c r="M137" s="82">
        <v>2023.0</v>
      </c>
      <c r="N137" s="82" t="s">
        <v>232</v>
      </c>
      <c r="O137" s="82">
        <v>5.0</v>
      </c>
      <c r="P137" s="83">
        <v>4.0</v>
      </c>
      <c r="Q137" s="83">
        <v>5.0</v>
      </c>
      <c r="R137" s="83">
        <v>1500.0</v>
      </c>
      <c r="S137" s="84"/>
      <c r="T137" s="85"/>
      <c r="U137" s="85"/>
      <c r="V137" s="85">
        <v>300.0</v>
      </c>
      <c r="W137" s="82" t="s">
        <v>1047</v>
      </c>
      <c r="X137" s="62"/>
      <c r="Y137" s="62"/>
      <c r="Z137" s="62"/>
      <c r="AA137" s="62"/>
      <c r="AB137" s="62"/>
      <c r="AC137" s="62"/>
      <c r="AD137" s="62"/>
    </row>
    <row r="138" ht="15.0" customHeight="1">
      <c r="A138" s="78" t="s">
        <v>1048</v>
      </c>
      <c r="B138" s="78" t="s">
        <v>1049</v>
      </c>
      <c r="C138" s="78" t="s">
        <v>147</v>
      </c>
      <c r="D138" s="78" t="s">
        <v>1050</v>
      </c>
      <c r="E138" s="78">
        <v>126.0</v>
      </c>
      <c r="F138" s="82" t="s">
        <v>1051</v>
      </c>
      <c r="G138" s="78" t="s">
        <v>1052</v>
      </c>
      <c r="H138" s="85" t="s">
        <v>1053</v>
      </c>
      <c r="I138" s="85" t="s">
        <v>1054</v>
      </c>
      <c r="J138" s="82" t="s">
        <v>1055</v>
      </c>
      <c r="K138" s="82">
        <v>1.068086000001E12</v>
      </c>
      <c r="L138" s="86" t="s">
        <v>1056</v>
      </c>
      <c r="M138" s="82">
        <v>2023.0</v>
      </c>
      <c r="N138" s="82" t="s">
        <v>232</v>
      </c>
      <c r="O138" s="82">
        <v>4.0</v>
      </c>
      <c r="P138" s="83">
        <v>4.0</v>
      </c>
      <c r="Q138" s="83">
        <v>5.0</v>
      </c>
      <c r="R138" s="83">
        <v>1500.0</v>
      </c>
      <c r="S138" s="84"/>
      <c r="T138" s="85"/>
      <c r="U138" s="85"/>
      <c r="V138" s="85">
        <v>375.0</v>
      </c>
      <c r="W138" s="82" t="s">
        <v>1057</v>
      </c>
      <c r="X138" s="61"/>
      <c r="Y138" s="62"/>
      <c r="Z138" s="62"/>
      <c r="AA138" s="62"/>
      <c r="AB138" s="62"/>
      <c r="AC138" s="62"/>
      <c r="AD138" s="62"/>
    </row>
    <row r="139" ht="15.0" customHeight="1">
      <c r="A139" s="78" t="s">
        <v>1058</v>
      </c>
      <c r="B139" s="78" t="s">
        <v>1059</v>
      </c>
      <c r="C139" s="78" t="s">
        <v>147</v>
      </c>
      <c r="D139" s="78" t="s">
        <v>1060</v>
      </c>
      <c r="E139" s="78"/>
      <c r="F139" s="78" t="s">
        <v>1061</v>
      </c>
      <c r="G139" s="78" t="s">
        <v>1062</v>
      </c>
      <c r="H139" s="82" t="s">
        <v>1063</v>
      </c>
      <c r="I139" s="82" t="s">
        <v>1064</v>
      </c>
      <c r="J139" s="78" t="s">
        <v>1065</v>
      </c>
      <c r="K139" s="78">
        <v>9.77303000001E11</v>
      </c>
      <c r="L139" s="81" t="s">
        <v>915</v>
      </c>
      <c r="M139" s="82">
        <v>2023.0</v>
      </c>
      <c r="N139" s="82" t="s">
        <v>414</v>
      </c>
      <c r="O139" s="82">
        <v>4.0</v>
      </c>
      <c r="P139" s="83">
        <v>4.0</v>
      </c>
      <c r="Q139" s="83">
        <v>6.0</v>
      </c>
      <c r="R139" s="83">
        <v>500.0</v>
      </c>
      <c r="S139" s="84"/>
      <c r="T139" s="85"/>
      <c r="U139" s="85"/>
      <c r="V139" s="85">
        <v>125.0</v>
      </c>
      <c r="W139" s="82" t="s">
        <v>1057</v>
      </c>
      <c r="X139" s="61"/>
      <c r="Y139" s="62"/>
      <c r="Z139" s="62"/>
      <c r="AA139" s="62"/>
      <c r="AB139" s="62"/>
      <c r="AC139" s="62"/>
      <c r="AD139" s="62"/>
    </row>
    <row r="140" ht="15.0" customHeight="1">
      <c r="A140" s="78" t="s">
        <v>1066</v>
      </c>
      <c r="B140" s="78" t="s">
        <v>1067</v>
      </c>
      <c r="C140" s="78" t="s">
        <v>147</v>
      </c>
      <c r="D140" s="78"/>
      <c r="E140" s="78"/>
      <c r="F140" s="78"/>
      <c r="G140" s="78"/>
      <c r="H140" s="82" t="s">
        <v>1068</v>
      </c>
      <c r="I140" s="82" t="s">
        <v>1069</v>
      </c>
      <c r="J140" s="78" t="s">
        <v>1070</v>
      </c>
      <c r="K140" s="78"/>
      <c r="L140" s="81" t="s">
        <v>1071</v>
      </c>
      <c r="M140" s="82">
        <v>2023.0</v>
      </c>
      <c r="N140" s="82"/>
      <c r="O140" s="82">
        <v>3.0</v>
      </c>
      <c r="P140" s="83">
        <v>3.0</v>
      </c>
      <c r="Q140" s="83">
        <v>3.0</v>
      </c>
      <c r="R140" s="83">
        <v>200.0</v>
      </c>
      <c r="S140" s="84" t="s">
        <v>1072</v>
      </c>
      <c r="T140" s="85" t="s">
        <v>1073</v>
      </c>
      <c r="U140" s="85" t="s">
        <v>1074</v>
      </c>
      <c r="V140" s="85">
        <v>66.67</v>
      </c>
      <c r="W140" s="82" t="s">
        <v>1057</v>
      </c>
      <c r="X140" s="61"/>
      <c r="Y140" s="62"/>
      <c r="Z140" s="62"/>
      <c r="AA140" s="62"/>
      <c r="AB140" s="62"/>
      <c r="AC140" s="62"/>
      <c r="AD140" s="62"/>
    </row>
    <row r="141" ht="15.0" customHeight="1">
      <c r="A141" s="78" t="s">
        <v>1075</v>
      </c>
      <c r="B141" s="78" t="s">
        <v>1076</v>
      </c>
      <c r="C141" s="78" t="s">
        <v>147</v>
      </c>
      <c r="D141" s="78"/>
      <c r="E141" s="78"/>
      <c r="F141" s="78"/>
      <c r="G141" s="78"/>
      <c r="H141" s="82" t="s">
        <v>1077</v>
      </c>
      <c r="I141" s="82" t="s">
        <v>1078</v>
      </c>
      <c r="J141" s="78" t="s">
        <v>1079</v>
      </c>
      <c r="K141" s="78"/>
      <c r="L141" s="81" t="s">
        <v>1080</v>
      </c>
      <c r="M141" s="82">
        <v>2023.0</v>
      </c>
      <c r="N141" s="82"/>
      <c r="O141" s="82">
        <v>1.0</v>
      </c>
      <c r="P141" s="83">
        <v>1.0</v>
      </c>
      <c r="Q141" s="83">
        <v>2.0</v>
      </c>
      <c r="R141" s="83">
        <v>200.0</v>
      </c>
      <c r="S141" s="84" t="s">
        <v>1081</v>
      </c>
      <c r="T141" s="85" t="s">
        <v>1082</v>
      </c>
      <c r="U141" s="85" t="s">
        <v>1083</v>
      </c>
      <c r="V141" s="85">
        <v>200.0</v>
      </c>
      <c r="W141" s="82" t="s">
        <v>1057</v>
      </c>
      <c r="X141" s="61"/>
      <c r="Y141" s="62"/>
      <c r="Z141" s="62"/>
      <c r="AA141" s="62"/>
      <c r="AB141" s="62"/>
      <c r="AC141" s="62"/>
      <c r="AD141" s="62"/>
    </row>
    <row r="142" ht="15.0" customHeight="1">
      <c r="A142" s="78" t="s">
        <v>1084</v>
      </c>
      <c r="B142" s="78" t="s">
        <v>1085</v>
      </c>
      <c r="C142" s="78" t="s">
        <v>147</v>
      </c>
      <c r="D142" s="78" t="s">
        <v>1086</v>
      </c>
      <c r="E142" s="78"/>
      <c r="F142" s="78"/>
      <c r="G142" s="78"/>
      <c r="H142" s="82" t="s">
        <v>1087</v>
      </c>
      <c r="I142" s="82" t="s">
        <v>1088</v>
      </c>
      <c r="J142" s="78" t="s">
        <v>1089</v>
      </c>
      <c r="K142" s="78"/>
      <c r="L142" s="81" t="s">
        <v>1090</v>
      </c>
      <c r="M142" s="82">
        <v>2023.0</v>
      </c>
      <c r="N142" s="82"/>
      <c r="O142" s="82">
        <v>6.0</v>
      </c>
      <c r="P142" s="83">
        <v>1.0</v>
      </c>
      <c r="Q142" s="83">
        <v>6.0</v>
      </c>
      <c r="R142" s="83">
        <v>200.0</v>
      </c>
      <c r="S142" s="84" t="s">
        <v>1091</v>
      </c>
      <c r="T142" s="85" t="s">
        <v>1092</v>
      </c>
      <c r="U142" s="85" t="s">
        <v>1093</v>
      </c>
      <c r="V142" s="85">
        <v>33.33</v>
      </c>
      <c r="W142" s="82" t="s">
        <v>1094</v>
      </c>
      <c r="X142" s="61"/>
      <c r="Y142" s="62"/>
      <c r="Z142" s="62"/>
      <c r="AA142" s="62"/>
      <c r="AB142" s="62"/>
      <c r="AC142" s="62"/>
      <c r="AD142" s="62"/>
    </row>
    <row r="143" ht="15.0" customHeight="1">
      <c r="A143" s="78" t="s">
        <v>1095</v>
      </c>
      <c r="B143" s="78" t="s">
        <v>1085</v>
      </c>
      <c r="C143" s="78" t="s">
        <v>147</v>
      </c>
      <c r="D143" s="78" t="s">
        <v>1096</v>
      </c>
      <c r="E143" s="78"/>
      <c r="F143" s="78"/>
      <c r="G143" s="78"/>
      <c r="H143" s="82" t="s">
        <v>1097</v>
      </c>
      <c r="I143" s="82"/>
      <c r="J143" s="78" t="s">
        <v>1098</v>
      </c>
      <c r="K143" s="78"/>
      <c r="L143" s="81" t="s">
        <v>1099</v>
      </c>
      <c r="M143" s="82">
        <v>2023.0</v>
      </c>
      <c r="N143" s="82"/>
      <c r="O143" s="82">
        <v>6.0</v>
      </c>
      <c r="P143" s="83">
        <v>1.0</v>
      </c>
      <c r="Q143" s="83">
        <v>6.0</v>
      </c>
      <c r="R143" s="83">
        <v>200.0</v>
      </c>
      <c r="S143" s="84" t="s">
        <v>1100</v>
      </c>
      <c r="T143" s="85" t="s">
        <v>1101</v>
      </c>
      <c r="U143" s="85" t="s">
        <v>1102</v>
      </c>
      <c r="V143" s="85">
        <v>33.34</v>
      </c>
      <c r="W143" s="82" t="s">
        <v>1094</v>
      </c>
      <c r="X143" s="61"/>
      <c r="Y143" s="62"/>
      <c r="Z143" s="62"/>
      <c r="AA143" s="62"/>
      <c r="AB143" s="62"/>
      <c r="AC143" s="62"/>
      <c r="AD143" s="62"/>
    </row>
    <row r="144" ht="15.0" customHeight="1">
      <c r="A144" s="78" t="s">
        <v>1103</v>
      </c>
      <c r="B144" s="78" t="s">
        <v>1104</v>
      </c>
      <c r="C144" s="78" t="s">
        <v>147</v>
      </c>
      <c r="D144" s="78" t="s">
        <v>1105</v>
      </c>
      <c r="E144" s="78">
        <v>11.0</v>
      </c>
      <c r="F144" s="78">
        <v>3.0</v>
      </c>
      <c r="G144" s="78" t="s">
        <v>1106</v>
      </c>
      <c r="H144" s="82" t="s">
        <v>1107</v>
      </c>
      <c r="I144" s="82" t="s">
        <v>1108</v>
      </c>
      <c r="J144" s="78" t="s">
        <v>1109</v>
      </c>
      <c r="K144" s="78" t="s">
        <v>1110</v>
      </c>
      <c r="L144" s="81" t="s">
        <v>1111</v>
      </c>
      <c r="M144" s="82">
        <v>2023.0</v>
      </c>
      <c r="N144" s="82" t="s">
        <v>232</v>
      </c>
      <c r="O144" s="82">
        <v>2.0</v>
      </c>
      <c r="P144" s="83">
        <v>1.0</v>
      </c>
      <c r="Q144" s="83">
        <v>2.0</v>
      </c>
      <c r="R144" s="83">
        <v>1500.0</v>
      </c>
      <c r="S144" s="84"/>
      <c r="T144" s="85"/>
      <c r="U144" s="85"/>
      <c r="V144" s="85">
        <v>750.0</v>
      </c>
      <c r="W144" s="82" t="s">
        <v>1094</v>
      </c>
      <c r="X144" s="61"/>
      <c r="Y144" s="62"/>
      <c r="Z144" s="62"/>
      <c r="AA144" s="62"/>
      <c r="AB144" s="62"/>
      <c r="AC144" s="62"/>
      <c r="AD144" s="62"/>
    </row>
    <row r="145" ht="15.0" customHeight="1">
      <c r="A145" s="78" t="s">
        <v>1112</v>
      </c>
      <c r="B145" s="78" t="s">
        <v>1113</v>
      </c>
      <c r="C145" s="78" t="s">
        <v>147</v>
      </c>
      <c r="D145" s="78" t="s">
        <v>1105</v>
      </c>
      <c r="E145" s="78">
        <v>11.0</v>
      </c>
      <c r="F145" s="78">
        <v>7.0</v>
      </c>
      <c r="G145" s="78" t="s">
        <v>1114</v>
      </c>
      <c r="H145" s="82" t="s">
        <v>1115</v>
      </c>
      <c r="I145" s="82" t="s">
        <v>1116</v>
      </c>
      <c r="J145" s="78" t="s">
        <v>1117</v>
      </c>
      <c r="K145" s="78" t="s">
        <v>1118</v>
      </c>
      <c r="L145" s="81" t="s">
        <v>1119</v>
      </c>
      <c r="M145" s="82">
        <v>2023.0</v>
      </c>
      <c r="N145" s="82" t="s">
        <v>232</v>
      </c>
      <c r="O145" s="82">
        <v>5.0</v>
      </c>
      <c r="P145" s="83">
        <v>5.0</v>
      </c>
      <c r="Q145" s="83">
        <v>5.0</v>
      </c>
      <c r="R145" s="83">
        <v>1500.0</v>
      </c>
      <c r="S145" s="84"/>
      <c r="T145" s="85"/>
      <c r="U145" s="85"/>
      <c r="V145" s="85">
        <v>300.0</v>
      </c>
      <c r="W145" s="82" t="s">
        <v>1120</v>
      </c>
      <c r="X145" s="61"/>
      <c r="Y145" s="62"/>
      <c r="Z145" s="62"/>
      <c r="AA145" s="62"/>
      <c r="AB145" s="62"/>
      <c r="AC145" s="62"/>
      <c r="AD145" s="62"/>
    </row>
    <row r="146" ht="15.0" customHeight="1">
      <c r="A146" s="78" t="s">
        <v>1121</v>
      </c>
      <c r="B146" s="78" t="s">
        <v>1122</v>
      </c>
      <c r="C146" s="78" t="s">
        <v>147</v>
      </c>
      <c r="D146" s="78" t="s">
        <v>1123</v>
      </c>
      <c r="E146" s="78">
        <v>221.0</v>
      </c>
      <c r="F146" s="78"/>
      <c r="G146" s="78" t="s">
        <v>1124</v>
      </c>
      <c r="H146" s="82" t="s">
        <v>1125</v>
      </c>
      <c r="I146" s="82" t="s">
        <v>1126</v>
      </c>
      <c r="J146" s="78" t="s">
        <v>1127</v>
      </c>
      <c r="K146" s="78"/>
      <c r="L146" s="81" t="s">
        <v>1128</v>
      </c>
      <c r="M146" s="82">
        <v>2023.0</v>
      </c>
      <c r="N146" s="82" t="s">
        <v>259</v>
      </c>
      <c r="O146" s="82">
        <v>4.0</v>
      </c>
      <c r="P146" s="83">
        <v>4.0</v>
      </c>
      <c r="Q146" s="83">
        <v>6.0</v>
      </c>
      <c r="R146" s="83">
        <v>200.0</v>
      </c>
      <c r="S146" s="84"/>
      <c r="T146" s="85"/>
      <c r="U146" s="85"/>
      <c r="V146" s="85">
        <v>50.0</v>
      </c>
      <c r="W146" s="82" t="s">
        <v>1120</v>
      </c>
      <c r="X146" s="61"/>
      <c r="Y146" s="62"/>
      <c r="Z146" s="62"/>
      <c r="AA146" s="62"/>
      <c r="AB146" s="62"/>
      <c r="AC146" s="62"/>
      <c r="AD146" s="62"/>
    </row>
    <row r="147" ht="15.0" customHeight="1">
      <c r="A147" s="78" t="s">
        <v>1129</v>
      </c>
      <c r="B147" s="78" t="s">
        <v>1130</v>
      </c>
      <c r="C147" s="78" t="s">
        <v>147</v>
      </c>
      <c r="D147" s="78"/>
      <c r="E147" s="78"/>
      <c r="F147" s="78"/>
      <c r="G147" s="78"/>
      <c r="H147" s="82" t="s">
        <v>1131</v>
      </c>
      <c r="I147" s="82" t="s">
        <v>1132</v>
      </c>
      <c r="J147" s="78" t="s">
        <v>1133</v>
      </c>
      <c r="K147" s="78"/>
      <c r="L147" s="81" t="s">
        <v>1134</v>
      </c>
      <c r="M147" s="82">
        <v>2023.0</v>
      </c>
      <c r="N147" s="82" t="s">
        <v>259</v>
      </c>
      <c r="O147" s="82">
        <v>3.0</v>
      </c>
      <c r="P147" s="83">
        <v>3.0</v>
      </c>
      <c r="Q147" s="83">
        <v>7.0</v>
      </c>
      <c r="R147" s="83">
        <v>200.0</v>
      </c>
      <c r="S147" s="84" t="s">
        <v>1135</v>
      </c>
      <c r="T147" s="85" t="s">
        <v>1136</v>
      </c>
      <c r="U147" s="85" t="s">
        <v>1137</v>
      </c>
      <c r="V147" s="85">
        <v>66.67</v>
      </c>
      <c r="W147" s="82" t="s">
        <v>1120</v>
      </c>
      <c r="X147" s="61"/>
      <c r="Y147" s="62"/>
      <c r="Z147" s="62"/>
      <c r="AA147" s="62"/>
      <c r="AB147" s="62"/>
      <c r="AC147" s="62"/>
      <c r="AD147" s="62"/>
    </row>
    <row r="148" ht="15.0" customHeight="1">
      <c r="A148" s="78" t="s">
        <v>1058</v>
      </c>
      <c r="B148" s="78" t="s">
        <v>1138</v>
      </c>
      <c r="C148" s="78" t="s">
        <v>147</v>
      </c>
      <c r="D148" s="78" t="s">
        <v>1139</v>
      </c>
      <c r="E148" s="78"/>
      <c r="F148" s="78" t="s">
        <v>1061</v>
      </c>
      <c r="G148" s="78" t="s">
        <v>1062</v>
      </c>
      <c r="H148" s="82" t="s">
        <v>1063</v>
      </c>
      <c r="I148" s="82" t="s">
        <v>1064</v>
      </c>
      <c r="J148" s="78" t="s">
        <v>1140</v>
      </c>
      <c r="K148" s="78" t="s">
        <v>1141</v>
      </c>
      <c r="L148" s="81" t="s">
        <v>1142</v>
      </c>
      <c r="M148" s="82">
        <v>2023.0</v>
      </c>
      <c r="N148" s="82" t="s">
        <v>414</v>
      </c>
      <c r="O148" s="82">
        <v>4.0</v>
      </c>
      <c r="P148" s="83">
        <v>4.0</v>
      </c>
      <c r="Q148" s="83">
        <v>6.0</v>
      </c>
      <c r="R148" s="83">
        <v>500.0</v>
      </c>
      <c r="S148" s="84"/>
      <c r="T148" s="85"/>
      <c r="U148" s="85"/>
      <c r="V148" s="85">
        <v>125.0</v>
      </c>
      <c r="W148" s="82" t="s">
        <v>1143</v>
      </c>
      <c r="X148" s="61"/>
      <c r="Y148" s="62"/>
      <c r="Z148" s="62"/>
      <c r="AA148" s="62"/>
      <c r="AB148" s="62"/>
      <c r="AC148" s="62"/>
      <c r="AD148" s="62"/>
    </row>
    <row r="149" ht="15.0" customHeight="1">
      <c r="A149" s="78" t="s">
        <v>1112</v>
      </c>
      <c r="B149" s="78" t="s">
        <v>1113</v>
      </c>
      <c r="C149" s="78" t="s">
        <v>147</v>
      </c>
      <c r="D149" s="78" t="s">
        <v>1105</v>
      </c>
      <c r="E149" s="78">
        <v>11.0</v>
      </c>
      <c r="F149" s="78">
        <v>7.0</v>
      </c>
      <c r="G149" s="78" t="s">
        <v>1114</v>
      </c>
      <c r="H149" s="82" t="s">
        <v>1115</v>
      </c>
      <c r="I149" s="82" t="s">
        <v>1116</v>
      </c>
      <c r="J149" s="78" t="s">
        <v>1117</v>
      </c>
      <c r="K149" s="78" t="s">
        <v>1118</v>
      </c>
      <c r="L149" s="81" t="s">
        <v>1119</v>
      </c>
      <c r="M149" s="82">
        <v>2023.0</v>
      </c>
      <c r="N149" s="82" t="s">
        <v>232</v>
      </c>
      <c r="O149" s="82">
        <v>5.0</v>
      </c>
      <c r="P149" s="83">
        <v>5.0</v>
      </c>
      <c r="Q149" s="83">
        <v>5.0</v>
      </c>
      <c r="R149" s="83">
        <v>1500.0</v>
      </c>
      <c r="S149" s="84"/>
      <c r="T149" s="85"/>
      <c r="U149" s="85"/>
      <c r="V149" s="85">
        <v>300.0</v>
      </c>
      <c r="W149" s="82" t="s">
        <v>1144</v>
      </c>
      <c r="X149" s="61"/>
      <c r="Y149" s="62"/>
      <c r="Z149" s="62"/>
      <c r="AA149" s="62"/>
      <c r="AB149" s="62"/>
      <c r="AC149" s="62"/>
      <c r="AD149" s="62"/>
    </row>
    <row r="150" ht="15.0" customHeight="1">
      <c r="A150" s="78" t="s">
        <v>1121</v>
      </c>
      <c r="B150" s="78" t="s">
        <v>1122</v>
      </c>
      <c r="C150" s="78" t="s">
        <v>147</v>
      </c>
      <c r="D150" s="78" t="s">
        <v>1123</v>
      </c>
      <c r="E150" s="78">
        <v>221.0</v>
      </c>
      <c r="F150" s="78"/>
      <c r="G150" s="78" t="s">
        <v>1124</v>
      </c>
      <c r="H150" s="82" t="s">
        <v>1125</v>
      </c>
      <c r="I150" s="82" t="s">
        <v>1126</v>
      </c>
      <c r="J150" s="78" t="s">
        <v>1127</v>
      </c>
      <c r="K150" s="78"/>
      <c r="L150" s="81" t="s">
        <v>1128</v>
      </c>
      <c r="M150" s="82">
        <v>2023.0</v>
      </c>
      <c r="N150" s="82" t="s">
        <v>259</v>
      </c>
      <c r="O150" s="82">
        <v>4.0</v>
      </c>
      <c r="P150" s="83">
        <v>4.0</v>
      </c>
      <c r="Q150" s="83">
        <v>6.0</v>
      </c>
      <c r="R150" s="83">
        <v>200.0</v>
      </c>
      <c r="S150" s="84"/>
      <c r="T150" s="85"/>
      <c r="U150" s="85"/>
      <c r="V150" s="85">
        <v>50.0</v>
      </c>
      <c r="W150" s="82" t="s">
        <v>1144</v>
      </c>
      <c r="X150" s="61"/>
      <c r="Y150" s="62"/>
      <c r="Z150" s="62"/>
      <c r="AA150" s="62"/>
      <c r="AB150" s="62"/>
      <c r="AC150" s="62"/>
      <c r="AD150" s="62"/>
    </row>
    <row r="151" ht="15.0" customHeight="1">
      <c r="A151" s="78" t="s">
        <v>1129</v>
      </c>
      <c r="B151" s="78" t="s">
        <v>1130</v>
      </c>
      <c r="C151" s="78" t="s">
        <v>147</v>
      </c>
      <c r="D151" s="78"/>
      <c r="E151" s="78"/>
      <c r="F151" s="78"/>
      <c r="G151" s="78"/>
      <c r="H151" s="82" t="s">
        <v>1131</v>
      </c>
      <c r="I151" s="82" t="s">
        <v>1132</v>
      </c>
      <c r="J151" s="78" t="s">
        <v>1133</v>
      </c>
      <c r="K151" s="78"/>
      <c r="L151" s="81" t="s">
        <v>1134</v>
      </c>
      <c r="M151" s="82">
        <v>2023.0</v>
      </c>
      <c r="N151" s="82" t="s">
        <v>259</v>
      </c>
      <c r="O151" s="82">
        <v>3.0</v>
      </c>
      <c r="P151" s="83">
        <v>3.0</v>
      </c>
      <c r="Q151" s="83">
        <v>7.0</v>
      </c>
      <c r="R151" s="83">
        <v>200.0</v>
      </c>
      <c r="S151" s="84" t="s">
        <v>1135</v>
      </c>
      <c r="T151" s="85" t="s">
        <v>1136</v>
      </c>
      <c r="U151" s="85" t="s">
        <v>1137</v>
      </c>
      <c r="V151" s="85">
        <v>66.67</v>
      </c>
      <c r="W151" s="82" t="s">
        <v>1144</v>
      </c>
      <c r="X151" s="61"/>
      <c r="Y151" s="62"/>
      <c r="Z151" s="62"/>
      <c r="AA151" s="62"/>
      <c r="AB151" s="62"/>
      <c r="AC151" s="62"/>
      <c r="AD151" s="62"/>
    </row>
    <row r="152" ht="15.0" customHeight="1">
      <c r="A152" s="78" t="s">
        <v>1066</v>
      </c>
      <c r="B152" s="78" t="s">
        <v>1145</v>
      </c>
      <c r="C152" s="78" t="s">
        <v>147</v>
      </c>
      <c r="D152" s="78"/>
      <c r="E152" s="78"/>
      <c r="F152" s="78"/>
      <c r="G152" s="78"/>
      <c r="H152" s="82" t="s">
        <v>1146</v>
      </c>
      <c r="I152" s="82" t="s">
        <v>1147</v>
      </c>
      <c r="J152" s="78" t="s">
        <v>1070</v>
      </c>
      <c r="K152" s="78"/>
      <c r="L152" s="81" t="s">
        <v>1071</v>
      </c>
      <c r="M152" s="82">
        <v>2023.0</v>
      </c>
      <c r="N152" s="82" t="s">
        <v>259</v>
      </c>
      <c r="O152" s="82">
        <v>3.0</v>
      </c>
      <c r="P152" s="83">
        <v>3.0</v>
      </c>
      <c r="Q152" s="83">
        <v>3.0</v>
      </c>
      <c r="R152" s="83">
        <v>200.0</v>
      </c>
      <c r="S152" s="84" t="s">
        <v>1148</v>
      </c>
      <c r="T152" s="85" t="s">
        <v>1073</v>
      </c>
      <c r="U152" s="85" t="s">
        <v>1149</v>
      </c>
      <c r="V152" s="85">
        <v>66.67</v>
      </c>
      <c r="W152" s="82" t="s">
        <v>1144</v>
      </c>
      <c r="X152" s="61"/>
      <c r="Y152" s="62"/>
      <c r="Z152" s="62"/>
      <c r="AA152" s="62"/>
      <c r="AB152" s="62"/>
      <c r="AC152" s="62"/>
      <c r="AD152" s="62"/>
    </row>
    <row r="153" ht="15.0" customHeight="1">
      <c r="A153" s="78" t="s">
        <v>1150</v>
      </c>
      <c r="B153" s="78" t="s">
        <v>1151</v>
      </c>
      <c r="C153" s="78" t="s">
        <v>147</v>
      </c>
      <c r="D153" s="78" t="s">
        <v>1152</v>
      </c>
      <c r="E153" s="78">
        <v>85.0</v>
      </c>
      <c r="F153" s="78">
        <v>3.0</v>
      </c>
      <c r="G153" s="78" t="s">
        <v>1153</v>
      </c>
      <c r="H153" s="82" t="s">
        <v>1154</v>
      </c>
      <c r="I153" s="82" t="s">
        <v>1155</v>
      </c>
      <c r="J153" s="78"/>
      <c r="K153" s="78" t="s">
        <v>1156</v>
      </c>
      <c r="L153" s="81" t="s">
        <v>1157</v>
      </c>
      <c r="M153" s="82">
        <v>2023.0</v>
      </c>
      <c r="N153" s="82" t="s">
        <v>397</v>
      </c>
      <c r="O153" s="82">
        <v>6.0</v>
      </c>
      <c r="P153" s="83">
        <v>1.0</v>
      </c>
      <c r="Q153" s="83">
        <v>6.0</v>
      </c>
      <c r="R153" s="83">
        <v>500.0</v>
      </c>
      <c r="S153" s="84"/>
      <c r="T153" s="85"/>
      <c r="U153" s="85"/>
      <c r="V153" s="85">
        <v>83.0</v>
      </c>
      <c r="W153" s="82" t="s">
        <v>1158</v>
      </c>
      <c r="X153" s="61"/>
      <c r="Y153" s="62"/>
      <c r="Z153" s="62"/>
      <c r="AA153" s="62"/>
      <c r="AB153" s="62"/>
      <c r="AC153" s="62"/>
      <c r="AD153" s="62"/>
    </row>
    <row r="154" ht="15.0" customHeight="1">
      <c r="A154" s="78" t="s">
        <v>1159</v>
      </c>
      <c r="B154" s="78" t="s">
        <v>637</v>
      </c>
      <c r="C154" s="78" t="s">
        <v>147</v>
      </c>
      <c r="D154" s="78" t="s">
        <v>638</v>
      </c>
      <c r="E154" s="78">
        <v>126.0</v>
      </c>
      <c r="F154" s="78" t="s">
        <v>639</v>
      </c>
      <c r="G154" s="78" t="s">
        <v>640</v>
      </c>
      <c r="H154" s="82" t="s">
        <v>641</v>
      </c>
      <c r="I154" s="82" t="s">
        <v>642</v>
      </c>
      <c r="J154" s="78" t="s">
        <v>643</v>
      </c>
      <c r="K154" s="78" t="s">
        <v>644</v>
      </c>
      <c r="L154" s="81" t="s">
        <v>1134</v>
      </c>
      <c r="M154" s="82">
        <v>2023.0</v>
      </c>
      <c r="N154" s="82" t="s">
        <v>645</v>
      </c>
      <c r="O154" s="82">
        <v>4.0</v>
      </c>
      <c r="P154" s="83">
        <v>4.0</v>
      </c>
      <c r="Q154" s="83">
        <v>5.0</v>
      </c>
      <c r="R154" s="83">
        <v>1500.0</v>
      </c>
      <c r="S154" s="84"/>
      <c r="T154" s="85"/>
      <c r="U154" s="85"/>
      <c r="V154" s="85">
        <v>375.0</v>
      </c>
      <c r="W154" s="82" t="s">
        <v>1160</v>
      </c>
      <c r="X154" s="61"/>
      <c r="Y154" s="62"/>
      <c r="Z154" s="62"/>
      <c r="AA154" s="62"/>
      <c r="AB154" s="62"/>
      <c r="AC154" s="62"/>
      <c r="AD154" s="62"/>
    </row>
    <row r="155" ht="15.0" customHeight="1">
      <c r="A155" s="78" t="s">
        <v>1161</v>
      </c>
      <c r="B155" s="78" t="s">
        <v>1162</v>
      </c>
      <c r="C155" s="78" t="s">
        <v>1163</v>
      </c>
      <c r="D155" s="78"/>
      <c r="E155" s="78"/>
      <c r="F155" s="78"/>
      <c r="G155" s="78"/>
      <c r="H155" s="82" t="s">
        <v>1164</v>
      </c>
      <c r="I155" s="82"/>
      <c r="J155" s="78" t="s">
        <v>1165</v>
      </c>
      <c r="K155" s="78"/>
      <c r="L155" s="81" t="s">
        <v>1134</v>
      </c>
      <c r="M155" s="82">
        <v>2023.0</v>
      </c>
      <c r="N155" s="82"/>
      <c r="O155" s="82">
        <v>5.0</v>
      </c>
      <c r="P155" s="83">
        <v>1.0</v>
      </c>
      <c r="Q155" s="83">
        <v>5.0</v>
      </c>
      <c r="R155" s="83">
        <v>200.0</v>
      </c>
      <c r="S155" s="84" t="s">
        <v>1166</v>
      </c>
      <c r="T155" s="85" t="s">
        <v>1167</v>
      </c>
      <c r="U155" s="85" t="s">
        <v>1102</v>
      </c>
      <c r="V155" s="85">
        <v>40.0</v>
      </c>
      <c r="W155" s="82" t="s">
        <v>1168</v>
      </c>
      <c r="X155" s="61"/>
      <c r="Y155" s="62"/>
      <c r="Z155" s="62"/>
      <c r="AA155" s="62"/>
      <c r="AB155" s="62"/>
      <c r="AC155" s="62"/>
      <c r="AD155" s="62"/>
    </row>
    <row r="156" ht="15.75" customHeight="1">
      <c r="A156" s="61" t="s">
        <v>185</v>
      </c>
      <c r="B156" s="61"/>
      <c r="C156" s="61"/>
      <c r="D156" s="61"/>
      <c r="E156" s="61"/>
      <c r="F156" s="61"/>
      <c r="G156" s="61"/>
      <c r="H156" s="61"/>
      <c r="I156" s="61"/>
      <c r="J156" s="61"/>
      <c r="K156" s="61"/>
      <c r="L156" s="61"/>
      <c r="M156" s="61"/>
      <c r="N156" s="61"/>
      <c r="O156" s="61"/>
      <c r="P156" s="61"/>
      <c r="Q156" s="61"/>
      <c r="R156" s="61"/>
      <c r="S156" s="62"/>
      <c r="T156" s="61"/>
      <c r="U156" s="61"/>
      <c r="V156" s="101">
        <f>SUM(V12:V155)</f>
        <v>47912.97238</v>
      </c>
      <c r="W156" s="62"/>
      <c r="X156" s="61"/>
      <c r="Y156" s="62"/>
      <c r="Z156" s="62"/>
      <c r="AA156" s="62"/>
      <c r="AB156" s="62"/>
      <c r="AC156" s="62"/>
      <c r="AD156" s="62"/>
    </row>
    <row r="157" ht="15.75" customHeight="1">
      <c r="A157" s="61"/>
      <c r="B157" s="61"/>
      <c r="C157" s="61"/>
      <c r="D157" s="61"/>
      <c r="E157" s="61"/>
      <c r="F157" s="61"/>
      <c r="G157" s="61"/>
      <c r="H157" s="61"/>
      <c r="I157" s="61"/>
      <c r="J157" s="61"/>
      <c r="K157" s="61"/>
      <c r="L157" s="61"/>
      <c r="M157" s="61"/>
      <c r="N157" s="61"/>
      <c r="O157" s="61"/>
      <c r="P157" s="61"/>
      <c r="Q157" s="61"/>
      <c r="R157" s="61"/>
      <c r="S157" s="61"/>
      <c r="T157" s="61"/>
      <c r="U157" s="61"/>
      <c r="V157" s="61"/>
      <c r="W157" s="61"/>
      <c r="X157" s="61"/>
      <c r="Y157" s="62"/>
      <c r="Z157" s="62"/>
      <c r="AA157" s="62"/>
      <c r="AB157" s="62"/>
      <c r="AC157" s="62"/>
      <c r="AD157" s="62"/>
    </row>
    <row r="158" ht="15.75" customHeight="1">
      <c r="A158" s="102" t="s">
        <v>1169</v>
      </c>
      <c r="B158" s="103"/>
      <c r="C158" s="103"/>
      <c r="D158" s="103"/>
      <c r="E158" s="103"/>
      <c r="F158" s="103"/>
      <c r="G158" s="103"/>
      <c r="H158" s="103"/>
      <c r="I158" s="103"/>
      <c r="J158" s="103"/>
      <c r="K158" s="103"/>
      <c r="L158" s="103"/>
      <c r="M158" s="103"/>
      <c r="N158" s="103"/>
      <c r="O158" s="103"/>
      <c r="P158" s="103"/>
      <c r="Q158" s="103"/>
      <c r="R158" s="103"/>
      <c r="S158" s="103"/>
      <c r="T158" s="103"/>
      <c r="U158" s="61"/>
      <c r="V158" s="61"/>
      <c r="W158" s="61"/>
      <c r="X158" s="61"/>
      <c r="Y158" s="62"/>
      <c r="Z158" s="62"/>
      <c r="AA158" s="62"/>
      <c r="AB158" s="62"/>
      <c r="AC158" s="62"/>
      <c r="AD158" s="62"/>
    </row>
    <row r="159" ht="15.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row>
    <row r="160" ht="15.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row>
    <row r="161" ht="15.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row>
    <row r="162" ht="15.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row>
    <row r="163" ht="15.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row>
    <row r="164" ht="15.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row>
    <row r="165" ht="15.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row>
    <row r="166" ht="15.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row>
    <row r="167" ht="15.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row>
    <row r="168" ht="15.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row>
    <row r="169" ht="15.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row>
    <row r="170" ht="15.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row>
    <row r="171" ht="15.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row>
    <row r="172" ht="15.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row>
    <row r="173" ht="15.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row>
    <row r="174" ht="15.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row>
    <row r="175" ht="15.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row>
    <row r="176" ht="15.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row>
    <row r="177" ht="15.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row>
    <row r="178" ht="15.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row>
    <row r="179" ht="15.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row>
    <row r="180" ht="15.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row>
    <row r="181" ht="15.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row>
    <row r="182" ht="15.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row>
    <row r="183" ht="15.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row>
    <row r="184" ht="15.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row>
    <row r="185" ht="15.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row>
    <row r="186" ht="15.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row>
    <row r="187" ht="15.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row>
    <row r="188" ht="15.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row>
    <row r="189" ht="15.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row>
    <row r="190" ht="15.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row>
    <row r="191" ht="15.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row>
    <row r="192" ht="15.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row>
    <row r="193" ht="15.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row>
    <row r="194" ht="15.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row>
    <row r="195" ht="15.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row>
    <row r="196" ht="15.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row>
    <row r="197" ht="15.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row>
    <row r="198" ht="15.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row>
    <row r="199" ht="15.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row>
    <row r="200" ht="15.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row>
    <row r="201" ht="15.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row>
    <row r="202" ht="15.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row>
    <row r="203" ht="15.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row>
    <row r="204" ht="15.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row>
    <row r="205" ht="15.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row>
    <row r="206" ht="15.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row>
    <row r="207" ht="15.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row>
    <row r="208" ht="15.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row>
    <row r="209" ht="15.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row>
    <row r="210" ht="15.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row>
    <row r="211" ht="15.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row>
    <row r="212" ht="15.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row>
    <row r="213" ht="15.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row>
    <row r="214" ht="15.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row>
    <row r="215" ht="15.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row>
    <row r="216" ht="15.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row>
    <row r="217" ht="15.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row>
    <row r="218" ht="15.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row>
    <row r="219" ht="15.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row>
    <row r="220" ht="15.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row>
    <row r="221" ht="15.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row>
    <row r="222" ht="15.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row>
    <row r="223" ht="15.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row>
    <row r="224" ht="15.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row>
    <row r="225" ht="15.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row>
    <row r="226" ht="15.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row>
    <row r="227" ht="15.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row>
    <row r="228" ht="15.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row>
    <row r="229" ht="15.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row>
    <row r="230" ht="15.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row>
    <row r="231" ht="15.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row>
    <row r="232" ht="15.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row>
    <row r="233" ht="15.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row>
    <row r="234" ht="15.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row>
    <row r="235" ht="15.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row>
    <row r="236" ht="15.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row>
    <row r="237" ht="15.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row>
    <row r="238" ht="15.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row>
    <row r="239" ht="15.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row>
    <row r="240" ht="15.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row>
    <row r="241" ht="15.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row>
    <row r="242" ht="15.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row>
    <row r="243" ht="15.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row>
    <row r="244" ht="15.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row>
    <row r="245" ht="15.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row>
    <row r="246" ht="15.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row>
    <row r="247" ht="15.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row>
    <row r="248" ht="15.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row>
    <row r="249" ht="15.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row>
    <row r="250" ht="15.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row>
    <row r="251" ht="15.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row>
    <row r="252" ht="15.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row>
    <row r="253" ht="15.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row>
    <row r="254" ht="15.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row>
    <row r="255" ht="15.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row>
    <row r="256" ht="15.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row>
    <row r="257" ht="15.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row>
    <row r="258" ht="15.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row>
    <row r="259" ht="15.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row>
    <row r="260" ht="15.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row>
    <row r="261" ht="15.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row>
    <row r="262" ht="15.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row>
    <row r="263" ht="15.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row>
    <row r="264" ht="15.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row>
    <row r="265" ht="15.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row>
    <row r="266" ht="15.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row>
    <row r="267" ht="15.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row>
    <row r="268" ht="15.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row>
    <row r="269" ht="15.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row>
    <row r="270" ht="15.75" customHeight="1">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row>
    <row r="271" ht="15.75" customHeight="1">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row>
    <row r="272" ht="15.75" customHeight="1">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row>
    <row r="273" ht="15.75" customHeight="1">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row>
    <row r="274" ht="15.75" customHeight="1">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row>
    <row r="275" ht="15.75" customHeight="1">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row>
    <row r="276" ht="15.75" customHeight="1">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row>
    <row r="277" ht="15.75" customHeight="1">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row>
    <row r="278" ht="15.75" customHeight="1">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row>
    <row r="279" ht="15.75" customHeight="1">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row>
    <row r="280" ht="15.75" customHeight="1">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row>
    <row r="281" ht="15.75" customHeight="1">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row>
    <row r="282" ht="15.75" customHeight="1">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row>
    <row r="283" ht="15.75" customHeight="1">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row>
    <row r="284" ht="15.75" customHeight="1">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row>
    <row r="285" ht="15.75" customHeight="1">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row>
    <row r="286" ht="15.75" customHeight="1">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row>
    <row r="287" ht="15.75" customHeight="1">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row>
    <row r="288" ht="15.75" customHeight="1">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row>
    <row r="289" ht="15.75" customHeight="1">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row>
    <row r="290" ht="15.75" customHeight="1">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row>
    <row r="291" ht="15.75" customHeight="1">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row>
    <row r="292" ht="15.75" customHeight="1">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row>
    <row r="293" ht="15.75" customHeight="1">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row>
    <row r="294" ht="15.75" customHeight="1">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row>
    <row r="295" ht="15.75" customHeight="1">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row>
    <row r="296" ht="15.75" customHeight="1">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row>
    <row r="297" ht="15.75" customHeight="1">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row>
    <row r="298" ht="15.75" customHeight="1">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row>
    <row r="299" ht="15.75" customHeight="1">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row>
    <row r="300" ht="15.75" customHeight="1">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row>
    <row r="301" ht="15.75" customHeight="1">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row>
    <row r="302" ht="15.75" customHeight="1">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row>
    <row r="303" ht="15.75" customHeight="1">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row>
    <row r="304" ht="15.75" customHeight="1">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row>
    <row r="305" ht="15.75" customHeight="1">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row>
    <row r="306" ht="15.75" customHeight="1">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row>
    <row r="307" ht="15.75" customHeight="1">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row>
    <row r="308" ht="15.75" customHeight="1">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row>
    <row r="309" ht="15.7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row>
    <row r="310" ht="15.7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row>
    <row r="311" ht="15.7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row>
    <row r="312" ht="15.7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row>
    <row r="313" ht="15.7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row>
    <row r="314" ht="15.7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row>
    <row r="315" ht="15.7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row>
    <row r="316" ht="15.7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row>
    <row r="317" ht="15.7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row>
    <row r="318" ht="15.7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row>
    <row r="319" ht="15.7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row>
    <row r="320" ht="15.7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row>
    <row r="321" ht="15.7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row>
    <row r="322" ht="15.7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row>
    <row r="323" ht="15.7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row>
    <row r="324" ht="15.7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row>
    <row r="325" ht="15.7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row>
    <row r="326" ht="15.7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row>
    <row r="327" ht="15.75" customHeight="1">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row>
    <row r="328" ht="15.75" customHeight="1">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row>
    <row r="329" ht="15.75" customHeight="1">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row>
    <row r="330" ht="15.75" customHeight="1">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row>
    <row r="331" ht="15.75" customHeight="1">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row>
    <row r="332" ht="15.75" customHeight="1">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row>
    <row r="333" ht="15.75" customHeight="1">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row>
    <row r="334" ht="15.75" customHeight="1">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row>
    <row r="335" ht="15.75" customHeight="1">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row>
    <row r="336" ht="15.75" customHeight="1">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row>
    <row r="337" ht="15.75" customHeight="1">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row>
    <row r="338" ht="15.75" customHeight="1">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row>
    <row r="339" ht="15.75" customHeight="1">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row>
    <row r="340" ht="15.75" customHeight="1">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row>
    <row r="341" ht="15.75" customHeight="1">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row>
    <row r="342" ht="15.75" customHeight="1">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row>
    <row r="343" ht="15.75" customHeight="1">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row>
    <row r="344" ht="15.75" customHeight="1">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row>
    <row r="345" ht="15.75" customHeight="1">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row>
    <row r="346" ht="15.75" customHeight="1">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row>
    <row r="347" ht="15.75" customHeight="1">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row>
    <row r="348" ht="15.75" customHeight="1">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row>
    <row r="349" ht="15.75" customHeight="1">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row>
    <row r="350" ht="15.75" customHeight="1">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row>
    <row r="351" ht="15.75" customHeight="1">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row>
    <row r="352" ht="15.75" customHeight="1">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row>
    <row r="353" ht="15.75" customHeight="1">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row>
    <row r="354" ht="15.75" customHeight="1">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row>
    <row r="355" ht="15.75" customHeight="1">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row>
    <row r="356" ht="15.75" customHeight="1">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row>
    <row r="357" ht="15.75" customHeight="1">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row>
    <row r="358" ht="15.75" customHeight="1">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row>
    <row r="359" ht="15.75" customHeight="1">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row>
    <row r="360" ht="15.75" customHeight="1">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row>
    <row r="361" ht="15.75" customHeight="1">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row>
    <row r="362" ht="15.75" customHeight="1">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row>
    <row r="363" ht="15.75" customHeight="1">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row>
    <row r="364" ht="15.75" customHeight="1">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row>
    <row r="365" ht="15.75" customHeight="1">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row>
    <row r="366" ht="15.75" customHeight="1">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row>
    <row r="367" ht="15.75" customHeight="1">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row>
    <row r="368" ht="15.75" customHeight="1">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row>
    <row r="369" ht="15.75" customHeight="1">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row>
    <row r="370" ht="15.75" customHeight="1">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row>
    <row r="371" ht="15.75" customHeight="1">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row>
    <row r="372" ht="15.75" customHeight="1">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row>
    <row r="373" ht="15.75" customHeight="1">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row>
    <row r="374" ht="15.75" customHeight="1">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row>
    <row r="375" ht="15.75" customHeight="1">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row>
    <row r="376" ht="15.75" customHeight="1">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row>
    <row r="377" ht="15.75" customHeight="1">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row>
    <row r="378" ht="15.75" customHeight="1">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row>
    <row r="379" ht="15.75" customHeight="1">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row>
    <row r="380" ht="15.75" customHeight="1">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row>
    <row r="381" ht="15.75" customHeight="1">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row>
    <row r="382" ht="15.75" customHeight="1">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row>
    <row r="383" ht="15.75" customHeight="1">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row>
    <row r="384" ht="15.75" customHeight="1">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row>
    <row r="385" ht="15.75" customHeight="1">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row>
    <row r="386" ht="15.75" customHeight="1">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row>
    <row r="387" ht="15.75" customHeight="1">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row>
    <row r="388" ht="15.75" customHeight="1">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row>
    <row r="389" ht="15.75" customHeight="1">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row>
    <row r="390" ht="15.75" customHeight="1">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row>
    <row r="391" ht="15.7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row>
    <row r="392" ht="15.7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row>
    <row r="393" ht="15.7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row>
    <row r="394" ht="15.7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row>
    <row r="395" ht="15.7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row>
    <row r="396" ht="15.7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row>
    <row r="397" ht="15.7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row>
    <row r="398" ht="15.7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row>
    <row r="399" ht="15.7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row>
    <row r="400" ht="15.7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row>
    <row r="401" ht="15.7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row>
    <row r="402" ht="15.7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row>
    <row r="403" ht="15.7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row>
    <row r="404" ht="15.7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row>
    <row r="405" ht="15.7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row>
    <row r="406" ht="15.7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row>
    <row r="407" ht="15.7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row>
    <row r="408" ht="15.7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row>
    <row r="409" ht="15.7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row>
    <row r="410" ht="15.7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row>
    <row r="411" ht="15.7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row>
    <row r="412" ht="15.7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row>
    <row r="413" ht="15.7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row>
    <row r="414" ht="15.7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row>
    <row r="415" ht="15.7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row>
    <row r="416" ht="15.7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row>
    <row r="417" ht="15.7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row>
    <row r="418" ht="15.7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row>
    <row r="419" ht="15.7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row>
    <row r="420" ht="15.7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row>
    <row r="421" ht="15.7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row>
    <row r="422" ht="15.7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row>
    <row r="423" ht="15.7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row>
    <row r="424" ht="15.7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row>
    <row r="425" ht="15.7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row>
    <row r="426" ht="15.7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row>
    <row r="427" ht="15.7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row>
    <row r="428" ht="15.7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row>
    <row r="429" ht="15.7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row>
    <row r="430" ht="15.7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row>
    <row r="431" ht="15.7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row>
    <row r="432" ht="15.7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row>
    <row r="433" ht="15.7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row>
    <row r="434" ht="15.7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row>
    <row r="435" ht="15.7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row>
    <row r="436" ht="15.7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row>
    <row r="437" ht="15.7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row>
    <row r="438" ht="15.7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row>
    <row r="439" ht="15.7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row>
    <row r="440" ht="15.7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row>
    <row r="441" ht="15.7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row>
    <row r="442" ht="15.7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row>
    <row r="443" ht="15.7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row>
    <row r="444" ht="15.7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row>
    <row r="445" ht="15.7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row>
    <row r="446" ht="15.7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row>
    <row r="447" ht="15.7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row>
    <row r="448" ht="15.7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row>
    <row r="449" ht="15.7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row>
    <row r="450" ht="15.7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row>
    <row r="451" ht="15.7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row>
    <row r="452" ht="15.7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row>
    <row r="453" ht="15.7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row>
    <row r="454" ht="15.7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row>
    <row r="455" ht="15.7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row>
    <row r="456" ht="15.7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row>
    <row r="457" ht="15.7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row>
    <row r="458" ht="15.7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row>
    <row r="459" ht="15.7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row>
    <row r="460" ht="15.7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row>
    <row r="461" ht="15.7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row>
    <row r="462" ht="15.7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row>
    <row r="463" ht="15.7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row>
    <row r="464" ht="15.7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row>
    <row r="465" ht="15.7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row>
    <row r="466" ht="15.7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row>
    <row r="467" ht="15.7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row>
    <row r="468" ht="15.7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row>
    <row r="469" ht="15.7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row>
    <row r="470" ht="15.7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row>
    <row r="471" ht="15.7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row>
    <row r="472" ht="15.7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row>
    <row r="473" ht="15.7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row>
    <row r="474" ht="15.7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row>
    <row r="475" ht="15.7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row>
    <row r="476" ht="15.7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row>
    <row r="477" ht="15.7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row>
    <row r="478" ht="15.7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row>
    <row r="479" ht="15.7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row>
    <row r="480" ht="15.7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row>
    <row r="481" ht="15.7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row>
    <row r="482" ht="15.7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row>
    <row r="483" ht="15.7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row>
    <row r="484" ht="15.7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row>
    <row r="485" ht="15.7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row>
    <row r="486" ht="15.7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row>
    <row r="487" ht="15.7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row>
    <row r="488" ht="15.7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row>
    <row r="489" ht="15.7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row>
    <row r="490" ht="15.7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row>
    <row r="491" ht="15.7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row>
    <row r="492" ht="15.7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row>
    <row r="493" ht="15.7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row>
    <row r="494" ht="15.7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row>
    <row r="495" ht="15.7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row>
    <row r="496" ht="15.7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row>
    <row r="497" ht="15.7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row>
    <row r="498" ht="15.7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row>
    <row r="499" ht="15.7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row>
    <row r="500" ht="15.7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row>
    <row r="501" ht="15.7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row>
    <row r="502" ht="15.7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row>
    <row r="503" ht="15.7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row>
    <row r="504" ht="15.7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row>
    <row r="505" ht="15.7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row>
    <row r="506" ht="15.7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row>
    <row r="507" ht="15.7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row>
    <row r="508" ht="15.7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row>
    <row r="509" ht="15.7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row>
    <row r="510" ht="15.7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row>
    <row r="511" ht="15.7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row>
    <row r="512" ht="15.7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row>
    <row r="513" ht="15.7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row>
    <row r="514" ht="15.7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row>
    <row r="515" ht="15.7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row>
    <row r="516" ht="15.7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row>
    <row r="517" ht="15.7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row>
    <row r="518" ht="15.7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row>
    <row r="519" ht="15.7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row>
    <row r="520" ht="15.7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row>
    <row r="521" ht="15.7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row>
    <row r="522" ht="15.7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row>
    <row r="523" ht="15.7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row>
    <row r="524" ht="15.7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row>
    <row r="525" ht="15.7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row>
    <row r="526" ht="15.7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row>
    <row r="527" ht="15.7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row>
    <row r="528" ht="15.7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row>
    <row r="529" ht="15.7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row>
    <row r="530" ht="15.7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row>
    <row r="531" ht="15.7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row>
    <row r="532" ht="15.7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row>
    <row r="533" ht="15.7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row>
    <row r="534" ht="15.7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row>
    <row r="535" ht="15.7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row>
    <row r="536" ht="15.7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row>
    <row r="537" ht="15.7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row>
    <row r="538" ht="15.7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row>
    <row r="539" ht="15.7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row>
    <row r="540" ht="15.7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row>
    <row r="541" ht="15.7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row>
    <row r="542" ht="15.7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row>
    <row r="543" ht="15.7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row>
    <row r="544" ht="15.7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row>
    <row r="545" ht="15.7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row>
    <row r="546" ht="15.7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row>
    <row r="547" ht="15.7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row>
    <row r="548" ht="15.7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row>
    <row r="549" ht="15.7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row>
    <row r="550" ht="15.7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row>
    <row r="551" ht="15.7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row>
    <row r="552" ht="15.7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row>
    <row r="553" ht="15.7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row>
    <row r="554" ht="15.7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row>
    <row r="555" ht="15.7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row>
    <row r="556" ht="15.7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row>
    <row r="557" ht="15.7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row>
    <row r="558" ht="15.7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row>
    <row r="559" ht="15.7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row>
    <row r="560" ht="15.7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row>
    <row r="561" ht="15.7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row>
    <row r="562" ht="15.7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row>
    <row r="563" ht="15.7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row>
    <row r="564" ht="15.7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row>
    <row r="565" ht="15.7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row>
    <row r="566" ht="15.7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row>
    <row r="567" ht="15.7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row>
    <row r="568" ht="15.7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row>
    <row r="569" ht="15.7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row>
    <row r="570" ht="15.7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row>
    <row r="571" ht="15.7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row>
    <row r="572" ht="15.7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row>
    <row r="573" ht="15.7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row>
    <row r="574" ht="15.7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row>
    <row r="575" ht="15.7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row>
    <row r="576" ht="15.7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row>
    <row r="577" ht="15.7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row>
    <row r="578" ht="15.7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row>
    <row r="579" ht="15.7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row>
    <row r="580" ht="15.7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row>
    <row r="581" ht="15.7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row>
    <row r="582" ht="15.7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row>
    <row r="583" ht="15.7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row>
    <row r="584" ht="15.7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row>
    <row r="585" ht="15.7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row>
    <row r="586" ht="15.7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row>
    <row r="587" ht="15.7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row>
    <row r="588" ht="15.7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row>
    <row r="589" ht="15.7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row>
    <row r="590" ht="15.7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row>
    <row r="591" ht="15.7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row>
    <row r="592" ht="15.7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row>
    <row r="593" ht="15.7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row>
    <row r="594" ht="15.7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row>
    <row r="595" ht="15.7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row>
    <row r="596" ht="15.7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row>
    <row r="597" ht="15.7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row>
    <row r="598" ht="15.7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row>
    <row r="599" ht="15.7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row>
    <row r="600" ht="15.7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row>
    <row r="601" ht="15.7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row>
    <row r="602" ht="15.7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row>
    <row r="603" ht="15.7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row>
    <row r="604" ht="15.7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row>
    <row r="605" ht="15.7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row>
    <row r="606" ht="15.7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row>
    <row r="607" ht="15.7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row>
    <row r="608" ht="15.7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row>
    <row r="609" ht="15.7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row>
    <row r="610" ht="15.7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row>
    <row r="611" ht="15.7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row>
    <row r="612" ht="15.7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row>
    <row r="613" ht="15.7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row>
    <row r="614" ht="15.7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row>
    <row r="615" ht="15.7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row>
    <row r="616" ht="15.7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row>
    <row r="617" ht="15.7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row>
    <row r="618" ht="15.7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row>
    <row r="619" ht="15.7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row>
    <row r="620" ht="15.7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row>
    <row r="621" ht="15.7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row>
    <row r="622" ht="15.7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row>
    <row r="623" ht="15.7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row>
    <row r="624" ht="15.7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row>
    <row r="625" ht="15.7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row>
    <row r="626" ht="15.7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row>
    <row r="627" ht="15.7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row>
    <row r="628" ht="15.7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row>
    <row r="629" ht="15.7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row>
    <row r="630" ht="15.7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row>
    <row r="631" ht="15.7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row>
    <row r="632" ht="15.7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row>
    <row r="633" ht="15.7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row>
    <row r="634" ht="15.7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row>
    <row r="635" ht="15.7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row>
    <row r="636" ht="15.7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row>
    <row r="637" ht="15.7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row>
    <row r="638" ht="15.7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row>
    <row r="639" ht="15.7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row>
    <row r="640" ht="15.7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row>
    <row r="641" ht="15.7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row>
    <row r="642" ht="15.7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row>
    <row r="643" ht="15.7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row>
    <row r="644" ht="15.7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row>
    <row r="645" ht="15.7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row>
    <row r="646" ht="15.7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row>
    <row r="647" ht="15.7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row>
    <row r="648" ht="15.7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row>
    <row r="649" ht="15.7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row>
    <row r="650" ht="15.7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row>
    <row r="651" ht="15.7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row>
    <row r="652" ht="15.7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row>
    <row r="653" ht="15.7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row>
    <row r="654" ht="15.7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row>
    <row r="655" ht="15.7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row>
    <row r="656" ht="15.7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row>
    <row r="657" ht="15.7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row>
    <row r="658" ht="15.7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row>
    <row r="659" ht="15.7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row>
    <row r="660" ht="15.7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row>
    <row r="661" ht="15.7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row>
    <row r="662" ht="15.7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row>
    <row r="663" ht="15.7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row>
    <row r="664" ht="15.7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row>
    <row r="665" ht="15.7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row>
    <row r="666" ht="15.7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row>
    <row r="667" ht="15.7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row>
    <row r="668" ht="15.7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row>
    <row r="669" ht="15.7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row>
    <row r="670" ht="15.7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row>
    <row r="671" ht="15.7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row>
    <row r="672" ht="15.7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row>
    <row r="673" ht="15.7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row>
    <row r="674" ht="15.7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row>
    <row r="675" ht="15.7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row>
    <row r="676" ht="15.7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row>
    <row r="677" ht="15.7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row>
    <row r="678" ht="15.7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row>
    <row r="679" ht="15.7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row>
    <row r="680" ht="15.7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row>
    <row r="681" ht="15.7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row>
    <row r="682" ht="15.7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row>
    <row r="683" ht="15.7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row>
    <row r="684" ht="15.7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row>
    <row r="685" ht="15.7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row>
    <row r="686" ht="15.7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row>
    <row r="687" ht="15.7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row>
    <row r="688" ht="15.7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row>
    <row r="689" ht="15.7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row>
    <row r="690" ht="15.7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row>
    <row r="691" ht="15.7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row>
    <row r="692" ht="15.7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row>
    <row r="693" ht="15.7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row>
    <row r="694" ht="15.7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row>
    <row r="695" ht="15.7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row>
    <row r="696" ht="15.7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row>
    <row r="697" ht="15.7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row>
    <row r="698" ht="15.7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row>
    <row r="699" ht="15.7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row>
    <row r="700" ht="15.7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row>
    <row r="701" ht="15.7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row>
    <row r="702" ht="15.7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row>
    <row r="703" ht="15.7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row>
    <row r="704" ht="15.7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row>
    <row r="705" ht="15.7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row>
    <row r="706" ht="15.7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row>
    <row r="707" ht="15.7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row>
    <row r="708" ht="15.7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row>
    <row r="709" ht="15.7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row>
    <row r="710" ht="15.7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row>
    <row r="711" ht="15.7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row>
    <row r="712" ht="15.7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row>
    <row r="713" ht="15.7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row>
    <row r="714" ht="15.7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row>
    <row r="715" ht="15.7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row>
    <row r="716" ht="15.7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row>
    <row r="717" ht="15.7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row>
    <row r="718" ht="15.7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row>
    <row r="719" ht="15.7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row>
    <row r="720" ht="15.7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row>
    <row r="721" ht="15.7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row>
    <row r="722" ht="15.7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row>
    <row r="723" ht="15.7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row>
    <row r="724" ht="15.7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row>
    <row r="725" ht="15.7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row>
    <row r="726" ht="15.7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row>
    <row r="727" ht="15.7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row>
    <row r="728" ht="15.7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row>
    <row r="729" ht="15.7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row>
    <row r="730" ht="15.7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row>
    <row r="731" ht="15.7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row>
    <row r="732" ht="15.7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row>
    <row r="733" ht="15.7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row>
    <row r="734" ht="15.7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row>
    <row r="735" ht="15.7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row>
    <row r="736" ht="15.7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row>
    <row r="737" ht="15.7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row>
    <row r="738" ht="15.7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row>
    <row r="739" ht="15.7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row>
    <row r="740" ht="15.7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row>
    <row r="741" ht="15.7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row>
    <row r="742" ht="15.7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row>
    <row r="743" ht="15.7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row>
    <row r="744" ht="15.7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row>
    <row r="745" ht="15.7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row>
    <row r="746" ht="15.7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row>
    <row r="747" ht="15.7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row>
    <row r="748" ht="15.7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row>
    <row r="749" ht="15.7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row>
    <row r="750" ht="15.7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row>
    <row r="751" ht="15.7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row>
    <row r="752" ht="15.7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row>
    <row r="753" ht="15.7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row>
    <row r="754" ht="15.7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row>
    <row r="755" ht="15.7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row>
    <row r="756" ht="15.7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row>
    <row r="757" ht="15.7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row>
    <row r="758" ht="15.7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row>
    <row r="759" ht="15.7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row>
    <row r="760" ht="15.7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row>
    <row r="761" ht="15.7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row>
    <row r="762" ht="15.7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row>
    <row r="763" ht="15.7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row>
    <row r="764" ht="15.7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row>
    <row r="765" ht="15.7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row>
    <row r="766" ht="15.7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row>
    <row r="767" ht="15.7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row>
    <row r="768" ht="15.7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row>
    <row r="769" ht="15.7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row>
    <row r="770" ht="15.7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row>
    <row r="771" ht="15.7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row>
    <row r="772" ht="15.7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row>
    <row r="773" ht="15.7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row>
    <row r="774" ht="15.7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row>
    <row r="775" ht="15.7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row>
    <row r="776" ht="15.7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row>
    <row r="777" ht="15.7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row>
    <row r="778" ht="15.7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row>
    <row r="779" ht="15.7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row>
    <row r="780" ht="15.7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row>
    <row r="781" ht="15.7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row>
    <row r="782" ht="15.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row>
    <row r="783" ht="15.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row>
    <row r="784" ht="15.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row>
    <row r="785" ht="15.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row>
    <row r="786" ht="15.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row>
    <row r="787" ht="15.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row>
    <row r="788" ht="15.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row>
    <row r="789" ht="15.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row>
    <row r="790" ht="15.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row>
    <row r="791" ht="15.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row>
    <row r="792" ht="15.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row>
    <row r="793" ht="15.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row>
    <row r="794" ht="15.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row>
    <row r="795" ht="15.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row>
    <row r="796" ht="15.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row>
    <row r="797" ht="15.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row>
    <row r="798" ht="15.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row>
    <row r="799" ht="15.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row>
    <row r="800" ht="15.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row>
    <row r="801" ht="15.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row>
    <row r="802" ht="15.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row>
    <row r="803" ht="15.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row>
    <row r="804" ht="15.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row>
    <row r="805" ht="15.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row>
    <row r="806" ht="15.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row>
    <row r="807" ht="15.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row>
    <row r="808" ht="15.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row>
    <row r="809" ht="15.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row>
    <row r="810" ht="15.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row>
    <row r="811" ht="15.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row>
    <row r="812" ht="15.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row>
    <row r="813" ht="15.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row>
    <row r="814" ht="15.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row>
    <row r="815" ht="15.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row>
    <row r="816" ht="15.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row>
    <row r="817" ht="15.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row>
    <row r="818" ht="15.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row>
    <row r="819" ht="15.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row>
    <row r="820" ht="15.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row>
    <row r="821" ht="15.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row>
    <row r="822" ht="15.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row>
    <row r="823" ht="15.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row>
    <row r="824" ht="15.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row>
    <row r="825" ht="15.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row>
    <row r="826" ht="15.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row>
    <row r="827" ht="15.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row>
    <row r="828" ht="15.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row>
    <row r="829" ht="15.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row>
    <row r="830" ht="15.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row>
    <row r="831" ht="15.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row>
    <row r="832" ht="15.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row>
    <row r="833" ht="15.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row>
    <row r="834" ht="15.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row>
    <row r="835" ht="15.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row>
    <row r="836" ht="15.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row>
    <row r="837" ht="15.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row>
    <row r="838" ht="15.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row>
    <row r="839" ht="15.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row>
    <row r="840" ht="15.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row>
    <row r="841" ht="15.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row>
    <row r="842" ht="15.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row>
    <row r="843" ht="15.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row>
    <row r="844" ht="15.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row>
    <row r="845" ht="15.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row>
    <row r="846" ht="15.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row>
    <row r="847" ht="15.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row>
    <row r="848" ht="15.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row>
    <row r="849" ht="15.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row>
    <row r="850" ht="15.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row>
    <row r="851" ht="15.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row>
    <row r="852" ht="15.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row>
    <row r="853" ht="15.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row>
    <row r="854" ht="15.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row>
    <row r="855" ht="15.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row>
    <row r="856" ht="15.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row>
    <row r="857" ht="15.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row>
    <row r="858" ht="15.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row>
    <row r="859" ht="15.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row>
    <row r="860" ht="15.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row>
    <row r="861" ht="15.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row>
    <row r="862" ht="15.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row>
    <row r="863" ht="15.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row>
    <row r="864" ht="15.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row>
    <row r="865" ht="15.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row>
    <row r="866" ht="15.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row>
    <row r="867" ht="15.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row>
    <row r="868" ht="15.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row>
    <row r="869" ht="15.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row>
    <row r="870" ht="15.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row>
    <row r="871" ht="15.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row>
    <row r="872" ht="15.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row>
    <row r="873" ht="15.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row>
    <row r="874" ht="15.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row>
    <row r="875" ht="15.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row>
    <row r="876" ht="15.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row>
    <row r="877" ht="15.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row>
    <row r="878" ht="15.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row>
    <row r="879" ht="15.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row>
    <row r="880" ht="15.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row>
    <row r="881" ht="15.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row>
    <row r="882" ht="15.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row>
    <row r="883" ht="15.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row>
    <row r="884" ht="15.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row>
    <row r="885" ht="15.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row>
    <row r="886" ht="15.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row>
    <row r="887" ht="15.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row>
    <row r="888" ht="15.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row>
    <row r="889" ht="15.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row>
    <row r="890" ht="15.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row>
    <row r="891" ht="15.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row>
    <row r="892" ht="15.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row>
    <row r="893" ht="15.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row>
    <row r="894" ht="15.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row>
    <row r="895" ht="15.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row>
    <row r="896" ht="15.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row>
    <row r="897" ht="15.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row>
    <row r="898" ht="15.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row>
    <row r="899" ht="15.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row>
    <row r="900" ht="15.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row>
    <row r="901" ht="15.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row>
    <row r="902" ht="15.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row>
    <row r="903" ht="15.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row>
    <row r="904" ht="15.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row>
    <row r="905" ht="15.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row>
    <row r="906" ht="15.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row>
    <row r="907" ht="15.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row>
    <row r="908" ht="15.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row>
    <row r="909" ht="15.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row>
    <row r="910" ht="15.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row>
    <row r="911" ht="15.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row>
    <row r="912" ht="15.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row>
    <row r="913" ht="15.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row>
    <row r="914" ht="15.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row>
    <row r="915" ht="15.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row>
    <row r="916" ht="15.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row>
    <row r="917" ht="15.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row>
    <row r="918" ht="15.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row>
    <row r="919" ht="15.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row>
    <row r="920" ht="15.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row>
    <row r="921" ht="15.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row>
    <row r="922" ht="15.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row>
    <row r="923" ht="15.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row>
    <row r="924" ht="15.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row>
    <row r="925" ht="15.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row>
    <row r="926" ht="15.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row>
    <row r="927" ht="15.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row>
    <row r="928" ht="15.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row>
    <row r="929" ht="15.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row>
    <row r="930" ht="15.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row>
    <row r="931" ht="15.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row>
    <row r="932" ht="15.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row>
    <row r="933" ht="15.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row>
    <row r="934" ht="15.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row>
    <row r="935" ht="15.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row>
    <row r="936" ht="15.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row>
    <row r="937" ht="15.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row>
    <row r="938" ht="15.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row>
    <row r="939" ht="15.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row>
    <row r="940" ht="15.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row>
    <row r="941" ht="15.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row>
    <row r="942" ht="15.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row>
    <row r="943" ht="15.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row>
    <row r="944" ht="15.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row>
    <row r="945" ht="15.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row>
    <row r="946" ht="15.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row>
    <row r="947" ht="15.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row>
    <row r="948" ht="15.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row>
    <row r="949" ht="15.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row>
    <row r="950" ht="15.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row>
    <row r="951" ht="15.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row>
    <row r="952" ht="15.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row>
    <row r="953" ht="15.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row>
    <row r="954" ht="15.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row>
    <row r="955" ht="15.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row>
    <row r="956" ht="15.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row>
    <row r="957" ht="15.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row>
    <row r="958" ht="15.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row>
    <row r="959" ht="15.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row>
    <row r="960" ht="15.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row>
    <row r="961" ht="15.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row>
    <row r="962" ht="15.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row>
    <row r="963" ht="15.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row>
    <row r="964" ht="15.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row>
    <row r="965" ht="15.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row>
    <row r="966" ht="15.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row>
    <row r="967" ht="15.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row>
    <row r="968" ht="15.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row>
    <row r="969" ht="15.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row>
    <row r="970" ht="15.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row>
    <row r="971" ht="15.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row>
    <row r="972" ht="15.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row>
    <row r="973" ht="15.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row>
    <row r="974" ht="15.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row>
    <row r="975" ht="15.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row>
    <row r="976" ht="15.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row>
    <row r="977" ht="15.7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c r="AA977" s="62"/>
      <c r="AB977" s="62"/>
      <c r="AC977" s="62"/>
      <c r="AD977" s="62"/>
    </row>
    <row r="978" ht="15.7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c r="AA978" s="62"/>
      <c r="AB978" s="62"/>
      <c r="AC978" s="62"/>
      <c r="AD978" s="62"/>
    </row>
    <row r="979" ht="15.7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c r="AA979" s="62"/>
      <c r="AB979" s="62"/>
      <c r="AC979" s="62"/>
      <c r="AD979" s="62"/>
    </row>
    <row r="980" ht="15.7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c r="AA980" s="62"/>
      <c r="AB980" s="62"/>
      <c r="AC980" s="62"/>
      <c r="AD980" s="62"/>
    </row>
    <row r="981" ht="15.7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c r="AA981" s="62"/>
      <c r="AB981" s="62"/>
      <c r="AC981" s="62"/>
      <c r="AD981" s="62"/>
    </row>
    <row r="982" ht="15.7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c r="AA982" s="62"/>
      <c r="AB982" s="62"/>
      <c r="AC982" s="62"/>
      <c r="AD982" s="62"/>
    </row>
    <row r="983" ht="15.7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c r="AA983" s="62"/>
      <c r="AB983" s="62"/>
      <c r="AC983" s="62"/>
      <c r="AD983" s="62"/>
    </row>
    <row r="984" ht="15.7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c r="AA984" s="62"/>
      <c r="AB984" s="62"/>
      <c r="AC984" s="62"/>
      <c r="AD984" s="62"/>
    </row>
    <row r="985" ht="15.7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c r="AA985" s="62"/>
      <c r="AB985" s="62"/>
      <c r="AC985" s="62"/>
      <c r="AD985" s="62"/>
    </row>
    <row r="986" ht="15.7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c r="AA986" s="62"/>
      <c r="AB986" s="62"/>
      <c r="AC986" s="62"/>
      <c r="AD986" s="62"/>
    </row>
    <row r="987" ht="15.7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c r="AA987" s="62"/>
      <c r="AB987" s="62"/>
      <c r="AC987" s="62"/>
      <c r="AD987" s="62"/>
    </row>
    <row r="988" ht="15.7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c r="AA988" s="62"/>
      <c r="AB988" s="62"/>
      <c r="AC988" s="62"/>
      <c r="AD988" s="62"/>
    </row>
    <row r="989" ht="15.7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c r="AA989" s="62"/>
      <c r="AB989" s="62"/>
      <c r="AC989" s="62"/>
      <c r="AD989" s="62"/>
    </row>
    <row r="990" ht="15.7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c r="AA990" s="62"/>
      <c r="AB990" s="62"/>
      <c r="AC990" s="62"/>
      <c r="AD990" s="62"/>
    </row>
    <row r="991" ht="15.7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c r="AA991" s="62"/>
      <c r="AB991" s="62"/>
      <c r="AC991" s="62"/>
      <c r="AD991" s="62"/>
    </row>
    <row r="992" ht="15.7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c r="AA992" s="62"/>
      <c r="AB992" s="62"/>
      <c r="AC992" s="62"/>
      <c r="AD992" s="62"/>
    </row>
    <row r="993" ht="15.7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c r="AA993" s="62"/>
      <c r="AB993" s="62"/>
      <c r="AC993" s="62"/>
      <c r="AD993" s="62"/>
    </row>
    <row r="994" ht="15.7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c r="AA994" s="62"/>
      <c r="AB994" s="62"/>
      <c r="AC994" s="62"/>
      <c r="AD994" s="62"/>
    </row>
    <row r="995" ht="15.7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c r="AA995" s="62"/>
      <c r="AB995" s="62"/>
      <c r="AC995" s="62"/>
      <c r="AD995" s="62"/>
    </row>
    <row r="996" ht="15.7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c r="AA996" s="62"/>
      <c r="AB996" s="62"/>
      <c r="AC996" s="62"/>
      <c r="AD996" s="62"/>
    </row>
    <row r="997" ht="15.7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c r="AA997" s="62"/>
      <c r="AB997" s="62"/>
      <c r="AC997" s="62"/>
      <c r="AD997" s="62"/>
    </row>
    <row r="998" ht="15.7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c r="AA998" s="62"/>
      <c r="AB998" s="62"/>
      <c r="AC998" s="62"/>
      <c r="AD998" s="62"/>
    </row>
    <row r="999" ht="15.75" customHeight="1">
      <c r="A999" s="62"/>
      <c r="B999" s="6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c r="AA999" s="62"/>
      <c r="AB999" s="62"/>
      <c r="AC999" s="62"/>
      <c r="AD999" s="62"/>
    </row>
    <row r="1000" ht="15.75" customHeight="1">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c r="AA1000" s="62"/>
      <c r="AB1000" s="62"/>
      <c r="AC1000" s="62"/>
      <c r="AD1000" s="62"/>
    </row>
  </sheetData>
  <mergeCells count="8">
    <mergeCell ref="A2:V2"/>
    <mergeCell ref="A4:V4"/>
    <mergeCell ref="A5:V5"/>
    <mergeCell ref="A6:V6"/>
    <mergeCell ref="A7:V7"/>
    <mergeCell ref="A8:V8"/>
    <mergeCell ref="A9:V9"/>
    <mergeCell ref="A158:T158"/>
  </mergeCells>
  <hyperlinks>
    <hyperlink r:id="rId1" ref="H12"/>
    <hyperlink r:id="rId2" ref="I12"/>
    <hyperlink r:id="rId3" ref="H15"/>
    <hyperlink r:id="rId4" ref="I15"/>
    <hyperlink r:id="rId5" ref="J15"/>
    <hyperlink r:id="rId6" ref="H16"/>
    <hyperlink r:id="rId7" ref="J16"/>
    <hyperlink r:id="rId8" ref="H18"/>
    <hyperlink r:id="rId9" ref="I18"/>
    <hyperlink r:id="rId10" ref="H19"/>
    <hyperlink r:id="rId11" ref="I19"/>
    <hyperlink r:id="rId12" ref="H20"/>
    <hyperlink r:id="rId13" ref="I20"/>
    <hyperlink r:id="rId14" ref="H21"/>
    <hyperlink r:id="rId15" ref="H23"/>
    <hyperlink r:id="rId16" ref="I23"/>
    <hyperlink r:id="rId17" ref="H24"/>
    <hyperlink r:id="rId18" ref="I24"/>
    <hyperlink r:id="rId19" ref="H30"/>
    <hyperlink r:id="rId20" ref="I30"/>
    <hyperlink r:id="rId21" ref="J30"/>
    <hyperlink r:id="rId22" ref="I31"/>
    <hyperlink r:id="rId23" ref="J31"/>
    <hyperlink r:id="rId24" ref="H32"/>
    <hyperlink r:id="rId25" ref="I32"/>
    <hyperlink r:id="rId26" ref="J32"/>
    <hyperlink r:id="rId27" ref="H34"/>
    <hyperlink r:id="rId28" ref="I34"/>
    <hyperlink r:id="rId29" ref="H35"/>
    <hyperlink r:id="rId30" ref="H36"/>
    <hyperlink r:id="rId31" ref="I36"/>
    <hyperlink r:id="rId32" ref="H37"/>
    <hyperlink r:id="rId33" ref="I37"/>
    <hyperlink r:id="rId34" ref="H38"/>
    <hyperlink r:id="rId35" ref="I38"/>
    <hyperlink r:id="rId36" ref="H41"/>
    <hyperlink r:id="rId37" ref="I41"/>
    <hyperlink r:id="rId38" ref="H48"/>
    <hyperlink r:id="rId39" ref="H58"/>
    <hyperlink r:id="rId40" ref="J58"/>
    <hyperlink r:id="rId41" ref="H59"/>
    <hyperlink r:id="rId42" ref="J59"/>
    <hyperlink r:id="rId43" ref="H60"/>
    <hyperlink r:id="rId44" ref="I60"/>
    <hyperlink r:id="rId45" ref="J60"/>
    <hyperlink r:id="rId46" ref="H61"/>
    <hyperlink r:id="rId47" ref="I62"/>
    <hyperlink r:id="rId48" ref="J62"/>
    <hyperlink r:id="rId49" ref="H63"/>
    <hyperlink r:id="rId50" ref="J63"/>
    <hyperlink r:id="rId51" ref="H64"/>
    <hyperlink r:id="rId52" ref="J64"/>
    <hyperlink r:id="rId53" ref="H66"/>
    <hyperlink r:id="rId54" ref="I66"/>
    <hyperlink r:id="rId55" ref="H67"/>
    <hyperlink r:id="rId56" ref="I67"/>
    <hyperlink r:id="rId57" ref="H68"/>
    <hyperlink r:id="rId58" ref="I68"/>
    <hyperlink r:id="rId59" ref="J68"/>
    <hyperlink r:id="rId60" ref="H69"/>
    <hyperlink r:id="rId61" ref="I69"/>
    <hyperlink r:id="rId62" ref="J69"/>
    <hyperlink r:id="rId63" ref="H70"/>
    <hyperlink r:id="rId64" ref="I70"/>
    <hyperlink r:id="rId65" ref="J70"/>
    <hyperlink r:id="rId66" ref="H71"/>
    <hyperlink r:id="rId67" ref="H72"/>
    <hyperlink r:id="rId68" ref="H74"/>
    <hyperlink r:id="rId69" ref="I74"/>
    <hyperlink r:id="rId70" ref="H75"/>
    <hyperlink r:id="rId71" ref="I75"/>
    <hyperlink r:id="rId72" ref="H76"/>
    <hyperlink r:id="rId73" ref="I76"/>
    <hyperlink r:id="rId74" ref="H77"/>
    <hyperlink r:id="rId75" ref="I77"/>
    <hyperlink r:id="rId76" ref="J77"/>
    <hyperlink r:id="rId77" ref="H78"/>
    <hyperlink r:id="rId78" ref="I78"/>
    <hyperlink r:id="rId79" ref="J78"/>
    <hyperlink r:id="rId80" ref="H79"/>
    <hyperlink r:id="rId81" ref="I79"/>
    <hyperlink r:id="rId82" ref="H80"/>
    <hyperlink r:id="rId83" ref="I80"/>
    <hyperlink r:id="rId84" ref="H81"/>
    <hyperlink r:id="rId85" ref="I81"/>
    <hyperlink r:id="rId86" ref="H82"/>
    <hyperlink r:id="rId87" ref="I82"/>
    <hyperlink r:id="rId88" ref="H84"/>
    <hyperlink r:id="rId89" ref="I84"/>
    <hyperlink r:id="rId90" ref="H85"/>
    <hyperlink r:id="rId91" ref="I85"/>
    <hyperlink r:id="rId92" ref="J85"/>
    <hyperlink r:id="rId93" ref="H86"/>
    <hyperlink r:id="rId94" ref="I86"/>
    <hyperlink r:id="rId95" ref="H87"/>
    <hyperlink r:id="rId96" ref="I87"/>
    <hyperlink r:id="rId97" ref="H88"/>
    <hyperlink r:id="rId98" ref="I88"/>
    <hyperlink r:id="rId99" ref="H89"/>
    <hyperlink r:id="rId100" ref="I89"/>
    <hyperlink r:id="rId101" ref="H90"/>
    <hyperlink r:id="rId102" ref="I90"/>
    <hyperlink r:id="rId103" ref="H91"/>
    <hyperlink r:id="rId104" ref="I91"/>
    <hyperlink r:id="rId105" ref="H92"/>
    <hyperlink r:id="rId106" ref="I92"/>
    <hyperlink r:id="rId107" ref="H93"/>
    <hyperlink r:id="rId108" ref="I93"/>
    <hyperlink r:id="rId109" ref="H94"/>
    <hyperlink r:id="rId110" ref="I94"/>
    <hyperlink r:id="rId111" ref="H95"/>
    <hyperlink r:id="rId112" ref="I95"/>
    <hyperlink r:id="rId113" ref="H96"/>
    <hyperlink r:id="rId114" ref="I96"/>
    <hyperlink r:id="rId115" ref="H97"/>
    <hyperlink r:id="rId116" ref="I97"/>
    <hyperlink r:id="rId117" ref="H98"/>
    <hyperlink r:id="rId118" ref="I98"/>
    <hyperlink r:id="rId119" ref="H99"/>
    <hyperlink r:id="rId120" ref="I99"/>
    <hyperlink r:id="rId121" ref="H100"/>
    <hyperlink r:id="rId122" ref="I100"/>
    <hyperlink r:id="rId123" ref="H101"/>
    <hyperlink r:id="rId124" ref="I101"/>
    <hyperlink r:id="rId125" ref="H102"/>
    <hyperlink r:id="rId126" ref="I102"/>
    <hyperlink r:id="rId127" ref="H103"/>
    <hyperlink r:id="rId128" ref="I103"/>
    <hyperlink r:id="rId129" ref="H104"/>
    <hyperlink r:id="rId130" ref="I104"/>
    <hyperlink r:id="rId131" ref="H105"/>
    <hyperlink r:id="rId132" ref="I105"/>
    <hyperlink r:id="rId133" ref="H106"/>
    <hyperlink r:id="rId134" ref="I106"/>
    <hyperlink r:id="rId135" ref="H107"/>
    <hyperlink r:id="rId136" ref="I107"/>
    <hyperlink r:id="rId137" ref="H108"/>
    <hyperlink r:id="rId138" ref="I108"/>
    <hyperlink r:id="rId139" ref="H109"/>
    <hyperlink r:id="rId140" ref="I109"/>
    <hyperlink r:id="rId141" ref="H110"/>
    <hyperlink r:id="rId142" ref="I110"/>
    <hyperlink r:id="rId143" ref="H111"/>
    <hyperlink r:id="rId144" ref="I111"/>
    <hyperlink r:id="rId145" ref="H112"/>
    <hyperlink r:id="rId146" ref="I112"/>
    <hyperlink r:id="rId147" ref="I113"/>
    <hyperlink r:id="rId148" ref="A114"/>
    <hyperlink r:id="rId149" ref="H114"/>
    <hyperlink r:id="rId150" ref="I114"/>
    <hyperlink r:id="rId151" ref="H115"/>
    <hyperlink r:id="rId152" ref="I115"/>
    <hyperlink r:id="rId153" ref="H116"/>
    <hyperlink r:id="rId154" ref="I116"/>
    <hyperlink r:id="rId155" ref="H117"/>
    <hyperlink r:id="rId156" ref="I117"/>
    <hyperlink r:id="rId157" ref="H118"/>
    <hyperlink r:id="rId158" ref="I118"/>
    <hyperlink r:id="rId159" ref="H119"/>
    <hyperlink r:id="rId160" ref="I119"/>
    <hyperlink r:id="rId161" ref="H120"/>
    <hyperlink r:id="rId162" ref="I120"/>
    <hyperlink r:id="rId163" ref="H121"/>
    <hyperlink r:id="rId164" ref="I121"/>
    <hyperlink r:id="rId165" ref="H122"/>
    <hyperlink r:id="rId166" ref="I122"/>
    <hyperlink r:id="rId167" ref="H123"/>
    <hyperlink r:id="rId168" ref="H124"/>
    <hyperlink r:id="rId169" ref="H125"/>
    <hyperlink r:id="rId170" ref="I125"/>
    <hyperlink r:id="rId171" ref="H126"/>
    <hyperlink r:id="rId172" ref="I126"/>
    <hyperlink r:id="rId173" ref="I127"/>
    <hyperlink r:id="rId174" ref="H128"/>
    <hyperlink r:id="rId175" ref="I128"/>
    <hyperlink r:id="rId176" ref="H129"/>
    <hyperlink r:id="rId177" ref="I129"/>
    <hyperlink r:id="rId178" ref="H130"/>
    <hyperlink r:id="rId179" ref="I130"/>
    <hyperlink r:id="rId180" ref="H131"/>
    <hyperlink r:id="rId181" ref="I131"/>
    <hyperlink r:id="rId182" ref="H132"/>
    <hyperlink r:id="rId183" ref="I132"/>
    <hyperlink r:id="rId184" ref="H133"/>
    <hyperlink r:id="rId185" ref="I133"/>
    <hyperlink r:id="rId186" ref="H134"/>
    <hyperlink r:id="rId187" ref="I134"/>
    <hyperlink r:id="rId188" ref="H135"/>
    <hyperlink r:id="rId189" ref="I135"/>
    <hyperlink r:id="rId190" ref="H136"/>
    <hyperlink r:id="rId191" ref="I136"/>
    <hyperlink r:id="rId192" ref="J137"/>
  </hyperlinks>
  <printOptions/>
  <pageMargins bottom="0.75" footer="0.0" header="0.0" left="0.7" right="0.7" top="0.75"/>
  <pageSetup orientation="landscape"/>
  <drawing r:id="rId193"/>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9.29"/>
    <col customWidth="1" min="14" max="30" width="8.0"/>
  </cols>
  <sheetData>
    <row r="1">
      <c r="A1" s="104"/>
      <c r="B1" s="61"/>
      <c r="C1" s="61"/>
      <c r="D1" s="1"/>
      <c r="E1" s="1"/>
      <c r="F1" s="1"/>
      <c r="G1" s="1"/>
      <c r="H1" s="1"/>
      <c r="I1" s="1"/>
      <c r="J1" s="1"/>
      <c r="K1" s="1"/>
      <c r="L1" s="1"/>
    </row>
    <row r="2" ht="15.75" customHeight="1">
      <c r="A2" s="105" t="s">
        <v>8945</v>
      </c>
      <c r="B2" s="64"/>
      <c r="C2" s="64"/>
      <c r="D2" s="64"/>
      <c r="E2" s="64"/>
      <c r="F2" s="64"/>
      <c r="G2" s="64"/>
      <c r="H2" s="64"/>
      <c r="I2" s="64"/>
      <c r="J2" s="64"/>
      <c r="K2" s="64"/>
      <c r="L2" s="65"/>
      <c r="M2" s="107"/>
      <c r="N2" s="107"/>
      <c r="O2" s="107"/>
      <c r="P2" s="107"/>
      <c r="Q2" s="107"/>
      <c r="R2" s="107"/>
      <c r="S2" s="107"/>
      <c r="T2" s="107"/>
      <c r="U2" s="107"/>
      <c r="V2" s="107"/>
      <c r="W2" s="107"/>
      <c r="X2" s="107"/>
      <c r="Y2" s="107"/>
      <c r="Z2" s="107"/>
      <c r="AA2" s="107"/>
      <c r="AB2" s="107"/>
      <c r="AC2" s="107"/>
      <c r="AD2" s="107"/>
    </row>
    <row r="3">
      <c r="A3" s="145"/>
      <c r="B3" s="145"/>
      <c r="C3" s="145"/>
      <c r="D3" s="145"/>
      <c r="E3" s="145"/>
      <c r="F3" s="145"/>
      <c r="G3" s="145"/>
      <c r="H3" s="145"/>
      <c r="I3" s="145"/>
      <c r="J3" s="145"/>
      <c r="K3" s="145"/>
      <c r="L3" s="145"/>
      <c r="M3" s="107"/>
      <c r="N3" s="107"/>
      <c r="O3" s="107"/>
      <c r="P3" s="107"/>
      <c r="Q3" s="107"/>
      <c r="R3" s="107"/>
      <c r="S3" s="107"/>
      <c r="T3" s="107"/>
      <c r="U3" s="107"/>
      <c r="V3" s="107"/>
      <c r="W3" s="107"/>
      <c r="X3" s="107"/>
      <c r="Y3" s="107"/>
      <c r="Z3" s="107"/>
      <c r="AA3" s="107"/>
      <c r="AB3" s="107"/>
      <c r="AC3" s="107"/>
      <c r="AD3" s="107"/>
    </row>
    <row r="4" ht="26.25" customHeight="1">
      <c r="A4" s="108" t="s">
        <v>8946</v>
      </c>
      <c r="B4" s="64"/>
      <c r="C4" s="64"/>
      <c r="D4" s="64"/>
      <c r="E4" s="64"/>
      <c r="F4" s="64"/>
      <c r="G4" s="64"/>
      <c r="H4" s="64"/>
      <c r="I4" s="64"/>
      <c r="J4" s="64"/>
      <c r="K4" s="64"/>
      <c r="L4" s="65"/>
      <c r="M4" s="107"/>
      <c r="N4" s="107"/>
      <c r="O4" s="107"/>
      <c r="P4" s="107"/>
      <c r="Q4" s="107"/>
      <c r="R4" s="107"/>
      <c r="S4" s="107"/>
      <c r="T4" s="107"/>
      <c r="U4" s="107"/>
      <c r="V4" s="107"/>
      <c r="W4" s="107"/>
      <c r="X4" s="107"/>
      <c r="Y4" s="107"/>
      <c r="Z4" s="107"/>
      <c r="AA4" s="107"/>
      <c r="AB4" s="107"/>
      <c r="AC4" s="107"/>
      <c r="AD4" s="107"/>
    </row>
    <row r="5">
      <c r="A5" s="108" t="s">
        <v>8947</v>
      </c>
      <c r="B5" s="64"/>
      <c r="C5" s="64"/>
      <c r="D5" s="64"/>
      <c r="E5" s="64"/>
      <c r="F5" s="64"/>
      <c r="G5" s="64"/>
      <c r="H5" s="64"/>
      <c r="I5" s="64"/>
      <c r="J5" s="64"/>
      <c r="K5" s="64"/>
      <c r="L5" s="65"/>
      <c r="M5" s="107"/>
      <c r="N5" s="107"/>
      <c r="O5" s="107"/>
      <c r="P5" s="107"/>
      <c r="Q5" s="107"/>
      <c r="R5" s="107"/>
      <c r="S5" s="107"/>
      <c r="T5" s="107"/>
      <c r="U5" s="107"/>
      <c r="V5" s="107"/>
      <c r="W5" s="107"/>
      <c r="X5" s="107"/>
      <c r="Y5" s="107"/>
      <c r="Z5" s="107"/>
      <c r="AA5" s="107"/>
      <c r="AB5" s="107"/>
      <c r="AC5" s="107"/>
      <c r="AD5" s="107"/>
    </row>
    <row r="6" ht="15.75" customHeight="1">
      <c r="A6" s="108" t="s">
        <v>8948</v>
      </c>
      <c r="B6" s="64"/>
      <c r="C6" s="64"/>
      <c r="D6" s="64"/>
      <c r="E6" s="64"/>
      <c r="F6" s="64"/>
      <c r="G6" s="64"/>
      <c r="H6" s="64"/>
      <c r="I6" s="64"/>
      <c r="J6" s="64"/>
      <c r="K6" s="64"/>
      <c r="L6" s="65"/>
      <c r="M6" s="107"/>
      <c r="N6" s="107"/>
      <c r="O6" s="107"/>
      <c r="P6" s="107"/>
      <c r="Q6" s="107"/>
      <c r="R6" s="107"/>
      <c r="S6" s="107"/>
      <c r="T6" s="107"/>
      <c r="U6" s="107"/>
      <c r="V6" s="107"/>
      <c r="W6" s="107"/>
      <c r="X6" s="107"/>
      <c r="Y6" s="107"/>
      <c r="Z6" s="107"/>
      <c r="AA6" s="107"/>
      <c r="AB6" s="107"/>
      <c r="AC6" s="107"/>
      <c r="AD6" s="107"/>
    </row>
    <row r="7" ht="30.0" customHeight="1">
      <c r="A7" s="108" t="s">
        <v>8949</v>
      </c>
      <c r="B7" s="64"/>
      <c r="C7" s="64"/>
      <c r="D7" s="64"/>
      <c r="E7" s="64"/>
      <c r="F7" s="64"/>
      <c r="G7" s="64"/>
      <c r="H7" s="64"/>
      <c r="I7" s="64"/>
      <c r="J7" s="64"/>
      <c r="K7" s="64"/>
      <c r="L7" s="65"/>
      <c r="M7" s="107"/>
      <c r="N7" s="107"/>
      <c r="O7" s="107"/>
      <c r="P7" s="107"/>
      <c r="Q7" s="107"/>
      <c r="R7" s="107"/>
      <c r="S7" s="107"/>
      <c r="T7" s="107"/>
      <c r="U7" s="107"/>
      <c r="V7" s="107"/>
      <c r="W7" s="107"/>
      <c r="X7" s="107"/>
      <c r="Y7" s="107"/>
      <c r="Z7" s="107"/>
      <c r="AA7" s="107"/>
      <c r="AB7" s="107"/>
      <c r="AC7" s="107"/>
      <c r="AD7" s="107"/>
    </row>
    <row r="8" ht="80.25" customHeight="1">
      <c r="A8" s="108" t="s">
        <v>8950</v>
      </c>
      <c r="B8" s="64"/>
      <c r="C8" s="64"/>
      <c r="D8" s="64"/>
      <c r="E8" s="64"/>
      <c r="F8" s="64"/>
      <c r="G8" s="64"/>
      <c r="H8" s="64"/>
      <c r="I8" s="64"/>
      <c r="J8" s="64"/>
      <c r="K8" s="64"/>
      <c r="L8" s="65"/>
      <c r="M8" s="107"/>
      <c r="N8" s="107"/>
      <c r="O8" s="107"/>
      <c r="P8" s="107"/>
      <c r="Q8" s="107"/>
      <c r="R8" s="107"/>
      <c r="S8" s="107"/>
      <c r="T8" s="107"/>
      <c r="U8" s="107"/>
      <c r="V8" s="107"/>
      <c r="W8" s="107"/>
      <c r="X8" s="107"/>
      <c r="Y8" s="107"/>
      <c r="Z8" s="107"/>
      <c r="AA8" s="107"/>
      <c r="AB8" s="107"/>
      <c r="AC8" s="107"/>
      <c r="AD8" s="107"/>
    </row>
    <row r="9">
      <c r="A9" s="109"/>
      <c r="B9" s="110"/>
      <c r="C9" s="110"/>
      <c r="D9" s="109"/>
      <c r="E9" s="109"/>
      <c r="F9" s="109"/>
      <c r="G9" s="109"/>
      <c r="H9" s="109"/>
      <c r="I9" s="109"/>
      <c r="J9" s="109"/>
      <c r="K9" s="109"/>
      <c r="L9" s="109"/>
      <c r="M9" s="107"/>
      <c r="N9" s="107"/>
      <c r="O9" s="107"/>
      <c r="P9" s="107"/>
      <c r="Q9" s="107"/>
      <c r="R9" s="107"/>
      <c r="S9" s="107"/>
      <c r="T9" s="107"/>
      <c r="U9" s="107"/>
      <c r="V9" s="107"/>
      <c r="W9" s="107"/>
      <c r="X9" s="107"/>
      <c r="Y9" s="107"/>
      <c r="Z9" s="107"/>
      <c r="AA9" s="107"/>
      <c r="AB9" s="107"/>
      <c r="AC9" s="107"/>
      <c r="AD9" s="107"/>
    </row>
    <row r="10" ht="51.0" customHeight="1">
      <c r="A10" s="131" t="s">
        <v>7</v>
      </c>
      <c r="B10" s="131" t="s">
        <v>1196</v>
      </c>
      <c r="C10" s="131" t="s">
        <v>1197</v>
      </c>
      <c r="D10" s="131" t="s">
        <v>1198</v>
      </c>
      <c r="E10" s="131" t="s">
        <v>1199</v>
      </c>
      <c r="F10" s="132" t="s">
        <v>8</v>
      </c>
      <c r="G10" s="131" t="s">
        <v>1200</v>
      </c>
      <c r="H10" s="131" t="s">
        <v>1201</v>
      </c>
      <c r="I10" s="131" t="s">
        <v>1202</v>
      </c>
      <c r="J10" s="131" t="s">
        <v>1203</v>
      </c>
      <c r="K10" s="131" t="s">
        <v>1204</v>
      </c>
      <c r="L10" s="132" t="s">
        <v>221</v>
      </c>
      <c r="M10" s="113" t="s">
        <v>222</v>
      </c>
      <c r="N10" s="107"/>
      <c r="O10" s="107"/>
      <c r="P10" s="107"/>
      <c r="Q10" s="107"/>
      <c r="R10" s="107"/>
      <c r="S10" s="107"/>
      <c r="T10" s="107"/>
      <c r="U10" s="107"/>
      <c r="V10" s="107"/>
      <c r="W10" s="107"/>
      <c r="X10" s="107"/>
      <c r="Y10" s="107"/>
      <c r="Z10" s="107"/>
      <c r="AA10" s="107"/>
      <c r="AB10" s="107"/>
      <c r="AC10" s="107"/>
      <c r="AD10" s="107"/>
    </row>
    <row r="11">
      <c r="A11" s="148" t="s">
        <v>8951</v>
      </c>
      <c r="B11" s="148" t="s">
        <v>8952</v>
      </c>
      <c r="C11" s="148" t="s">
        <v>8953</v>
      </c>
      <c r="D11" s="148" t="s">
        <v>8954</v>
      </c>
      <c r="E11" s="148" t="s">
        <v>8955</v>
      </c>
      <c r="F11" s="148" t="s">
        <v>52</v>
      </c>
      <c r="G11" s="148"/>
      <c r="H11" s="148">
        <v>2022.0</v>
      </c>
      <c r="I11" s="148">
        <v>2023.0</v>
      </c>
      <c r="J11" s="148" t="s">
        <v>8956</v>
      </c>
      <c r="K11" s="148">
        <v>800.0</v>
      </c>
      <c r="L11" s="148">
        <v>200.0</v>
      </c>
      <c r="M11" s="339" t="s">
        <v>59</v>
      </c>
    </row>
    <row r="12" ht="15.0" customHeight="1">
      <c r="A12" s="82" t="s">
        <v>8566</v>
      </c>
      <c r="B12" s="82" t="s">
        <v>8957</v>
      </c>
      <c r="C12" s="82" t="s">
        <v>8958</v>
      </c>
      <c r="D12" s="82" t="s">
        <v>1212</v>
      </c>
      <c r="E12" s="82" t="s">
        <v>8632</v>
      </c>
      <c r="F12" s="82" t="s">
        <v>94</v>
      </c>
      <c r="G12" s="376" t="s">
        <v>8959</v>
      </c>
      <c r="H12" s="83">
        <v>2022.0</v>
      </c>
      <c r="I12" s="83">
        <v>2023.0</v>
      </c>
      <c r="J12" s="451" t="s">
        <v>8960</v>
      </c>
      <c r="K12" s="451">
        <v>300.0</v>
      </c>
      <c r="L12" s="84">
        <v>50.0</v>
      </c>
      <c r="M12" s="339" t="s">
        <v>5698</v>
      </c>
    </row>
    <row r="13" ht="15.0" customHeight="1">
      <c r="A13" s="82" t="s">
        <v>8961</v>
      </c>
      <c r="B13" s="82" t="s">
        <v>8957</v>
      </c>
      <c r="C13" s="82" t="s">
        <v>8958</v>
      </c>
      <c r="D13" s="82" t="s">
        <v>1212</v>
      </c>
      <c r="E13" s="82" t="s">
        <v>8632</v>
      </c>
      <c r="F13" s="82" t="s">
        <v>94</v>
      </c>
      <c r="G13" s="376" t="s">
        <v>8959</v>
      </c>
      <c r="H13" s="83">
        <v>2022.0</v>
      </c>
      <c r="I13" s="83">
        <v>2023.0</v>
      </c>
      <c r="J13" s="451" t="s">
        <v>8960</v>
      </c>
      <c r="K13" s="451">
        <v>300.0</v>
      </c>
      <c r="L13" s="84">
        <v>20.0</v>
      </c>
      <c r="M13" s="339" t="s">
        <v>8578</v>
      </c>
    </row>
    <row r="14" ht="15.0" customHeight="1">
      <c r="A14" s="82" t="s">
        <v>8632</v>
      </c>
      <c r="B14" s="82" t="s">
        <v>8957</v>
      </c>
      <c r="C14" s="82" t="s">
        <v>8958</v>
      </c>
      <c r="D14" s="82" t="s">
        <v>1212</v>
      </c>
      <c r="E14" s="82" t="s">
        <v>8632</v>
      </c>
      <c r="F14" s="82" t="s">
        <v>94</v>
      </c>
      <c r="G14" s="376" t="s">
        <v>8959</v>
      </c>
      <c r="H14" s="83">
        <v>2022.0</v>
      </c>
      <c r="I14" s="83">
        <v>2023.0</v>
      </c>
      <c r="J14" s="451" t="s">
        <v>8960</v>
      </c>
      <c r="K14" s="451">
        <v>300.0</v>
      </c>
      <c r="L14" s="84">
        <v>80.0</v>
      </c>
      <c r="M14" s="339" t="s">
        <v>8632</v>
      </c>
    </row>
    <row r="15" ht="15.0" customHeight="1">
      <c r="A15" s="82" t="s">
        <v>141</v>
      </c>
      <c r="B15" s="82" t="s">
        <v>8957</v>
      </c>
      <c r="C15" s="82" t="s">
        <v>8958</v>
      </c>
      <c r="D15" s="82" t="s">
        <v>1212</v>
      </c>
      <c r="E15" s="82" t="s">
        <v>8632</v>
      </c>
      <c r="F15" s="82" t="s">
        <v>94</v>
      </c>
      <c r="G15" s="376" t="s">
        <v>8959</v>
      </c>
      <c r="H15" s="83">
        <v>2022.0</v>
      </c>
      <c r="I15" s="83">
        <v>2023.0</v>
      </c>
      <c r="J15" s="451" t="s">
        <v>8960</v>
      </c>
      <c r="K15" s="451">
        <v>300.0</v>
      </c>
      <c r="L15" s="84">
        <v>50.0</v>
      </c>
      <c r="M15" s="339" t="s">
        <v>8962</v>
      </c>
    </row>
    <row r="16">
      <c r="A16" s="452" t="s">
        <v>861</v>
      </c>
      <c r="B16" s="452" t="s">
        <v>8957</v>
      </c>
      <c r="C16" s="82" t="s">
        <v>8958</v>
      </c>
      <c r="D16" s="452" t="s">
        <v>1212</v>
      </c>
      <c r="E16" s="452" t="s">
        <v>8632</v>
      </c>
      <c r="F16" s="453" t="s">
        <v>94</v>
      </c>
      <c r="G16" s="452" t="s">
        <v>8959</v>
      </c>
      <c r="H16" s="452">
        <v>2022.0</v>
      </c>
      <c r="I16" s="452">
        <v>2023.0</v>
      </c>
      <c r="J16" s="454" t="s">
        <v>8963</v>
      </c>
      <c r="K16" s="452">
        <v>300.0</v>
      </c>
      <c r="L16" s="455">
        <v>50.0</v>
      </c>
      <c r="M16" s="339" t="s">
        <v>861</v>
      </c>
    </row>
    <row r="17" ht="15.0" customHeight="1">
      <c r="A17" s="82" t="s">
        <v>964</v>
      </c>
      <c r="B17" s="82" t="s">
        <v>8964</v>
      </c>
      <c r="C17" s="82" t="s">
        <v>8965</v>
      </c>
      <c r="D17" s="82" t="s">
        <v>1212</v>
      </c>
      <c r="E17" s="82" t="s">
        <v>8966</v>
      </c>
      <c r="F17" s="82" t="s">
        <v>957</v>
      </c>
      <c r="G17" s="83" t="s">
        <v>8967</v>
      </c>
      <c r="H17" s="83">
        <v>2023.0</v>
      </c>
      <c r="I17" s="83">
        <v>2023.0</v>
      </c>
      <c r="J17" s="451">
        <v>366.34</v>
      </c>
      <c r="K17" s="451">
        <v>300.0</v>
      </c>
      <c r="L17" s="84">
        <v>50.0</v>
      </c>
      <c r="M17" s="339" t="s">
        <v>964</v>
      </c>
    </row>
    <row r="18" ht="15.0" customHeight="1">
      <c r="A18" s="82" t="s">
        <v>8968</v>
      </c>
      <c r="B18" s="82" t="s">
        <v>8969</v>
      </c>
      <c r="C18" s="82" t="s">
        <v>8970</v>
      </c>
      <c r="D18" s="82" t="s">
        <v>1212</v>
      </c>
      <c r="E18" s="82" t="s">
        <v>8968</v>
      </c>
      <c r="F18" s="82" t="s">
        <v>147</v>
      </c>
      <c r="G18" s="83" t="s">
        <v>8971</v>
      </c>
      <c r="H18" s="83">
        <v>2022.0</v>
      </c>
      <c r="I18" s="83">
        <v>2023.0</v>
      </c>
      <c r="J18" s="451" t="s">
        <v>8972</v>
      </c>
      <c r="K18" s="451">
        <v>300.0</v>
      </c>
      <c r="L18" s="456">
        <v>300.0</v>
      </c>
      <c r="M18" s="457" t="s">
        <v>153</v>
      </c>
      <c r="N18" s="107"/>
      <c r="O18" s="107"/>
      <c r="P18" s="107"/>
      <c r="Q18" s="107"/>
      <c r="R18" s="107"/>
      <c r="S18" s="107"/>
      <c r="T18" s="107"/>
      <c r="U18" s="107"/>
      <c r="V18" s="107"/>
      <c r="W18" s="107"/>
      <c r="X18" s="107"/>
      <c r="Y18" s="107"/>
      <c r="Z18" s="107"/>
      <c r="AA18" s="107"/>
      <c r="AB18" s="107"/>
      <c r="AC18" s="107"/>
      <c r="AD18" s="107"/>
    </row>
    <row r="19">
      <c r="A19" s="82" t="s">
        <v>8304</v>
      </c>
      <c r="B19" s="82" t="s">
        <v>8973</v>
      </c>
      <c r="C19" s="82" t="s">
        <v>8974</v>
      </c>
      <c r="D19" s="86" t="s">
        <v>1208</v>
      </c>
      <c r="E19" s="152" t="s">
        <v>8975</v>
      </c>
      <c r="F19" s="274" t="s">
        <v>8976</v>
      </c>
      <c r="G19" s="439"/>
      <c r="H19" s="439">
        <v>2022.0</v>
      </c>
      <c r="I19" s="439">
        <v>2023.0</v>
      </c>
      <c r="J19" s="439" t="s">
        <v>8977</v>
      </c>
      <c r="K19" s="451" t="s">
        <v>8978</v>
      </c>
      <c r="L19" s="456">
        <v>200.0</v>
      </c>
      <c r="M19" s="439" t="s">
        <v>8304</v>
      </c>
    </row>
    <row r="20">
      <c r="A20" s="193" t="s">
        <v>185</v>
      </c>
      <c r="B20" s="61"/>
      <c r="C20" s="61"/>
      <c r="D20" s="1"/>
      <c r="E20" s="1"/>
      <c r="F20" s="1"/>
      <c r="G20" s="106"/>
      <c r="H20" s="232"/>
      <c r="I20" s="232"/>
      <c r="J20" s="232"/>
      <c r="K20" s="232"/>
      <c r="L20" s="232">
        <f>SUM(L11:L19)</f>
        <v>1000</v>
      </c>
    </row>
    <row r="21" ht="15.75" customHeight="1">
      <c r="A21" s="104"/>
      <c r="B21" s="61"/>
      <c r="C21" s="61"/>
      <c r="D21" s="1"/>
      <c r="E21" s="1"/>
      <c r="F21" s="1"/>
      <c r="G21" s="1"/>
      <c r="H21" s="1"/>
      <c r="I21" s="1"/>
      <c r="J21" s="1"/>
      <c r="K21" s="1"/>
      <c r="L21" s="1"/>
    </row>
    <row r="22" ht="15.75" customHeight="1">
      <c r="A22" s="144" t="s">
        <v>1169</v>
      </c>
      <c r="B22" s="103"/>
      <c r="C22" s="103"/>
      <c r="D22" s="103"/>
      <c r="E22" s="103"/>
      <c r="F22" s="103"/>
      <c r="G22" s="103"/>
      <c r="H22" s="103"/>
      <c r="I22" s="103"/>
      <c r="J22" s="103"/>
      <c r="K22" s="103"/>
      <c r="L22" s="103"/>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22:L22"/>
  </mergeCells>
  <hyperlinks>
    <hyperlink r:id="rId1" ref="G12"/>
    <hyperlink r:id="rId2" ref="G13"/>
    <hyperlink r:id="rId3" ref="G14"/>
    <hyperlink r:id="rId4" ref="G15"/>
  </hyperlinks>
  <printOptions/>
  <pageMargins bottom="0.75" footer="0.0" header="0.0" left="0.7" right="0.7" top="0.75"/>
  <pageSetup orientation="landscape"/>
  <drawing r:id="rId5"/>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28.57"/>
    <col customWidth="1" min="10" max="26" width="8.0"/>
  </cols>
  <sheetData>
    <row r="1">
      <c r="A1" s="104"/>
      <c r="B1" s="61"/>
      <c r="C1" s="61"/>
      <c r="D1" s="61"/>
      <c r="E1" s="1"/>
      <c r="F1" s="1"/>
    </row>
    <row r="2" ht="18.75" customHeight="1">
      <c r="A2" s="105" t="s">
        <v>8979</v>
      </c>
      <c r="B2" s="64"/>
      <c r="C2" s="64"/>
      <c r="D2" s="64"/>
      <c r="E2" s="64"/>
      <c r="F2" s="64"/>
      <c r="G2" s="64"/>
      <c r="H2" s="65"/>
      <c r="I2" s="3"/>
      <c r="J2" s="3"/>
      <c r="K2" s="107"/>
      <c r="L2" s="107"/>
      <c r="M2" s="107"/>
      <c r="N2" s="107"/>
      <c r="O2" s="107"/>
      <c r="P2" s="107"/>
      <c r="Q2" s="107"/>
      <c r="R2" s="107"/>
      <c r="S2" s="107"/>
      <c r="T2" s="107"/>
      <c r="U2" s="107"/>
      <c r="V2" s="107"/>
      <c r="W2" s="107"/>
      <c r="X2" s="107"/>
      <c r="Y2" s="107"/>
      <c r="Z2" s="107"/>
    </row>
    <row r="3">
      <c r="A3" s="458"/>
      <c r="B3" s="458"/>
      <c r="C3" s="458"/>
      <c r="D3" s="458"/>
      <c r="E3" s="458"/>
      <c r="F3" s="459"/>
      <c r="G3" s="460"/>
      <c r="H3" s="460"/>
      <c r="I3" s="107"/>
      <c r="J3" s="107"/>
      <c r="K3" s="107"/>
      <c r="L3" s="107"/>
      <c r="M3" s="107"/>
      <c r="N3" s="107"/>
      <c r="O3" s="107"/>
      <c r="P3" s="107"/>
      <c r="Q3" s="107"/>
      <c r="R3" s="107"/>
      <c r="S3" s="107"/>
      <c r="T3" s="107"/>
      <c r="U3" s="107"/>
      <c r="V3" s="107"/>
      <c r="W3" s="107"/>
      <c r="X3" s="107"/>
      <c r="Y3" s="107"/>
      <c r="Z3" s="107"/>
    </row>
    <row r="4" ht="42.0" customHeight="1">
      <c r="A4" s="108" t="s">
        <v>8980</v>
      </c>
      <c r="B4" s="64"/>
      <c r="C4" s="64"/>
      <c r="D4" s="64"/>
      <c r="E4" s="64"/>
      <c r="F4" s="64"/>
      <c r="G4" s="64"/>
      <c r="H4" s="65"/>
      <c r="I4" s="3"/>
      <c r="J4" s="3"/>
      <c r="K4" s="107"/>
      <c r="L4" s="107"/>
      <c r="M4" s="107"/>
      <c r="N4" s="107"/>
      <c r="O4" s="107"/>
      <c r="P4" s="107"/>
      <c r="Q4" s="107"/>
      <c r="R4" s="107"/>
      <c r="S4" s="107"/>
      <c r="T4" s="107"/>
      <c r="U4" s="107"/>
      <c r="V4" s="107"/>
      <c r="W4" s="107"/>
      <c r="X4" s="107"/>
      <c r="Y4" s="107"/>
      <c r="Z4" s="107"/>
    </row>
    <row r="5" ht="27.0" customHeight="1">
      <c r="A5" s="108" t="s">
        <v>8981</v>
      </c>
      <c r="B5" s="64"/>
      <c r="C5" s="64"/>
      <c r="D5" s="64"/>
      <c r="E5" s="64"/>
      <c r="F5" s="64"/>
      <c r="G5" s="64"/>
      <c r="H5" s="65"/>
      <c r="I5" s="3"/>
      <c r="J5" s="3"/>
      <c r="K5" s="107"/>
      <c r="L5" s="107"/>
      <c r="M5" s="107"/>
      <c r="N5" s="107"/>
      <c r="O5" s="107"/>
      <c r="P5" s="107"/>
      <c r="Q5" s="107"/>
      <c r="R5" s="107"/>
      <c r="S5" s="107"/>
      <c r="T5" s="107"/>
      <c r="U5" s="107"/>
      <c r="V5" s="107"/>
      <c r="W5" s="107"/>
      <c r="X5" s="107"/>
      <c r="Y5" s="107"/>
      <c r="Z5" s="107"/>
    </row>
    <row r="6" ht="28.5" customHeight="1">
      <c r="A6" s="108" t="s">
        <v>8982</v>
      </c>
      <c r="B6" s="64"/>
      <c r="C6" s="64"/>
      <c r="D6" s="64"/>
      <c r="E6" s="64"/>
      <c r="F6" s="64"/>
      <c r="G6" s="64"/>
      <c r="H6" s="65"/>
      <c r="I6" s="3"/>
      <c r="J6" s="3"/>
      <c r="K6" s="107"/>
      <c r="L6" s="107"/>
      <c r="M6" s="107"/>
      <c r="N6" s="107"/>
      <c r="O6" s="107"/>
      <c r="P6" s="107"/>
      <c r="Q6" s="107"/>
      <c r="R6" s="107"/>
      <c r="S6" s="107"/>
      <c r="T6" s="107"/>
      <c r="U6" s="107"/>
      <c r="V6" s="107"/>
      <c r="W6" s="107"/>
      <c r="X6" s="107"/>
      <c r="Y6" s="107"/>
      <c r="Z6" s="107"/>
    </row>
    <row r="7" ht="25.5" customHeight="1">
      <c r="A7" s="108" t="s">
        <v>8983</v>
      </c>
      <c r="B7" s="64"/>
      <c r="C7" s="64"/>
      <c r="D7" s="64"/>
      <c r="E7" s="64"/>
      <c r="F7" s="64"/>
      <c r="G7" s="64"/>
      <c r="H7" s="65"/>
      <c r="I7" s="3"/>
      <c r="J7" s="3"/>
      <c r="K7" s="107"/>
      <c r="L7" s="107"/>
      <c r="M7" s="107"/>
      <c r="N7" s="107"/>
      <c r="O7" s="107"/>
      <c r="P7" s="107"/>
      <c r="Q7" s="107"/>
      <c r="R7" s="107"/>
      <c r="S7" s="107"/>
      <c r="T7" s="107"/>
      <c r="U7" s="107"/>
      <c r="V7" s="107"/>
      <c r="W7" s="107"/>
      <c r="X7" s="107"/>
      <c r="Y7" s="107"/>
      <c r="Z7" s="107"/>
    </row>
    <row r="8" ht="26.25" customHeight="1">
      <c r="A8" s="108" t="s">
        <v>8984</v>
      </c>
      <c r="B8" s="64"/>
      <c r="C8" s="64"/>
      <c r="D8" s="64"/>
      <c r="E8" s="64"/>
      <c r="F8" s="64"/>
      <c r="G8" s="64"/>
      <c r="H8" s="65"/>
      <c r="I8" s="3"/>
      <c r="J8" s="3"/>
      <c r="K8" s="107"/>
      <c r="L8" s="107"/>
      <c r="M8" s="107"/>
      <c r="N8" s="107"/>
      <c r="O8" s="107"/>
      <c r="P8" s="107"/>
      <c r="Q8" s="107"/>
      <c r="R8" s="107"/>
      <c r="S8" s="107"/>
      <c r="T8" s="107"/>
      <c r="U8" s="107"/>
      <c r="V8" s="107"/>
      <c r="W8" s="107"/>
      <c r="X8" s="107"/>
      <c r="Y8" s="107"/>
      <c r="Z8" s="107"/>
    </row>
    <row r="9" ht="92.25" customHeight="1">
      <c r="A9" s="67" t="s">
        <v>8985</v>
      </c>
      <c r="B9" s="64"/>
      <c r="C9" s="64"/>
      <c r="D9" s="64"/>
      <c r="E9" s="64"/>
      <c r="F9" s="64"/>
      <c r="G9" s="64"/>
      <c r="H9" s="65"/>
      <c r="I9" s="3"/>
      <c r="J9" s="3"/>
      <c r="K9" s="107"/>
      <c r="L9" s="107"/>
      <c r="M9" s="107"/>
      <c r="N9" s="107"/>
      <c r="O9" s="107"/>
      <c r="P9" s="107"/>
      <c r="Q9" s="107"/>
      <c r="R9" s="107"/>
      <c r="S9" s="107"/>
      <c r="T9" s="107"/>
      <c r="U9" s="107"/>
      <c r="V9" s="107"/>
      <c r="W9" s="107"/>
      <c r="X9" s="107"/>
      <c r="Y9" s="107"/>
      <c r="Z9" s="107"/>
    </row>
    <row r="10">
      <c r="A10" s="104"/>
      <c r="B10" s="61"/>
      <c r="C10" s="61"/>
      <c r="D10" s="61"/>
      <c r="E10" s="1"/>
      <c r="F10" s="1"/>
      <c r="G10" s="107"/>
      <c r="H10" s="107"/>
      <c r="I10" s="107"/>
      <c r="J10" s="107"/>
      <c r="K10" s="107"/>
      <c r="L10" s="107"/>
      <c r="M10" s="107"/>
      <c r="N10" s="107"/>
      <c r="O10" s="107"/>
      <c r="P10" s="107"/>
      <c r="Q10" s="107"/>
      <c r="R10" s="107"/>
      <c r="S10" s="107"/>
      <c r="T10" s="107"/>
      <c r="U10" s="107"/>
      <c r="V10" s="107"/>
      <c r="W10" s="107"/>
      <c r="X10" s="107"/>
      <c r="Y10" s="107"/>
      <c r="Z10" s="107"/>
    </row>
    <row r="11" ht="38.25" customHeight="1">
      <c r="A11" s="228" t="s">
        <v>7</v>
      </c>
      <c r="B11" s="132" t="s">
        <v>8</v>
      </c>
      <c r="C11" s="217" t="s">
        <v>8986</v>
      </c>
      <c r="D11" s="217" t="s">
        <v>8987</v>
      </c>
      <c r="E11" s="217" t="s">
        <v>8988</v>
      </c>
      <c r="F11" s="132" t="s">
        <v>8989</v>
      </c>
      <c r="G11" s="111" t="s">
        <v>1204</v>
      </c>
      <c r="H11" s="111" t="s">
        <v>221</v>
      </c>
      <c r="I11" s="113" t="s">
        <v>222</v>
      </c>
    </row>
    <row r="12" ht="15.0" customHeight="1">
      <c r="A12" s="82" t="s">
        <v>73</v>
      </c>
      <c r="B12" s="82" t="s">
        <v>52</v>
      </c>
      <c r="C12" s="82" t="s">
        <v>8990</v>
      </c>
      <c r="D12" s="86"/>
      <c r="E12" s="152" t="s">
        <v>8991</v>
      </c>
      <c r="F12" s="274" t="s">
        <v>8992</v>
      </c>
      <c r="G12" s="391">
        <v>200.0</v>
      </c>
      <c r="H12" s="391">
        <v>200.0</v>
      </c>
      <c r="I12" s="281" t="s">
        <v>73</v>
      </c>
    </row>
    <row r="13" ht="15.0" customHeight="1">
      <c r="A13" s="82" t="s">
        <v>8931</v>
      </c>
      <c r="B13" s="82" t="s">
        <v>52</v>
      </c>
      <c r="C13" s="82" t="s">
        <v>8993</v>
      </c>
      <c r="D13" s="86"/>
      <c r="E13" s="152" t="s">
        <v>8994</v>
      </c>
      <c r="F13" s="274" t="s">
        <v>8995</v>
      </c>
      <c r="G13" s="282">
        <v>100.0</v>
      </c>
      <c r="H13" s="282">
        <v>100.0</v>
      </c>
      <c r="I13" s="281" t="s">
        <v>76</v>
      </c>
    </row>
    <row r="14" ht="15.0" customHeight="1">
      <c r="A14" s="82" t="s">
        <v>8931</v>
      </c>
      <c r="B14" s="82" t="s">
        <v>52</v>
      </c>
      <c r="C14" s="82" t="s">
        <v>8993</v>
      </c>
      <c r="D14" s="86"/>
      <c r="E14" s="152" t="s">
        <v>8994</v>
      </c>
      <c r="F14" s="274" t="s">
        <v>8996</v>
      </c>
      <c r="G14" s="282">
        <v>100.0</v>
      </c>
      <c r="H14" s="282">
        <v>100.0</v>
      </c>
      <c r="I14" s="281" t="s">
        <v>76</v>
      </c>
    </row>
    <row r="15" ht="15.0" customHeight="1">
      <c r="A15" s="82" t="s">
        <v>7659</v>
      </c>
      <c r="B15" s="82" t="s">
        <v>52</v>
      </c>
      <c r="C15" s="82" t="s">
        <v>8997</v>
      </c>
      <c r="D15" s="86"/>
      <c r="E15" s="152" t="s">
        <v>8998</v>
      </c>
      <c r="F15" s="274" t="s">
        <v>8999</v>
      </c>
      <c r="G15" s="281">
        <f>150*3</f>
        <v>450</v>
      </c>
      <c r="H15" s="281">
        <f>G15</f>
        <v>450</v>
      </c>
      <c r="I15" s="281" t="s">
        <v>60</v>
      </c>
    </row>
    <row r="16" ht="15.0" customHeight="1">
      <c r="A16" s="148" t="s">
        <v>8951</v>
      </c>
      <c r="B16" s="148" t="s">
        <v>52</v>
      </c>
      <c r="C16" s="148" t="s">
        <v>8997</v>
      </c>
      <c r="D16" s="160"/>
      <c r="E16" s="173" t="s">
        <v>9000</v>
      </c>
      <c r="F16" s="461" t="s">
        <v>9001</v>
      </c>
      <c r="G16" s="299">
        <v>150.0</v>
      </c>
      <c r="H16" s="299">
        <v>150.0</v>
      </c>
      <c r="I16" s="281" t="s">
        <v>59</v>
      </c>
    </row>
    <row r="17" ht="15.0" customHeight="1">
      <c r="A17" s="82" t="s">
        <v>8555</v>
      </c>
      <c r="B17" s="82" t="s">
        <v>52</v>
      </c>
      <c r="C17" s="82" t="s">
        <v>8990</v>
      </c>
      <c r="D17" s="86"/>
      <c r="E17" s="152" t="s">
        <v>8991</v>
      </c>
      <c r="F17" s="274" t="s">
        <v>9002</v>
      </c>
      <c r="G17" s="391">
        <v>100.0</v>
      </c>
      <c r="H17" s="391">
        <v>100.0</v>
      </c>
      <c r="I17" s="281" t="s">
        <v>515</v>
      </c>
    </row>
    <row r="18" ht="15.0" customHeight="1">
      <c r="A18" s="82" t="s">
        <v>8555</v>
      </c>
      <c r="B18" s="82" t="s">
        <v>52</v>
      </c>
      <c r="C18" s="82" t="s">
        <v>8990</v>
      </c>
      <c r="D18" s="86"/>
      <c r="E18" s="152" t="s">
        <v>8991</v>
      </c>
      <c r="F18" s="274" t="s">
        <v>9003</v>
      </c>
      <c r="G18" s="391">
        <v>100.0</v>
      </c>
      <c r="H18" s="391">
        <v>100.0</v>
      </c>
      <c r="I18" s="281" t="s">
        <v>515</v>
      </c>
    </row>
    <row r="19" ht="15.0" customHeight="1">
      <c r="A19" s="82" t="s">
        <v>8555</v>
      </c>
      <c r="B19" s="82" t="s">
        <v>52</v>
      </c>
      <c r="C19" s="82" t="s">
        <v>9004</v>
      </c>
      <c r="D19" s="86"/>
      <c r="E19" s="152" t="s">
        <v>8991</v>
      </c>
      <c r="F19" s="274" t="s">
        <v>9005</v>
      </c>
      <c r="G19" s="391">
        <v>100.0</v>
      </c>
      <c r="H19" s="391">
        <v>100.0</v>
      </c>
      <c r="I19" s="281" t="s">
        <v>515</v>
      </c>
    </row>
    <row r="20" ht="15.0" customHeight="1">
      <c r="A20" s="82" t="s">
        <v>8558</v>
      </c>
      <c r="B20" s="82" t="s">
        <v>52</v>
      </c>
      <c r="C20" s="82" t="s">
        <v>8990</v>
      </c>
      <c r="D20" s="86"/>
      <c r="E20" s="152" t="s">
        <v>8991</v>
      </c>
      <c r="F20" s="274" t="s">
        <v>9006</v>
      </c>
      <c r="G20" s="391">
        <v>100.0</v>
      </c>
      <c r="H20" s="391">
        <v>100.0</v>
      </c>
      <c r="I20" s="281" t="s">
        <v>533</v>
      </c>
    </row>
    <row r="21" ht="15.0" customHeight="1">
      <c r="A21" s="82" t="s">
        <v>8558</v>
      </c>
      <c r="B21" s="82" t="s">
        <v>52</v>
      </c>
      <c r="C21" s="82" t="s">
        <v>9007</v>
      </c>
      <c r="D21" s="86"/>
      <c r="E21" s="152" t="s">
        <v>8991</v>
      </c>
      <c r="F21" s="274" t="s">
        <v>9008</v>
      </c>
      <c r="G21" s="391">
        <v>100.0</v>
      </c>
      <c r="H21" s="391">
        <v>100.0</v>
      </c>
      <c r="I21" s="281" t="s">
        <v>533</v>
      </c>
    </row>
    <row r="22" ht="15.0" customHeight="1">
      <c r="A22" s="82" t="s">
        <v>7901</v>
      </c>
      <c r="B22" s="82" t="s">
        <v>94</v>
      </c>
      <c r="C22" s="82" t="s">
        <v>9004</v>
      </c>
      <c r="D22" s="86"/>
      <c r="E22" s="82" t="s">
        <v>7901</v>
      </c>
      <c r="F22" s="274" t="s">
        <v>9009</v>
      </c>
      <c r="G22" s="82">
        <v>100.0</v>
      </c>
      <c r="H22" s="288">
        <f>G22</f>
        <v>100</v>
      </c>
      <c r="I22" s="281" t="s">
        <v>590</v>
      </c>
    </row>
    <row r="23" ht="15.0" customHeight="1">
      <c r="A23" s="82" t="s">
        <v>7901</v>
      </c>
      <c r="B23" s="82" t="s">
        <v>94</v>
      </c>
      <c r="C23" s="82" t="s">
        <v>8997</v>
      </c>
      <c r="D23" s="86"/>
      <c r="E23" s="82" t="s">
        <v>7901</v>
      </c>
      <c r="F23" s="274" t="s">
        <v>9010</v>
      </c>
      <c r="G23" s="82">
        <v>150.0</v>
      </c>
      <c r="H23" s="288">
        <v>150.0</v>
      </c>
      <c r="I23" s="281" t="s">
        <v>590</v>
      </c>
    </row>
    <row r="24" ht="15.0" customHeight="1">
      <c r="A24" s="82" t="s">
        <v>9011</v>
      </c>
      <c r="B24" s="82" t="s">
        <v>94</v>
      </c>
      <c r="C24" s="82" t="s">
        <v>9012</v>
      </c>
      <c r="D24" s="86"/>
      <c r="E24" s="152"/>
      <c r="F24" s="274" t="s">
        <v>9013</v>
      </c>
      <c r="G24" s="282">
        <v>100.0</v>
      </c>
      <c r="H24" s="282">
        <f>G24</f>
        <v>100</v>
      </c>
      <c r="I24" s="281" t="s">
        <v>646</v>
      </c>
    </row>
    <row r="25" ht="15.0" customHeight="1">
      <c r="A25" s="82" t="s">
        <v>8632</v>
      </c>
      <c r="B25" s="82" t="s">
        <v>94</v>
      </c>
      <c r="C25" s="82" t="s">
        <v>9014</v>
      </c>
      <c r="D25" s="86"/>
      <c r="E25" s="152" t="s">
        <v>8994</v>
      </c>
      <c r="F25" s="274" t="s">
        <v>9015</v>
      </c>
      <c r="G25" s="282">
        <v>100.0</v>
      </c>
      <c r="H25" s="282">
        <v>100.0</v>
      </c>
      <c r="I25" s="281" t="s">
        <v>8632</v>
      </c>
    </row>
    <row r="26" ht="15.0" customHeight="1">
      <c r="A26" s="148" t="s">
        <v>3050</v>
      </c>
      <c r="B26" s="148" t="s">
        <v>94</v>
      </c>
      <c r="C26" s="148" t="s">
        <v>9016</v>
      </c>
      <c r="D26" s="160"/>
      <c r="E26" s="173" t="s">
        <v>3050</v>
      </c>
      <c r="F26" s="461" t="s">
        <v>9017</v>
      </c>
      <c r="G26" s="391">
        <v>100.0</v>
      </c>
      <c r="H26" s="391">
        <v>100.0</v>
      </c>
      <c r="I26" s="281" t="s">
        <v>3050</v>
      </c>
    </row>
    <row r="27" ht="15.0" customHeight="1">
      <c r="A27" s="82" t="s">
        <v>7972</v>
      </c>
      <c r="B27" s="82" t="s">
        <v>94</v>
      </c>
      <c r="C27" s="82" t="s">
        <v>9018</v>
      </c>
      <c r="D27" s="86"/>
      <c r="E27" s="152" t="s">
        <v>9019</v>
      </c>
      <c r="F27" s="274" t="s">
        <v>9020</v>
      </c>
      <c r="G27" s="282">
        <v>100.0</v>
      </c>
      <c r="H27" s="282">
        <v>100.0</v>
      </c>
      <c r="I27" s="281" t="s">
        <v>5354</v>
      </c>
    </row>
    <row r="28" ht="15.0" customHeight="1">
      <c r="A28" s="82" t="s">
        <v>3249</v>
      </c>
      <c r="B28" s="82" t="s">
        <v>94</v>
      </c>
      <c r="C28" s="82" t="s">
        <v>9021</v>
      </c>
      <c r="D28" s="86"/>
      <c r="E28" s="152" t="s">
        <v>3249</v>
      </c>
      <c r="F28" s="274" t="s">
        <v>9022</v>
      </c>
      <c r="G28" s="282">
        <v>100.0</v>
      </c>
      <c r="H28" s="282">
        <v>300.0</v>
      </c>
      <c r="I28" s="281" t="s">
        <v>3249</v>
      </c>
    </row>
    <row r="29" ht="15.0" customHeight="1">
      <c r="A29" s="148" t="s">
        <v>4024</v>
      </c>
      <c r="B29" s="148" t="s">
        <v>94</v>
      </c>
      <c r="C29" s="148" t="s">
        <v>9023</v>
      </c>
      <c r="D29" s="160"/>
      <c r="E29" s="173" t="s">
        <v>9024</v>
      </c>
      <c r="F29" s="461" t="s">
        <v>9025</v>
      </c>
      <c r="G29" s="391">
        <v>100.0</v>
      </c>
      <c r="H29" s="391">
        <v>100.0</v>
      </c>
      <c r="I29" s="281" t="s">
        <v>4024</v>
      </c>
    </row>
    <row r="30" ht="15.0" customHeight="1">
      <c r="A30" s="148" t="s">
        <v>4024</v>
      </c>
      <c r="B30" s="148" t="s">
        <v>94</v>
      </c>
      <c r="C30" s="148" t="s">
        <v>9026</v>
      </c>
      <c r="D30" s="160"/>
      <c r="E30" s="173" t="s">
        <v>9024</v>
      </c>
      <c r="F30" s="461" t="s">
        <v>9027</v>
      </c>
      <c r="G30" s="391">
        <v>100.0</v>
      </c>
      <c r="H30" s="391">
        <v>100.0</v>
      </c>
      <c r="I30" s="281" t="s">
        <v>4024</v>
      </c>
    </row>
    <row r="31" ht="15.0" customHeight="1">
      <c r="A31" s="82" t="s">
        <v>8164</v>
      </c>
      <c r="B31" s="82" t="s">
        <v>182</v>
      </c>
      <c r="C31" s="82" t="s">
        <v>9014</v>
      </c>
      <c r="D31" s="86"/>
      <c r="E31" s="152"/>
      <c r="F31" s="274" t="s">
        <v>9028</v>
      </c>
      <c r="G31" s="282">
        <v>100.0</v>
      </c>
      <c r="H31" s="282">
        <v>100.0</v>
      </c>
      <c r="I31" s="281" t="s">
        <v>971</v>
      </c>
    </row>
    <row r="32" ht="15.0" customHeight="1">
      <c r="A32" s="82" t="s">
        <v>9029</v>
      </c>
      <c r="B32" s="82" t="s">
        <v>94</v>
      </c>
      <c r="C32" s="82" t="s">
        <v>9030</v>
      </c>
      <c r="D32" s="86" t="s">
        <v>9031</v>
      </c>
      <c r="E32" s="152" t="s">
        <v>9032</v>
      </c>
      <c r="F32" s="274" t="s">
        <v>9033</v>
      </c>
      <c r="G32" s="282">
        <v>100.0</v>
      </c>
      <c r="H32" s="282">
        <v>100.0</v>
      </c>
      <c r="I32" s="281" t="s">
        <v>4343</v>
      </c>
    </row>
    <row r="33" ht="15.0" customHeight="1">
      <c r="A33" s="82" t="s">
        <v>9034</v>
      </c>
      <c r="B33" s="82" t="s">
        <v>147</v>
      </c>
      <c r="C33" s="82" t="s">
        <v>9004</v>
      </c>
      <c r="D33" s="86" t="s">
        <v>1134</v>
      </c>
      <c r="E33" s="152" t="s">
        <v>9034</v>
      </c>
      <c r="F33" s="274" t="s">
        <v>9035</v>
      </c>
      <c r="G33" s="282">
        <v>200.0</v>
      </c>
      <c r="H33" s="429">
        <v>200.0</v>
      </c>
      <c r="I33" s="282" t="s">
        <v>153</v>
      </c>
      <c r="J33" s="3"/>
    </row>
    <row r="34" ht="15.0" customHeight="1">
      <c r="A34" s="82" t="s">
        <v>9036</v>
      </c>
      <c r="B34" s="82" t="s">
        <v>147</v>
      </c>
      <c r="C34" s="82" t="s">
        <v>9030</v>
      </c>
      <c r="D34" s="86" t="s">
        <v>1134</v>
      </c>
      <c r="E34" s="152" t="s">
        <v>155</v>
      </c>
      <c r="F34" s="274" t="s">
        <v>9037</v>
      </c>
      <c r="G34" s="282">
        <v>100.0</v>
      </c>
      <c r="H34" s="429">
        <v>100.0</v>
      </c>
      <c r="I34" s="282" t="s">
        <v>155</v>
      </c>
      <c r="J34" s="3"/>
    </row>
    <row r="35" ht="15.0" customHeight="1">
      <c r="A35" s="82" t="s">
        <v>154</v>
      </c>
      <c r="B35" s="82" t="s">
        <v>147</v>
      </c>
      <c r="C35" s="82" t="s">
        <v>9021</v>
      </c>
      <c r="D35" s="86" t="s">
        <v>1134</v>
      </c>
      <c r="E35" s="152" t="s">
        <v>154</v>
      </c>
      <c r="F35" s="274" t="s">
        <v>9038</v>
      </c>
      <c r="G35" s="282">
        <v>300.0</v>
      </c>
      <c r="H35" s="429">
        <v>300.0</v>
      </c>
      <c r="I35" s="282" t="s">
        <v>154</v>
      </c>
      <c r="J35" s="3"/>
    </row>
    <row r="36" ht="15.0" customHeight="1">
      <c r="A36" s="82" t="s">
        <v>9039</v>
      </c>
      <c r="B36" s="82" t="s">
        <v>147</v>
      </c>
      <c r="C36" s="82" t="s">
        <v>8997</v>
      </c>
      <c r="D36" s="86" t="s">
        <v>1134</v>
      </c>
      <c r="E36" s="152" t="s">
        <v>9040</v>
      </c>
      <c r="F36" s="274"/>
      <c r="G36" s="282">
        <v>150.0</v>
      </c>
      <c r="H36" s="429">
        <v>150.0</v>
      </c>
      <c r="I36" s="282" t="s">
        <v>4738</v>
      </c>
      <c r="J36" s="3"/>
    </row>
    <row r="37" ht="15.0" customHeight="1">
      <c r="A37" s="82" t="s">
        <v>9041</v>
      </c>
      <c r="B37" s="82" t="s">
        <v>147</v>
      </c>
      <c r="C37" s="82" t="s">
        <v>9018</v>
      </c>
      <c r="D37" s="86" t="s">
        <v>1134</v>
      </c>
      <c r="E37" s="152" t="s">
        <v>8994</v>
      </c>
      <c r="F37" s="274" t="s">
        <v>9042</v>
      </c>
      <c r="G37" s="282">
        <v>100.0</v>
      </c>
      <c r="H37" s="429">
        <v>100.0</v>
      </c>
      <c r="I37" s="282" t="s">
        <v>4845</v>
      </c>
      <c r="J37" s="3"/>
    </row>
    <row r="38" ht="15.0" customHeight="1">
      <c r="A38" s="82" t="s">
        <v>8328</v>
      </c>
      <c r="B38" s="82" t="s">
        <v>147</v>
      </c>
      <c r="C38" s="82" t="s">
        <v>9043</v>
      </c>
      <c r="D38" s="86" t="s">
        <v>1134</v>
      </c>
      <c r="E38" s="152" t="s">
        <v>9044</v>
      </c>
      <c r="F38" s="274" t="s">
        <v>9045</v>
      </c>
      <c r="G38" s="282">
        <v>100.0</v>
      </c>
      <c r="H38" s="429">
        <v>300.0</v>
      </c>
      <c r="I38" s="282" t="s">
        <v>158</v>
      </c>
      <c r="J38" s="3"/>
    </row>
    <row r="39" ht="15.0" customHeight="1">
      <c r="A39" s="82" t="s">
        <v>1144</v>
      </c>
      <c r="B39" s="82" t="s">
        <v>147</v>
      </c>
      <c r="C39" s="82" t="s">
        <v>9046</v>
      </c>
      <c r="D39" s="86" t="s">
        <v>1134</v>
      </c>
      <c r="E39" s="152" t="s">
        <v>1144</v>
      </c>
      <c r="F39" s="274" t="s">
        <v>9047</v>
      </c>
      <c r="G39" s="282">
        <v>200.0</v>
      </c>
      <c r="H39" s="429">
        <v>200.0</v>
      </c>
      <c r="I39" s="282" t="s">
        <v>159</v>
      </c>
      <c r="J39" s="3"/>
    </row>
    <row r="40" ht="15.0" customHeight="1">
      <c r="A40" s="82" t="s">
        <v>8360</v>
      </c>
      <c r="B40" s="82" t="s">
        <v>147</v>
      </c>
      <c r="C40" s="82" t="s">
        <v>9016</v>
      </c>
      <c r="D40" s="86" t="s">
        <v>9048</v>
      </c>
      <c r="E40" s="152" t="s">
        <v>8360</v>
      </c>
      <c r="F40" s="274" t="s">
        <v>9049</v>
      </c>
      <c r="G40" s="282">
        <v>100.0</v>
      </c>
      <c r="H40" s="429">
        <v>100.0</v>
      </c>
      <c r="I40" s="282" t="s">
        <v>161</v>
      </c>
      <c r="J40" s="3"/>
    </row>
    <row r="41" ht="15.0" customHeight="1">
      <c r="A41" s="82" t="s">
        <v>8409</v>
      </c>
      <c r="B41" s="82" t="s">
        <v>147</v>
      </c>
      <c r="C41" s="82" t="s">
        <v>9043</v>
      </c>
      <c r="D41" s="86" t="s">
        <v>1134</v>
      </c>
      <c r="E41" s="152" t="s">
        <v>8409</v>
      </c>
      <c r="F41" s="274" t="s">
        <v>9050</v>
      </c>
      <c r="G41" s="282">
        <v>100.0</v>
      </c>
      <c r="H41" s="429">
        <v>100.0</v>
      </c>
      <c r="I41" s="282" t="s">
        <v>5077</v>
      </c>
      <c r="J41" s="3"/>
    </row>
    <row r="42" ht="15.75" customHeight="1">
      <c r="A42" s="193" t="s">
        <v>185</v>
      </c>
      <c r="B42" s="61"/>
      <c r="C42" s="61"/>
      <c r="D42" s="61"/>
      <c r="E42" s="106"/>
      <c r="H42" s="283">
        <f>SUM(H12:H41)</f>
        <v>4400</v>
      </c>
    </row>
    <row r="43" ht="15.75" customHeight="1">
      <c r="A43" s="104"/>
      <c r="B43" s="61"/>
      <c r="C43" s="61"/>
      <c r="D43" s="61"/>
      <c r="E43" s="1"/>
      <c r="F43" s="1"/>
    </row>
    <row r="44" ht="15.75" customHeight="1">
      <c r="A44" s="284" t="s">
        <v>1169</v>
      </c>
      <c r="B44" s="103"/>
      <c r="C44" s="103"/>
      <c r="D44" s="103"/>
      <c r="E44" s="103"/>
      <c r="F44" s="103"/>
    </row>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44:F44"/>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104"/>
      <c r="B1" s="61"/>
      <c r="C1" s="61"/>
      <c r="D1" s="61"/>
      <c r="E1" s="61"/>
      <c r="F1" s="61"/>
      <c r="G1" s="61"/>
      <c r="H1" s="1"/>
    </row>
    <row r="2" ht="15.75" customHeight="1">
      <c r="A2" s="105" t="s">
        <v>9051</v>
      </c>
      <c r="B2" s="64"/>
      <c r="C2" s="64"/>
      <c r="D2" s="64"/>
      <c r="E2" s="64"/>
      <c r="F2" s="64"/>
      <c r="G2" s="64"/>
      <c r="H2" s="65"/>
      <c r="I2" s="107"/>
      <c r="J2" s="107"/>
      <c r="K2" s="107"/>
      <c r="L2" s="107"/>
      <c r="M2" s="107"/>
      <c r="N2" s="107"/>
      <c r="O2" s="107"/>
      <c r="P2" s="107"/>
      <c r="Q2" s="107"/>
      <c r="R2" s="107"/>
      <c r="S2" s="107"/>
      <c r="T2" s="107"/>
      <c r="U2" s="107"/>
      <c r="V2" s="107"/>
      <c r="W2" s="107"/>
      <c r="X2" s="107"/>
    </row>
    <row r="3">
      <c r="A3" s="127"/>
      <c r="B3" s="127"/>
      <c r="C3" s="127"/>
      <c r="D3" s="127"/>
      <c r="E3" s="127"/>
      <c r="F3" s="127"/>
      <c r="G3" s="127"/>
      <c r="H3" s="106"/>
      <c r="I3" s="107"/>
      <c r="J3" s="107"/>
      <c r="K3" s="107"/>
      <c r="L3" s="107"/>
      <c r="M3" s="107"/>
      <c r="N3" s="107"/>
      <c r="O3" s="107"/>
      <c r="P3" s="107"/>
      <c r="Q3" s="107"/>
      <c r="R3" s="107"/>
      <c r="S3" s="107"/>
      <c r="T3" s="107"/>
      <c r="U3" s="107"/>
      <c r="V3" s="107"/>
      <c r="W3" s="107"/>
      <c r="X3" s="107"/>
    </row>
    <row r="4" ht="18.75" customHeight="1">
      <c r="A4" s="108" t="s">
        <v>9052</v>
      </c>
      <c r="B4" s="64"/>
      <c r="C4" s="64"/>
      <c r="D4" s="64"/>
      <c r="E4" s="64"/>
      <c r="F4" s="64"/>
      <c r="G4" s="64"/>
      <c r="H4" s="65"/>
      <c r="I4" s="126"/>
      <c r="J4" s="126"/>
      <c r="K4" s="126"/>
      <c r="L4" s="126"/>
      <c r="M4" s="126"/>
      <c r="N4" s="126"/>
      <c r="O4" s="126"/>
      <c r="P4" s="126"/>
      <c r="Q4" s="126"/>
      <c r="R4" s="126"/>
      <c r="S4" s="126"/>
      <c r="T4" s="126"/>
      <c r="U4" s="126"/>
      <c r="V4" s="126"/>
      <c r="W4" s="126"/>
      <c r="X4" s="126"/>
    </row>
    <row r="5" ht="14.25" customHeight="1">
      <c r="A5" s="108" t="s">
        <v>9053</v>
      </c>
      <c r="B5" s="64"/>
      <c r="C5" s="64"/>
      <c r="D5" s="64"/>
      <c r="E5" s="64"/>
      <c r="F5" s="64"/>
      <c r="G5" s="64"/>
      <c r="H5" s="65"/>
      <c r="I5" s="126"/>
      <c r="J5" s="126"/>
      <c r="K5" s="126"/>
      <c r="L5" s="126"/>
      <c r="M5" s="126"/>
      <c r="N5" s="126"/>
      <c r="O5" s="126"/>
      <c r="P5" s="126"/>
      <c r="Q5" s="126"/>
      <c r="R5" s="126"/>
      <c r="S5" s="126"/>
      <c r="T5" s="126"/>
      <c r="U5" s="126"/>
      <c r="V5" s="126"/>
      <c r="W5" s="126"/>
      <c r="X5" s="126"/>
    </row>
    <row r="6" ht="13.5" customHeight="1">
      <c r="A6" s="108" t="s">
        <v>9054</v>
      </c>
      <c r="B6" s="64"/>
      <c r="C6" s="64"/>
      <c r="D6" s="64"/>
      <c r="E6" s="64"/>
      <c r="F6" s="64"/>
      <c r="G6" s="64"/>
      <c r="H6" s="65"/>
      <c r="I6" s="126"/>
      <c r="J6" s="126"/>
      <c r="K6" s="126"/>
      <c r="L6" s="126"/>
      <c r="M6" s="126"/>
      <c r="N6" s="126"/>
      <c r="O6" s="126"/>
      <c r="P6" s="126"/>
      <c r="Q6" s="126"/>
      <c r="R6" s="126"/>
      <c r="S6" s="126"/>
      <c r="T6" s="126"/>
      <c r="U6" s="126"/>
      <c r="V6" s="126"/>
      <c r="W6" s="126"/>
      <c r="X6" s="126"/>
    </row>
    <row r="7" ht="132.75" customHeight="1">
      <c r="A7" s="67" t="s">
        <v>9055</v>
      </c>
      <c r="B7" s="64"/>
      <c r="C7" s="64"/>
      <c r="D7" s="64"/>
      <c r="E7" s="64"/>
      <c r="F7" s="64"/>
      <c r="G7" s="64"/>
      <c r="H7" s="65"/>
      <c r="I7" s="126"/>
      <c r="J7" s="126"/>
      <c r="K7" s="126"/>
      <c r="L7" s="126"/>
      <c r="M7" s="126"/>
      <c r="N7" s="126"/>
      <c r="O7" s="126"/>
      <c r="P7" s="126"/>
      <c r="Q7" s="126"/>
      <c r="R7" s="126"/>
      <c r="S7" s="126"/>
      <c r="T7" s="126"/>
      <c r="U7" s="126"/>
      <c r="V7" s="126"/>
      <c r="W7" s="126"/>
      <c r="X7" s="126"/>
    </row>
    <row r="8">
      <c r="A8" s="109"/>
      <c r="B8" s="110"/>
      <c r="C8" s="110"/>
      <c r="D8" s="110"/>
      <c r="E8" s="110"/>
      <c r="F8" s="110"/>
      <c r="G8" s="110"/>
      <c r="H8" s="106"/>
      <c r="I8" s="107"/>
      <c r="J8" s="107"/>
      <c r="K8" s="107"/>
      <c r="L8" s="107"/>
      <c r="M8" s="107"/>
      <c r="N8" s="107"/>
      <c r="O8" s="107"/>
      <c r="P8" s="107"/>
      <c r="Q8" s="107"/>
      <c r="R8" s="107"/>
      <c r="S8" s="107"/>
      <c r="T8" s="107"/>
      <c r="U8" s="107"/>
      <c r="V8" s="107"/>
      <c r="W8" s="107"/>
      <c r="X8" s="107"/>
    </row>
    <row r="9" ht="61.5" customHeight="1">
      <c r="A9" s="217" t="s">
        <v>5174</v>
      </c>
      <c r="B9" s="217" t="s">
        <v>8</v>
      </c>
      <c r="C9" s="217" t="s">
        <v>5175</v>
      </c>
      <c r="D9" s="217" t="s">
        <v>9056</v>
      </c>
      <c r="E9" s="217" t="s">
        <v>5177</v>
      </c>
      <c r="F9" s="217" t="s">
        <v>5178</v>
      </c>
      <c r="G9" s="111" t="s">
        <v>217</v>
      </c>
      <c r="H9" s="131" t="s">
        <v>221</v>
      </c>
      <c r="I9" s="113" t="s">
        <v>222</v>
      </c>
      <c r="J9" s="107"/>
      <c r="K9" s="107"/>
      <c r="L9" s="107"/>
      <c r="M9" s="107"/>
      <c r="N9" s="107"/>
      <c r="O9" s="107"/>
      <c r="P9" s="107"/>
      <c r="Q9" s="107"/>
      <c r="R9" s="107"/>
      <c r="S9" s="107"/>
      <c r="T9" s="107"/>
      <c r="U9" s="107"/>
      <c r="V9" s="107"/>
      <c r="W9" s="107"/>
      <c r="X9" s="107"/>
    </row>
    <row r="10" ht="15.0" customHeight="1">
      <c r="A10" s="82" t="s">
        <v>79</v>
      </c>
      <c r="B10" s="82" t="s">
        <v>52</v>
      </c>
      <c r="C10" s="82" t="s">
        <v>9057</v>
      </c>
      <c r="D10" s="82" t="s">
        <v>8483</v>
      </c>
      <c r="E10" s="82" t="s">
        <v>9058</v>
      </c>
      <c r="F10" s="82" t="s">
        <v>9059</v>
      </c>
      <c r="G10" s="326">
        <v>100.0</v>
      </c>
      <c r="H10" s="85">
        <v>33.33</v>
      </c>
      <c r="I10" s="82" t="s">
        <v>79</v>
      </c>
    </row>
    <row r="11" ht="15.0" customHeight="1">
      <c r="A11" s="82" t="s">
        <v>51</v>
      </c>
      <c r="B11" s="82" t="s">
        <v>52</v>
      </c>
      <c r="C11" s="82" t="s">
        <v>9057</v>
      </c>
      <c r="D11" s="82" t="s">
        <v>8483</v>
      </c>
      <c r="E11" s="82" t="s">
        <v>9058</v>
      </c>
      <c r="F11" s="82" t="s">
        <v>9059</v>
      </c>
      <c r="G11" s="326">
        <v>100.0</v>
      </c>
      <c r="H11" s="85">
        <v>33.33</v>
      </c>
      <c r="I11" s="82" t="s">
        <v>51</v>
      </c>
    </row>
    <row r="12" ht="15.0" customHeight="1">
      <c r="A12" s="82" t="s">
        <v>73</v>
      </c>
      <c r="B12" s="82" t="s">
        <v>52</v>
      </c>
      <c r="C12" s="85" t="s">
        <v>9060</v>
      </c>
      <c r="D12" s="82" t="s">
        <v>9061</v>
      </c>
      <c r="E12" s="82" t="s">
        <v>9062</v>
      </c>
      <c r="F12" s="79" t="s">
        <v>9063</v>
      </c>
      <c r="G12" s="274">
        <v>100.0</v>
      </c>
      <c r="H12" s="82">
        <f>100/2</f>
        <v>50</v>
      </c>
      <c r="I12" s="82" t="s">
        <v>73</v>
      </c>
    </row>
    <row r="13" ht="15.0" customHeight="1">
      <c r="A13" s="82" t="s">
        <v>73</v>
      </c>
      <c r="B13" s="82" t="s">
        <v>52</v>
      </c>
      <c r="C13" s="85" t="s">
        <v>9064</v>
      </c>
      <c r="D13" s="82" t="s">
        <v>9061</v>
      </c>
      <c r="E13" s="82" t="s">
        <v>9062</v>
      </c>
      <c r="F13" s="79" t="s">
        <v>9063</v>
      </c>
      <c r="G13" s="274">
        <v>60.0</v>
      </c>
      <c r="H13" s="82">
        <v>60.0</v>
      </c>
      <c r="I13" s="82" t="s">
        <v>73</v>
      </c>
    </row>
    <row r="14" ht="15.0" customHeight="1">
      <c r="A14" s="82" t="s">
        <v>73</v>
      </c>
      <c r="B14" s="82" t="s">
        <v>52</v>
      </c>
      <c r="C14" s="85" t="s">
        <v>9065</v>
      </c>
      <c r="D14" s="82" t="s">
        <v>9061</v>
      </c>
      <c r="E14" s="82" t="s">
        <v>9062</v>
      </c>
      <c r="F14" s="79" t="s">
        <v>9063</v>
      </c>
      <c r="G14" s="274">
        <v>80.0</v>
      </c>
      <c r="H14" s="82">
        <f>80/4</f>
        <v>20</v>
      </c>
      <c r="I14" s="82" t="s">
        <v>73</v>
      </c>
    </row>
    <row r="15">
      <c r="A15" s="148" t="s">
        <v>296</v>
      </c>
      <c r="B15" s="148" t="s">
        <v>52</v>
      </c>
      <c r="C15" s="148" t="s">
        <v>9066</v>
      </c>
      <c r="D15" s="148" t="s">
        <v>9067</v>
      </c>
      <c r="E15" s="148" t="s">
        <v>9058</v>
      </c>
      <c r="F15" s="148" t="s">
        <v>9063</v>
      </c>
      <c r="G15" s="406">
        <v>100.0</v>
      </c>
      <c r="H15" s="302">
        <f>100/3</f>
        <v>33.33333333</v>
      </c>
      <c r="I15" s="82" t="s">
        <v>296</v>
      </c>
    </row>
    <row r="16">
      <c r="A16" s="82" t="s">
        <v>9068</v>
      </c>
      <c r="B16" s="381" t="s">
        <v>52</v>
      </c>
      <c r="C16" s="381" t="s">
        <v>9069</v>
      </c>
      <c r="D16" s="381" t="s">
        <v>9070</v>
      </c>
      <c r="E16" s="381" t="s">
        <v>9071</v>
      </c>
      <c r="F16" s="462" t="s">
        <v>9059</v>
      </c>
      <c r="G16" s="463">
        <v>80.0</v>
      </c>
      <c r="H16" s="464">
        <f>20</f>
        <v>20</v>
      </c>
      <c r="I16" s="82" t="s">
        <v>60</v>
      </c>
    </row>
    <row r="17">
      <c r="A17" s="148" t="s">
        <v>82</v>
      </c>
      <c r="B17" s="148" t="s">
        <v>52</v>
      </c>
      <c r="C17" s="148" t="s">
        <v>9072</v>
      </c>
      <c r="D17" s="148" t="s">
        <v>9073</v>
      </c>
      <c r="E17" s="148" t="s">
        <v>9071</v>
      </c>
      <c r="F17" s="161" t="s">
        <v>9074</v>
      </c>
      <c r="G17" s="406">
        <v>60.0</v>
      </c>
      <c r="H17" s="148">
        <f>60/3</f>
        <v>20</v>
      </c>
      <c r="I17" s="82" t="s">
        <v>82</v>
      </c>
    </row>
    <row r="18">
      <c r="A18" s="82" t="s">
        <v>7730</v>
      </c>
      <c r="B18" s="82" t="s">
        <v>52</v>
      </c>
      <c r="C18" s="82" t="s">
        <v>9069</v>
      </c>
      <c r="D18" s="82" t="s">
        <v>9070</v>
      </c>
      <c r="E18" s="82" t="s">
        <v>9071</v>
      </c>
      <c r="F18" s="79" t="s">
        <v>9059</v>
      </c>
      <c r="G18" s="326">
        <v>80.0</v>
      </c>
      <c r="H18" s="465">
        <f>80/4</f>
        <v>20</v>
      </c>
      <c r="I18" s="82" t="s">
        <v>91</v>
      </c>
    </row>
    <row r="19">
      <c r="A19" s="148" t="s">
        <v>85</v>
      </c>
      <c r="B19" s="148" t="s">
        <v>52</v>
      </c>
      <c r="C19" s="148" t="s">
        <v>9072</v>
      </c>
      <c r="D19" s="148" t="s">
        <v>9073</v>
      </c>
      <c r="E19" s="148" t="s">
        <v>9071</v>
      </c>
      <c r="F19" s="188" t="s">
        <v>9059</v>
      </c>
      <c r="G19" s="406">
        <v>60.0</v>
      </c>
      <c r="H19" s="148">
        <v>20.0</v>
      </c>
      <c r="I19" s="82" t="s">
        <v>85</v>
      </c>
    </row>
    <row r="20" ht="15.0" customHeight="1">
      <c r="A20" s="82" t="s">
        <v>73</v>
      </c>
      <c r="B20" s="381" t="s">
        <v>52</v>
      </c>
      <c r="C20" s="381" t="s">
        <v>9060</v>
      </c>
      <c r="D20" s="381" t="s">
        <v>9061</v>
      </c>
      <c r="E20" s="381" t="s">
        <v>9062</v>
      </c>
      <c r="F20" s="462" t="s">
        <v>9063</v>
      </c>
      <c r="G20" s="463">
        <v>100.0</v>
      </c>
      <c r="H20" s="381">
        <f>100/2</f>
        <v>50</v>
      </c>
      <c r="I20" s="82" t="s">
        <v>515</v>
      </c>
    </row>
    <row r="21" ht="15.0" customHeight="1">
      <c r="A21" s="82" t="s">
        <v>8558</v>
      </c>
      <c r="B21" s="82" t="s">
        <v>52</v>
      </c>
      <c r="C21" s="82" t="s">
        <v>9075</v>
      </c>
      <c r="D21" s="82" t="s">
        <v>9061</v>
      </c>
      <c r="E21" s="82" t="s">
        <v>9062</v>
      </c>
      <c r="F21" s="79" t="s">
        <v>9063</v>
      </c>
      <c r="G21" s="461">
        <v>60.0</v>
      </c>
      <c r="H21" s="149">
        <f>60/3</f>
        <v>20</v>
      </c>
      <c r="I21" s="82" t="s">
        <v>533</v>
      </c>
    </row>
    <row r="22" ht="15.0" customHeight="1">
      <c r="A22" s="82" t="s">
        <v>8558</v>
      </c>
      <c r="B22" s="82" t="s">
        <v>52</v>
      </c>
      <c r="C22" s="85" t="s">
        <v>9076</v>
      </c>
      <c r="D22" s="82" t="s">
        <v>9061</v>
      </c>
      <c r="E22" s="82" t="s">
        <v>9062</v>
      </c>
      <c r="F22" s="79" t="s">
        <v>9063</v>
      </c>
      <c r="G22" s="466">
        <v>60.0</v>
      </c>
      <c r="H22" s="148">
        <f>60/2</f>
        <v>30</v>
      </c>
      <c r="I22" s="82" t="s">
        <v>533</v>
      </c>
    </row>
    <row r="23" ht="15.0" customHeight="1">
      <c r="A23" s="82" t="s">
        <v>8558</v>
      </c>
      <c r="B23" s="82" t="s">
        <v>52</v>
      </c>
      <c r="C23" s="85" t="s">
        <v>9065</v>
      </c>
      <c r="D23" s="82" t="s">
        <v>9061</v>
      </c>
      <c r="E23" s="82" t="s">
        <v>9062</v>
      </c>
      <c r="F23" s="79" t="s">
        <v>9063</v>
      </c>
      <c r="G23" s="461">
        <v>80.0</v>
      </c>
      <c r="H23" s="162">
        <f>80/4</f>
        <v>20</v>
      </c>
      <c r="I23" s="82" t="s">
        <v>533</v>
      </c>
    </row>
    <row r="24" ht="15.0" customHeight="1">
      <c r="A24" s="82" t="s">
        <v>9077</v>
      </c>
      <c r="B24" s="82" t="s">
        <v>52</v>
      </c>
      <c r="C24" s="82" t="s">
        <v>9078</v>
      </c>
      <c r="D24" s="82" t="s">
        <v>9079</v>
      </c>
      <c r="E24" s="82" t="s">
        <v>9080</v>
      </c>
      <c r="F24" s="79" t="s">
        <v>9081</v>
      </c>
      <c r="G24" s="326">
        <v>80.0</v>
      </c>
      <c r="H24" s="85">
        <v>80.0</v>
      </c>
      <c r="I24" s="82" t="s">
        <v>74</v>
      </c>
    </row>
    <row r="25" ht="47.25" customHeight="1">
      <c r="A25" s="82" t="s">
        <v>89</v>
      </c>
      <c r="B25" s="82" t="s">
        <v>52</v>
      </c>
      <c r="C25" s="85" t="s">
        <v>9076</v>
      </c>
      <c r="D25" s="82" t="s">
        <v>9061</v>
      </c>
      <c r="E25" s="82" t="s">
        <v>9062</v>
      </c>
      <c r="F25" s="79" t="s">
        <v>9063</v>
      </c>
      <c r="G25" s="466">
        <v>60.0</v>
      </c>
      <c r="H25" s="148">
        <v>30.0</v>
      </c>
      <c r="I25" s="82" t="s">
        <v>89</v>
      </c>
    </row>
    <row r="26" ht="15.75" customHeight="1">
      <c r="A26" s="148" t="s">
        <v>9082</v>
      </c>
      <c r="B26" s="148" t="s">
        <v>94</v>
      </c>
      <c r="C26" s="148" t="s">
        <v>9083</v>
      </c>
      <c r="D26" s="148" t="s">
        <v>9084</v>
      </c>
      <c r="E26" s="148" t="s">
        <v>9085</v>
      </c>
      <c r="F26" s="188" t="s">
        <v>9086</v>
      </c>
      <c r="G26" s="466" t="s">
        <v>9087</v>
      </c>
      <c r="H26" s="148">
        <v>60.0</v>
      </c>
      <c r="I26" s="82" t="s">
        <v>616</v>
      </c>
    </row>
    <row r="27" ht="15.75" customHeight="1">
      <c r="A27" s="148" t="s">
        <v>9082</v>
      </c>
      <c r="B27" s="148" t="s">
        <v>94</v>
      </c>
      <c r="C27" s="148" t="s">
        <v>9083</v>
      </c>
      <c r="D27" s="148" t="s">
        <v>9084</v>
      </c>
      <c r="E27" s="148" t="s">
        <v>9085</v>
      </c>
      <c r="F27" s="467" t="s">
        <v>9086</v>
      </c>
      <c r="G27" s="466" t="s">
        <v>9087</v>
      </c>
      <c r="H27" s="148">
        <v>60.0</v>
      </c>
      <c r="I27" s="82" t="s">
        <v>616</v>
      </c>
    </row>
    <row r="28" ht="15.75" customHeight="1">
      <c r="A28" s="148" t="s">
        <v>9082</v>
      </c>
      <c r="B28" s="148" t="s">
        <v>94</v>
      </c>
      <c r="C28" s="148" t="s">
        <v>9083</v>
      </c>
      <c r="D28" s="148" t="s">
        <v>9084</v>
      </c>
      <c r="E28" s="148" t="s">
        <v>9088</v>
      </c>
      <c r="F28" s="467" t="s">
        <v>9089</v>
      </c>
      <c r="G28" s="461" t="s">
        <v>9090</v>
      </c>
      <c r="H28" s="148">
        <v>80.0</v>
      </c>
      <c r="I28" s="82" t="s">
        <v>616</v>
      </c>
    </row>
    <row r="29" ht="15.75" customHeight="1">
      <c r="A29" s="148" t="s">
        <v>9082</v>
      </c>
      <c r="B29" s="148" t="s">
        <v>94</v>
      </c>
      <c r="C29" s="148" t="s">
        <v>9083</v>
      </c>
      <c r="D29" s="148" t="s">
        <v>9084</v>
      </c>
      <c r="E29" s="148" t="s">
        <v>9085</v>
      </c>
      <c r="F29" s="467" t="s">
        <v>9091</v>
      </c>
      <c r="G29" s="461" t="s">
        <v>9092</v>
      </c>
      <c r="H29" s="148">
        <v>100.0</v>
      </c>
      <c r="I29" s="82" t="s">
        <v>616</v>
      </c>
    </row>
    <row r="30" ht="15.75" customHeight="1">
      <c r="A30" s="148" t="s">
        <v>9082</v>
      </c>
      <c r="B30" s="148" t="s">
        <v>94</v>
      </c>
      <c r="C30" s="148" t="s">
        <v>9093</v>
      </c>
      <c r="D30" s="148" t="s">
        <v>9084</v>
      </c>
      <c r="E30" s="148" t="s">
        <v>9094</v>
      </c>
      <c r="F30" s="188" t="s">
        <v>9095</v>
      </c>
      <c r="G30" s="466" t="s">
        <v>9087</v>
      </c>
      <c r="H30" s="148">
        <v>60.0</v>
      </c>
      <c r="I30" s="82" t="s">
        <v>616</v>
      </c>
    </row>
    <row r="31" ht="15.75" customHeight="1">
      <c r="A31" s="148" t="s">
        <v>9082</v>
      </c>
      <c r="B31" s="148" t="s">
        <v>94</v>
      </c>
      <c r="C31" s="148" t="s">
        <v>9093</v>
      </c>
      <c r="D31" s="148" t="s">
        <v>9084</v>
      </c>
      <c r="E31" s="148" t="s">
        <v>9094</v>
      </c>
      <c r="F31" s="188" t="s">
        <v>9095</v>
      </c>
      <c r="G31" s="461" t="s">
        <v>9090</v>
      </c>
      <c r="H31" s="148">
        <v>80.0</v>
      </c>
      <c r="I31" s="82" t="s">
        <v>616</v>
      </c>
    </row>
    <row r="32" ht="15.0" customHeight="1">
      <c r="A32" s="82" t="s">
        <v>9096</v>
      </c>
      <c r="B32" s="82" t="s">
        <v>94</v>
      </c>
      <c r="C32" s="82" t="s">
        <v>9097</v>
      </c>
      <c r="D32" s="82" t="s">
        <v>9098</v>
      </c>
      <c r="E32" s="82" t="s">
        <v>8894</v>
      </c>
      <c r="F32" s="79" t="s">
        <v>9099</v>
      </c>
      <c r="G32" s="406">
        <v>200.0</v>
      </c>
      <c r="H32" s="149">
        <v>200.0</v>
      </c>
      <c r="I32" s="82" t="s">
        <v>689</v>
      </c>
    </row>
    <row r="33" ht="15.0" customHeight="1">
      <c r="A33" s="85" t="s">
        <v>9100</v>
      </c>
      <c r="B33" s="85" t="s">
        <v>94</v>
      </c>
      <c r="C33" s="82" t="s">
        <v>9097</v>
      </c>
      <c r="D33" s="82" t="s">
        <v>9098</v>
      </c>
      <c r="E33" s="82" t="s">
        <v>8894</v>
      </c>
      <c r="F33" s="79" t="s">
        <v>9099</v>
      </c>
      <c r="G33" s="466">
        <v>200.0</v>
      </c>
      <c r="H33" s="148">
        <v>200.0</v>
      </c>
      <c r="I33" s="82" t="s">
        <v>689</v>
      </c>
    </row>
    <row r="34" ht="15.0" customHeight="1">
      <c r="A34" s="85" t="s">
        <v>9101</v>
      </c>
      <c r="B34" s="85" t="s">
        <v>94</v>
      </c>
      <c r="C34" s="82" t="s">
        <v>9097</v>
      </c>
      <c r="D34" s="82" t="s">
        <v>9098</v>
      </c>
      <c r="E34" s="82" t="s">
        <v>8894</v>
      </c>
      <c r="F34" s="79" t="s">
        <v>9099</v>
      </c>
      <c r="G34" s="461">
        <v>50.0</v>
      </c>
      <c r="H34" s="148">
        <v>50.0</v>
      </c>
      <c r="I34" s="82" t="s">
        <v>689</v>
      </c>
    </row>
    <row r="35" ht="15.0" customHeight="1">
      <c r="A35" s="85" t="s">
        <v>9102</v>
      </c>
      <c r="B35" s="85" t="s">
        <v>94</v>
      </c>
      <c r="C35" s="82" t="s">
        <v>9097</v>
      </c>
      <c r="D35" s="82" t="s">
        <v>9098</v>
      </c>
      <c r="E35" s="82" t="s">
        <v>8894</v>
      </c>
      <c r="F35" s="79" t="s">
        <v>9099</v>
      </c>
      <c r="G35" s="461">
        <v>200.0</v>
      </c>
      <c r="H35" s="148">
        <v>200.0</v>
      </c>
      <c r="I35" s="82" t="s">
        <v>689</v>
      </c>
    </row>
    <row r="36" ht="15.0" customHeight="1">
      <c r="A36" s="85" t="s">
        <v>9103</v>
      </c>
      <c r="B36" s="85" t="s">
        <v>94</v>
      </c>
      <c r="C36" s="82" t="s">
        <v>9097</v>
      </c>
      <c r="D36" s="82" t="s">
        <v>9098</v>
      </c>
      <c r="E36" s="82" t="s">
        <v>8894</v>
      </c>
      <c r="F36" s="79" t="s">
        <v>9099</v>
      </c>
      <c r="G36" s="461">
        <v>200.0</v>
      </c>
      <c r="H36" s="148">
        <v>200.0</v>
      </c>
      <c r="I36" s="82" t="s">
        <v>689</v>
      </c>
    </row>
    <row r="37" ht="15.0" customHeight="1">
      <c r="A37" s="85" t="s">
        <v>9104</v>
      </c>
      <c r="B37" s="85" t="s">
        <v>94</v>
      </c>
      <c r="C37" s="82" t="s">
        <v>9097</v>
      </c>
      <c r="D37" s="82" t="s">
        <v>9098</v>
      </c>
      <c r="E37" s="82" t="s">
        <v>8894</v>
      </c>
      <c r="F37" s="79" t="s">
        <v>9099</v>
      </c>
      <c r="G37" s="461">
        <v>200.0</v>
      </c>
      <c r="H37" s="148">
        <v>200.0</v>
      </c>
      <c r="I37" s="82" t="s">
        <v>689</v>
      </c>
    </row>
    <row r="38" ht="15.0" customHeight="1">
      <c r="A38" s="85" t="s">
        <v>9105</v>
      </c>
      <c r="B38" s="85" t="s">
        <v>94</v>
      </c>
      <c r="C38" s="85" t="s">
        <v>9106</v>
      </c>
      <c r="D38" s="82" t="s">
        <v>9107</v>
      </c>
      <c r="E38" s="82" t="s">
        <v>9108</v>
      </c>
      <c r="F38" s="79" t="s">
        <v>9109</v>
      </c>
      <c r="G38" s="461">
        <v>160.0</v>
      </c>
      <c r="H38" s="148">
        <v>160.0</v>
      </c>
      <c r="I38" s="82" t="s">
        <v>689</v>
      </c>
    </row>
    <row r="39" ht="15.0" customHeight="1">
      <c r="A39" s="85" t="s">
        <v>9110</v>
      </c>
      <c r="B39" s="85" t="s">
        <v>94</v>
      </c>
      <c r="C39" s="85" t="s">
        <v>9106</v>
      </c>
      <c r="D39" s="82" t="s">
        <v>9107</v>
      </c>
      <c r="E39" s="82" t="s">
        <v>9108</v>
      </c>
      <c r="F39" s="79" t="s">
        <v>9109</v>
      </c>
      <c r="G39" s="461">
        <v>160.0</v>
      </c>
      <c r="H39" s="148">
        <v>160.0</v>
      </c>
      <c r="I39" s="82" t="s">
        <v>689</v>
      </c>
    </row>
    <row r="40" ht="15.0" customHeight="1">
      <c r="A40" s="85" t="s">
        <v>9111</v>
      </c>
      <c r="B40" s="85" t="s">
        <v>94</v>
      </c>
      <c r="C40" s="85" t="s">
        <v>9106</v>
      </c>
      <c r="D40" s="82" t="s">
        <v>9107</v>
      </c>
      <c r="E40" s="82" t="s">
        <v>9108</v>
      </c>
      <c r="F40" s="79" t="s">
        <v>9109</v>
      </c>
      <c r="G40" s="461">
        <v>40.0</v>
      </c>
      <c r="H40" s="148">
        <v>40.0</v>
      </c>
      <c r="I40" s="82" t="s">
        <v>689</v>
      </c>
    </row>
    <row r="41" ht="15.0" customHeight="1">
      <c r="A41" s="85" t="s">
        <v>9112</v>
      </c>
      <c r="B41" s="85" t="s">
        <v>94</v>
      </c>
      <c r="C41" s="85" t="s">
        <v>9106</v>
      </c>
      <c r="D41" s="82" t="s">
        <v>9107</v>
      </c>
      <c r="E41" s="82" t="s">
        <v>9108</v>
      </c>
      <c r="F41" s="79" t="s">
        <v>9109</v>
      </c>
      <c r="G41" s="461">
        <v>160.0</v>
      </c>
      <c r="H41" s="148">
        <v>160.0</v>
      </c>
      <c r="I41" s="82" t="s">
        <v>689</v>
      </c>
    </row>
    <row r="42" ht="15.0" customHeight="1">
      <c r="A42" s="85" t="s">
        <v>9113</v>
      </c>
      <c r="B42" s="85" t="s">
        <v>94</v>
      </c>
      <c r="C42" s="85" t="s">
        <v>9106</v>
      </c>
      <c r="D42" s="82" t="s">
        <v>9107</v>
      </c>
      <c r="E42" s="82" t="s">
        <v>9108</v>
      </c>
      <c r="F42" s="79" t="s">
        <v>9109</v>
      </c>
      <c r="G42" s="461">
        <v>160.0</v>
      </c>
      <c r="H42" s="148">
        <v>160.0</v>
      </c>
      <c r="I42" s="82" t="s">
        <v>689</v>
      </c>
    </row>
    <row r="43" ht="15.0" customHeight="1">
      <c r="A43" s="85" t="s">
        <v>9105</v>
      </c>
      <c r="B43" s="85" t="s">
        <v>94</v>
      </c>
      <c r="C43" s="85" t="s">
        <v>9114</v>
      </c>
      <c r="D43" s="82" t="s">
        <v>9115</v>
      </c>
      <c r="E43" s="82" t="s">
        <v>9116</v>
      </c>
      <c r="F43" s="82" t="s">
        <v>9117</v>
      </c>
      <c r="G43" s="461">
        <v>200.0</v>
      </c>
      <c r="H43" s="148">
        <v>200.0</v>
      </c>
      <c r="I43" s="82" t="s">
        <v>689</v>
      </c>
    </row>
    <row r="44" ht="15.0" customHeight="1">
      <c r="A44" s="85" t="s">
        <v>9118</v>
      </c>
      <c r="B44" s="85" t="s">
        <v>94</v>
      </c>
      <c r="C44" s="85" t="s">
        <v>9114</v>
      </c>
      <c r="D44" s="82" t="s">
        <v>9115</v>
      </c>
      <c r="E44" s="82" t="s">
        <v>9116</v>
      </c>
      <c r="F44" s="82" t="s">
        <v>9117</v>
      </c>
      <c r="G44" s="461">
        <v>200.0</v>
      </c>
      <c r="H44" s="148">
        <v>200.0</v>
      </c>
      <c r="I44" s="82" t="s">
        <v>689</v>
      </c>
    </row>
    <row r="45" ht="15.0" customHeight="1">
      <c r="A45" s="85" t="s">
        <v>9110</v>
      </c>
      <c r="B45" s="85" t="s">
        <v>94</v>
      </c>
      <c r="C45" s="85" t="s">
        <v>9114</v>
      </c>
      <c r="D45" s="82" t="s">
        <v>9115</v>
      </c>
      <c r="E45" s="82" t="s">
        <v>9116</v>
      </c>
      <c r="F45" s="82" t="s">
        <v>9117</v>
      </c>
      <c r="G45" s="461">
        <v>200.0</v>
      </c>
      <c r="H45" s="148">
        <v>200.0</v>
      </c>
      <c r="I45" s="82" t="s">
        <v>689</v>
      </c>
    </row>
    <row r="46" ht="15.0" customHeight="1">
      <c r="A46" s="85" t="s">
        <v>9111</v>
      </c>
      <c r="B46" s="85" t="s">
        <v>94</v>
      </c>
      <c r="C46" s="85" t="s">
        <v>9114</v>
      </c>
      <c r="D46" s="82" t="s">
        <v>9115</v>
      </c>
      <c r="E46" s="82" t="s">
        <v>9116</v>
      </c>
      <c r="F46" s="82" t="s">
        <v>9117</v>
      </c>
      <c r="G46" s="461">
        <v>50.0</v>
      </c>
      <c r="H46" s="148">
        <v>50.0</v>
      </c>
      <c r="I46" s="82" t="s">
        <v>689</v>
      </c>
    </row>
    <row r="47" ht="15.0" customHeight="1">
      <c r="A47" s="85" t="s">
        <v>9112</v>
      </c>
      <c r="B47" s="85" t="s">
        <v>94</v>
      </c>
      <c r="C47" s="85" t="s">
        <v>9114</v>
      </c>
      <c r="D47" s="82" t="s">
        <v>9115</v>
      </c>
      <c r="E47" s="82" t="s">
        <v>9116</v>
      </c>
      <c r="F47" s="82" t="s">
        <v>9117</v>
      </c>
      <c r="G47" s="461">
        <v>200.0</v>
      </c>
      <c r="H47" s="148">
        <v>200.0</v>
      </c>
      <c r="I47" s="82" t="s">
        <v>689</v>
      </c>
    </row>
    <row r="48" ht="15.0" customHeight="1">
      <c r="A48" s="85" t="s">
        <v>9105</v>
      </c>
      <c r="B48" s="85" t="s">
        <v>94</v>
      </c>
      <c r="C48" s="85" t="s">
        <v>9119</v>
      </c>
      <c r="D48" s="82" t="s">
        <v>9115</v>
      </c>
      <c r="E48" s="82" t="s">
        <v>9120</v>
      </c>
      <c r="F48" s="82" t="s">
        <v>9121</v>
      </c>
      <c r="G48" s="461">
        <v>200.0</v>
      </c>
      <c r="H48" s="148">
        <v>200.0</v>
      </c>
      <c r="I48" s="82" t="s">
        <v>689</v>
      </c>
    </row>
    <row r="49" ht="15.0" customHeight="1">
      <c r="A49" s="85" t="s">
        <v>9118</v>
      </c>
      <c r="B49" s="85" t="s">
        <v>94</v>
      </c>
      <c r="C49" s="85" t="s">
        <v>9119</v>
      </c>
      <c r="D49" s="82" t="s">
        <v>9115</v>
      </c>
      <c r="E49" s="82" t="s">
        <v>9120</v>
      </c>
      <c r="F49" s="82" t="s">
        <v>9121</v>
      </c>
      <c r="G49" s="461">
        <v>200.0</v>
      </c>
      <c r="H49" s="148">
        <v>200.0</v>
      </c>
      <c r="I49" s="82" t="s">
        <v>689</v>
      </c>
    </row>
    <row r="50" ht="15.0" customHeight="1">
      <c r="A50" s="85" t="s">
        <v>9110</v>
      </c>
      <c r="B50" s="85" t="s">
        <v>94</v>
      </c>
      <c r="C50" s="85" t="s">
        <v>9119</v>
      </c>
      <c r="D50" s="82" t="s">
        <v>9122</v>
      </c>
      <c r="E50" s="82" t="s">
        <v>9120</v>
      </c>
      <c r="F50" s="82" t="s">
        <v>9121</v>
      </c>
      <c r="G50" s="461">
        <v>160.0</v>
      </c>
      <c r="H50" s="148">
        <v>160.0</v>
      </c>
      <c r="I50" s="82" t="s">
        <v>689</v>
      </c>
    </row>
    <row r="51" ht="15.0" customHeight="1">
      <c r="A51" s="85" t="s">
        <v>9112</v>
      </c>
      <c r="B51" s="85" t="s">
        <v>94</v>
      </c>
      <c r="C51" s="85" t="s">
        <v>9119</v>
      </c>
      <c r="D51" s="82" t="s">
        <v>9122</v>
      </c>
      <c r="E51" s="82" t="s">
        <v>9120</v>
      </c>
      <c r="F51" s="82" t="s">
        <v>9121</v>
      </c>
      <c r="G51" s="461">
        <v>160.0</v>
      </c>
      <c r="H51" s="148">
        <v>160.0</v>
      </c>
      <c r="I51" s="82" t="s">
        <v>689</v>
      </c>
    </row>
    <row r="52" ht="15.0" customHeight="1">
      <c r="A52" s="85" t="s">
        <v>9105</v>
      </c>
      <c r="B52" s="85" t="s">
        <v>94</v>
      </c>
      <c r="C52" s="85" t="s">
        <v>9119</v>
      </c>
      <c r="D52" s="82" t="s">
        <v>9115</v>
      </c>
      <c r="E52" s="82" t="s">
        <v>9120</v>
      </c>
      <c r="F52" s="82" t="s">
        <v>9121</v>
      </c>
      <c r="G52" s="461">
        <v>200.0</v>
      </c>
      <c r="H52" s="148">
        <v>200.0</v>
      </c>
      <c r="I52" s="82" t="s">
        <v>689</v>
      </c>
    </row>
    <row r="53" ht="15.0" customHeight="1">
      <c r="A53" s="85" t="s">
        <v>9123</v>
      </c>
      <c r="B53" s="85" t="s">
        <v>94</v>
      </c>
      <c r="C53" s="82" t="s">
        <v>9124</v>
      </c>
      <c r="D53" s="82" t="s">
        <v>9122</v>
      </c>
      <c r="E53" s="82" t="s">
        <v>8759</v>
      </c>
      <c r="F53" s="82" t="s">
        <v>9125</v>
      </c>
      <c r="G53" s="461">
        <v>160.0</v>
      </c>
      <c r="H53" s="148">
        <v>160.0</v>
      </c>
      <c r="I53" s="82" t="s">
        <v>689</v>
      </c>
    </row>
    <row r="54" ht="15.0" customHeight="1">
      <c r="A54" s="85" t="s">
        <v>9118</v>
      </c>
      <c r="B54" s="85" t="s">
        <v>94</v>
      </c>
      <c r="C54" s="82" t="s">
        <v>9126</v>
      </c>
      <c r="D54" s="82" t="s">
        <v>9127</v>
      </c>
      <c r="E54" s="82" t="s">
        <v>9128</v>
      </c>
      <c r="F54" s="82" t="s">
        <v>9129</v>
      </c>
      <c r="G54" s="461">
        <v>160.0</v>
      </c>
      <c r="H54" s="148">
        <v>160.0</v>
      </c>
      <c r="I54" s="82" t="s">
        <v>689</v>
      </c>
    </row>
    <row r="55" ht="15.0" customHeight="1">
      <c r="A55" s="85" t="s">
        <v>9101</v>
      </c>
      <c r="B55" s="85" t="s">
        <v>94</v>
      </c>
      <c r="C55" s="82" t="s">
        <v>9130</v>
      </c>
      <c r="D55" s="82" t="s">
        <v>9115</v>
      </c>
      <c r="E55" s="82" t="s">
        <v>9085</v>
      </c>
      <c r="F55" s="82" t="s">
        <v>9131</v>
      </c>
      <c r="G55" s="461">
        <v>50.0</v>
      </c>
      <c r="H55" s="148">
        <v>50.0</v>
      </c>
      <c r="I55" s="82" t="s">
        <v>689</v>
      </c>
    </row>
    <row r="56" ht="15.0" customHeight="1">
      <c r="A56" s="85" t="s">
        <v>9100</v>
      </c>
      <c r="B56" s="85" t="s">
        <v>94</v>
      </c>
      <c r="C56" s="82" t="s">
        <v>9130</v>
      </c>
      <c r="D56" s="82" t="s">
        <v>9115</v>
      </c>
      <c r="E56" s="82" t="s">
        <v>9085</v>
      </c>
      <c r="F56" s="82" t="s">
        <v>9131</v>
      </c>
      <c r="G56" s="461">
        <v>200.0</v>
      </c>
      <c r="H56" s="148">
        <v>200.0</v>
      </c>
      <c r="I56" s="82" t="s">
        <v>689</v>
      </c>
    </row>
    <row r="57" ht="15.0" customHeight="1">
      <c r="A57" s="85" t="s">
        <v>9110</v>
      </c>
      <c r="B57" s="85" t="s">
        <v>94</v>
      </c>
      <c r="C57" s="82" t="s">
        <v>9130</v>
      </c>
      <c r="D57" s="82" t="s">
        <v>9115</v>
      </c>
      <c r="E57" s="82" t="s">
        <v>9085</v>
      </c>
      <c r="F57" s="82" t="s">
        <v>9131</v>
      </c>
      <c r="G57" s="461">
        <v>200.0</v>
      </c>
      <c r="H57" s="148">
        <v>200.0</v>
      </c>
      <c r="I57" s="82" t="s">
        <v>689</v>
      </c>
    </row>
    <row r="58" ht="15.0" customHeight="1">
      <c r="A58" s="85" t="s">
        <v>9096</v>
      </c>
      <c r="B58" s="85" t="s">
        <v>94</v>
      </c>
      <c r="C58" s="82" t="s">
        <v>9130</v>
      </c>
      <c r="D58" s="82" t="s">
        <v>9122</v>
      </c>
      <c r="E58" s="82" t="s">
        <v>9085</v>
      </c>
      <c r="F58" s="82" t="s">
        <v>9131</v>
      </c>
      <c r="G58" s="461">
        <v>160.0</v>
      </c>
      <c r="H58" s="148">
        <v>160.0</v>
      </c>
      <c r="I58" s="82" t="s">
        <v>689</v>
      </c>
    </row>
    <row r="59" ht="15.0" customHeight="1">
      <c r="A59" s="85" t="s">
        <v>9132</v>
      </c>
      <c r="B59" s="85" t="s">
        <v>94</v>
      </c>
      <c r="C59" s="82" t="s">
        <v>9130</v>
      </c>
      <c r="D59" s="82" t="s">
        <v>9115</v>
      </c>
      <c r="E59" s="82" t="s">
        <v>9085</v>
      </c>
      <c r="F59" s="82" t="s">
        <v>9131</v>
      </c>
      <c r="G59" s="461">
        <v>200.0</v>
      </c>
      <c r="H59" s="148">
        <v>200.0</v>
      </c>
      <c r="I59" s="82" t="s">
        <v>689</v>
      </c>
    </row>
    <row r="60" ht="15.0" customHeight="1">
      <c r="A60" s="85" t="s">
        <v>9105</v>
      </c>
      <c r="B60" s="85" t="s">
        <v>94</v>
      </c>
      <c r="C60" s="82" t="s">
        <v>9130</v>
      </c>
      <c r="D60" s="82" t="s">
        <v>9115</v>
      </c>
      <c r="E60" s="82" t="s">
        <v>9085</v>
      </c>
      <c r="F60" s="82" t="s">
        <v>9131</v>
      </c>
      <c r="G60" s="461">
        <v>200.0</v>
      </c>
      <c r="H60" s="148">
        <v>200.0</v>
      </c>
      <c r="I60" s="82" t="s">
        <v>689</v>
      </c>
    </row>
    <row r="61" ht="15.0" customHeight="1">
      <c r="A61" s="85" t="s">
        <v>9118</v>
      </c>
      <c r="B61" s="85" t="s">
        <v>94</v>
      </c>
      <c r="C61" s="82" t="s">
        <v>9130</v>
      </c>
      <c r="D61" s="82" t="s">
        <v>9122</v>
      </c>
      <c r="E61" s="82" t="s">
        <v>9085</v>
      </c>
      <c r="F61" s="82" t="s">
        <v>9131</v>
      </c>
      <c r="G61" s="461">
        <v>160.0</v>
      </c>
      <c r="H61" s="148">
        <v>160.0</v>
      </c>
      <c r="I61" s="82" t="s">
        <v>689</v>
      </c>
    </row>
    <row r="62" ht="15.0" customHeight="1">
      <c r="A62" s="82" t="s">
        <v>9133</v>
      </c>
      <c r="B62" s="82" t="s">
        <v>94</v>
      </c>
      <c r="C62" s="82" t="s">
        <v>9134</v>
      </c>
      <c r="D62" s="82" t="s">
        <v>9135</v>
      </c>
      <c r="E62" s="82" t="s">
        <v>9136</v>
      </c>
      <c r="F62" s="82" t="s">
        <v>9137</v>
      </c>
      <c r="G62" s="461">
        <v>50.0</v>
      </c>
      <c r="H62" s="148">
        <v>50.0</v>
      </c>
      <c r="I62" s="82" t="s">
        <v>689</v>
      </c>
    </row>
    <row r="63" ht="15.0" customHeight="1">
      <c r="A63" s="82" t="s">
        <v>9138</v>
      </c>
      <c r="B63" s="82" t="s">
        <v>94</v>
      </c>
      <c r="C63" s="82" t="s">
        <v>9134</v>
      </c>
      <c r="D63" s="82" t="s">
        <v>9135</v>
      </c>
      <c r="E63" s="82" t="s">
        <v>9136</v>
      </c>
      <c r="F63" s="82" t="s">
        <v>9137</v>
      </c>
      <c r="G63" s="461">
        <v>50.0</v>
      </c>
      <c r="H63" s="148">
        <v>50.0</v>
      </c>
      <c r="I63" s="82" t="s">
        <v>689</v>
      </c>
    </row>
    <row r="64" ht="15.75" customHeight="1">
      <c r="A64" s="148" t="s">
        <v>9139</v>
      </c>
      <c r="B64" s="148" t="s">
        <v>94</v>
      </c>
      <c r="C64" s="148" t="s">
        <v>9083</v>
      </c>
      <c r="D64" s="148" t="s">
        <v>9084</v>
      </c>
      <c r="E64" s="148" t="s">
        <v>9085</v>
      </c>
      <c r="F64" s="468" t="s">
        <v>9140</v>
      </c>
      <c r="G64" s="466" t="s">
        <v>9087</v>
      </c>
      <c r="H64" s="148">
        <v>60.0</v>
      </c>
      <c r="I64" s="82" t="s">
        <v>5513</v>
      </c>
    </row>
    <row r="65" ht="15.75" customHeight="1">
      <c r="A65" s="148" t="s">
        <v>9139</v>
      </c>
      <c r="B65" s="148" t="s">
        <v>94</v>
      </c>
      <c r="C65" s="148" t="s">
        <v>9083</v>
      </c>
      <c r="D65" s="148" t="s">
        <v>9084</v>
      </c>
      <c r="E65" s="148" t="s">
        <v>9085</v>
      </c>
      <c r="F65" s="468" t="s">
        <v>9140</v>
      </c>
      <c r="G65" s="466" t="s">
        <v>9087</v>
      </c>
      <c r="H65" s="148">
        <v>60.0</v>
      </c>
      <c r="I65" s="82" t="s">
        <v>5513</v>
      </c>
    </row>
    <row r="66" ht="15.75" customHeight="1">
      <c r="A66" s="148" t="s">
        <v>9139</v>
      </c>
      <c r="B66" s="148" t="s">
        <v>94</v>
      </c>
      <c r="C66" s="148" t="s">
        <v>9083</v>
      </c>
      <c r="D66" s="148" t="s">
        <v>9084</v>
      </c>
      <c r="E66" s="148" t="s">
        <v>9088</v>
      </c>
      <c r="F66" s="188" t="s">
        <v>9140</v>
      </c>
      <c r="G66" s="461" t="s">
        <v>9090</v>
      </c>
      <c r="H66" s="148">
        <v>60.0</v>
      </c>
      <c r="I66" s="82" t="s">
        <v>5513</v>
      </c>
    </row>
    <row r="67" ht="15.75" customHeight="1">
      <c r="A67" s="148" t="s">
        <v>9139</v>
      </c>
      <c r="B67" s="148" t="s">
        <v>94</v>
      </c>
      <c r="C67" s="148" t="s">
        <v>9083</v>
      </c>
      <c r="D67" s="148" t="s">
        <v>9084</v>
      </c>
      <c r="E67" s="148" t="s">
        <v>9085</v>
      </c>
      <c r="F67" s="188" t="s">
        <v>9140</v>
      </c>
      <c r="G67" s="461" t="s">
        <v>9092</v>
      </c>
      <c r="H67" s="148">
        <v>100.0</v>
      </c>
      <c r="I67" s="82" t="s">
        <v>5513</v>
      </c>
    </row>
    <row r="68" ht="15.75" customHeight="1">
      <c r="A68" s="148" t="s">
        <v>9139</v>
      </c>
      <c r="B68" s="148" t="s">
        <v>94</v>
      </c>
      <c r="C68" s="148" t="s">
        <v>9093</v>
      </c>
      <c r="D68" s="148" t="s">
        <v>9084</v>
      </c>
      <c r="E68" s="148" t="s">
        <v>9094</v>
      </c>
      <c r="F68" s="188" t="s">
        <v>9095</v>
      </c>
      <c r="G68" s="466" t="s">
        <v>9087</v>
      </c>
      <c r="H68" s="148">
        <v>60.0</v>
      </c>
      <c r="I68" s="82" t="s">
        <v>5513</v>
      </c>
    </row>
    <row r="69" ht="15.75" customHeight="1">
      <c r="A69" s="148" t="s">
        <v>9139</v>
      </c>
      <c r="B69" s="148" t="s">
        <v>94</v>
      </c>
      <c r="C69" s="148" t="s">
        <v>9093</v>
      </c>
      <c r="D69" s="148" t="s">
        <v>9084</v>
      </c>
      <c r="E69" s="148" t="s">
        <v>9094</v>
      </c>
      <c r="F69" s="188" t="s">
        <v>9095</v>
      </c>
      <c r="G69" s="461" t="s">
        <v>9090</v>
      </c>
      <c r="H69" s="148">
        <v>80.0</v>
      </c>
      <c r="I69" s="82" t="s">
        <v>5513</v>
      </c>
    </row>
    <row r="70" ht="15.75" customHeight="1">
      <c r="A70" s="193" t="s">
        <v>185</v>
      </c>
      <c r="B70" s="61"/>
      <c r="C70" s="61"/>
      <c r="D70" s="61"/>
      <c r="E70" s="61"/>
      <c r="F70" s="61"/>
      <c r="H70" s="283">
        <f>SUM(H10:H69)</f>
        <v>6489.993333</v>
      </c>
    </row>
    <row r="71" ht="15.75" customHeight="1">
      <c r="A71" s="104"/>
      <c r="B71" s="61"/>
      <c r="C71" s="61"/>
      <c r="D71" s="61"/>
      <c r="E71" s="61"/>
      <c r="F71" s="61"/>
      <c r="G71" s="61"/>
      <c r="H71" s="1"/>
    </row>
    <row r="72" ht="15.75" customHeight="1">
      <c r="A72" s="284" t="s">
        <v>1169</v>
      </c>
      <c r="B72" s="103"/>
      <c r="C72" s="103"/>
      <c r="D72" s="103"/>
      <c r="E72" s="103"/>
      <c r="F72" s="103"/>
      <c r="G72" s="103"/>
      <c r="H72" s="103"/>
    </row>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72:H72"/>
  </mergeCells>
  <hyperlinks>
    <hyperlink r:id="rId1" ref="F13"/>
    <hyperlink r:id="rId2" ref="F16"/>
    <hyperlink r:id="rId3" ref="F17"/>
    <hyperlink r:id="rId4" ref="F18"/>
    <hyperlink r:id="rId5" ref="F19"/>
    <hyperlink r:id="rId6" ref="F21"/>
    <hyperlink r:id="rId7" ref="F24"/>
    <hyperlink r:id="rId8" location="1675682957806-affbdefd-cd96" ref="F26"/>
    <hyperlink r:id="rId9" ref="F30"/>
    <hyperlink r:id="rId10" ref="F31"/>
    <hyperlink r:id="rId11" location="1675682957806-affbdefd-cd96" ref="F64"/>
    <hyperlink r:id="rId12" location="1675682957806-affbdefd-cd96" ref="F65"/>
    <hyperlink r:id="rId13" location="1675682957806-affbdefd-cd96" ref="F66"/>
    <hyperlink r:id="rId14" location="1675682957806-affbdefd-cd96" ref="F67"/>
    <hyperlink r:id="rId15" ref="F68"/>
    <hyperlink r:id="rId16" ref="F69"/>
  </hyperlinks>
  <printOptions/>
  <pageMargins bottom="0.75" footer="0.0" header="0.0" left="0.7" right="0.7" top="0.75"/>
  <pageSetup orientation="landscape"/>
  <drawing r:id="rId17"/>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29"/>
    <col customWidth="1" min="10" max="26" width="8.0"/>
  </cols>
  <sheetData>
    <row r="1">
      <c r="A1" s="104"/>
      <c r="B1" s="61"/>
      <c r="C1" s="61"/>
      <c r="D1" s="61"/>
      <c r="E1" s="61"/>
      <c r="F1" s="1"/>
      <c r="G1" s="1"/>
    </row>
    <row r="2">
      <c r="A2" s="105" t="s">
        <v>9141</v>
      </c>
      <c r="B2" s="64"/>
      <c r="C2" s="64"/>
      <c r="D2" s="64"/>
      <c r="E2" s="64"/>
      <c r="F2" s="64"/>
      <c r="G2" s="64"/>
      <c r="H2" s="65"/>
      <c r="I2" s="107"/>
      <c r="J2" s="107"/>
      <c r="K2" s="107"/>
      <c r="L2" s="107"/>
      <c r="M2" s="107"/>
      <c r="N2" s="107"/>
      <c r="O2" s="107"/>
      <c r="P2" s="107"/>
      <c r="Q2" s="107"/>
      <c r="R2" s="107"/>
      <c r="S2" s="107"/>
      <c r="T2" s="107"/>
      <c r="U2" s="107"/>
      <c r="V2" s="107"/>
      <c r="W2" s="107"/>
      <c r="X2" s="107"/>
      <c r="Y2" s="107"/>
      <c r="Z2" s="107"/>
    </row>
    <row r="3">
      <c r="A3" s="145"/>
      <c r="B3" s="145"/>
      <c r="C3" s="145"/>
      <c r="D3" s="145"/>
      <c r="E3" s="145"/>
      <c r="F3" s="145"/>
      <c r="G3" s="106"/>
      <c r="H3" s="107"/>
      <c r="I3" s="107"/>
      <c r="J3" s="107"/>
      <c r="K3" s="107"/>
      <c r="L3" s="107"/>
      <c r="M3" s="107"/>
      <c r="N3" s="107"/>
      <c r="O3" s="107"/>
      <c r="P3" s="107"/>
      <c r="Q3" s="107"/>
      <c r="R3" s="107"/>
      <c r="S3" s="107"/>
      <c r="T3" s="107"/>
      <c r="U3" s="107"/>
      <c r="V3" s="107"/>
      <c r="W3" s="107"/>
      <c r="X3" s="107"/>
      <c r="Y3" s="107"/>
      <c r="Z3" s="107"/>
    </row>
    <row r="4">
      <c r="A4" s="108" t="s">
        <v>9142</v>
      </c>
      <c r="B4" s="64"/>
      <c r="C4" s="64"/>
      <c r="D4" s="64"/>
      <c r="E4" s="64"/>
      <c r="F4" s="64"/>
      <c r="G4" s="64"/>
      <c r="H4" s="65"/>
      <c r="I4" s="107"/>
      <c r="J4" s="107"/>
      <c r="K4" s="107"/>
      <c r="L4" s="107"/>
      <c r="M4" s="107"/>
      <c r="N4" s="107"/>
      <c r="O4" s="107"/>
      <c r="P4" s="107"/>
      <c r="Q4" s="107"/>
      <c r="R4" s="107"/>
      <c r="S4" s="107"/>
      <c r="T4" s="107"/>
      <c r="U4" s="107"/>
      <c r="V4" s="107"/>
      <c r="W4" s="107"/>
      <c r="X4" s="107"/>
      <c r="Y4" s="107"/>
      <c r="Z4" s="107"/>
    </row>
    <row r="5">
      <c r="A5" s="108" t="s">
        <v>9143</v>
      </c>
      <c r="B5" s="64"/>
      <c r="C5" s="64"/>
      <c r="D5" s="64"/>
      <c r="E5" s="64"/>
      <c r="F5" s="64"/>
      <c r="G5" s="64"/>
      <c r="H5" s="65"/>
      <c r="I5" s="107"/>
      <c r="J5" s="107"/>
      <c r="K5" s="107"/>
      <c r="L5" s="107"/>
      <c r="M5" s="107"/>
      <c r="N5" s="107"/>
      <c r="O5" s="107"/>
      <c r="P5" s="107"/>
      <c r="Q5" s="107"/>
      <c r="R5" s="107"/>
      <c r="S5" s="107"/>
      <c r="T5" s="107"/>
      <c r="U5" s="107"/>
      <c r="V5" s="107"/>
      <c r="W5" s="107"/>
      <c r="X5" s="107"/>
      <c r="Y5" s="107"/>
      <c r="Z5" s="107"/>
    </row>
    <row r="6" ht="15.75" customHeight="1">
      <c r="A6" s="108" t="s">
        <v>9144</v>
      </c>
      <c r="B6" s="64"/>
      <c r="C6" s="64"/>
      <c r="D6" s="64"/>
      <c r="E6" s="64"/>
      <c r="F6" s="64"/>
      <c r="G6" s="64"/>
      <c r="H6" s="65"/>
      <c r="I6" s="107"/>
      <c r="J6" s="107"/>
      <c r="K6" s="107"/>
      <c r="L6" s="107"/>
      <c r="M6" s="107"/>
      <c r="N6" s="107"/>
      <c r="O6" s="107"/>
      <c r="P6" s="107"/>
      <c r="Q6" s="107"/>
      <c r="R6" s="107"/>
      <c r="S6" s="107"/>
      <c r="T6" s="107"/>
      <c r="U6" s="107"/>
      <c r="V6" s="107"/>
      <c r="W6" s="107"/>
      <c r="X6" s="107"/>
      <c r="Y6" s="107"/>
      <c r="Z6" s="107"/>
    </row>
    <row r="7" ht="15.75" customHeight="1">
      <c r="A7" s="108" t="s">
        <v>9145</v>
      </c>
      <c r="B7" s="64"/>
      <c r="C7" s="64"/>
      <c r="D7" s="64"/>
      <c r="E7" s="64"/>
      <c r="F7" s="64"/>
      <c r="G7" s="64"/>
      <c r="H7" s="65"/>
      <c r="I7" s="107"/>
      <c r="J7" s="107"/>
      <c r="K7" s="107"/>
      <c r="L7" s="107"/>
      <c r="M7" s="107"/>
      <c r="N7" s="107"/>
      <c r="O7" s="107"/>
      <c r="P7" s="107"/>
      <c r="Q7" s="107"/>
      <c r="R7" s="107"/>
      <c r="S7" s="107"/>
      <c r="T7" s="107"/>
      <c r="U7" s="107"/>
      <c r="V7" s="107"/>
      <c r="W7" s="107"/>
      <c r="X7" s="107"/>
      <c r="Y7" s="107"/>
      <c r="Z7" s="107"/>
    </row>
    <row r="8" ht="13.5" customHeight="1">
      <c r="A8" s="108" t="s">
        <v>9146</v>
      </c>
      <c r="B8" s="64"/>
      <c r="C8" s="64"/>
      <c r="D8" s="64"/>
      <c r="E8" s="64"/>
      <c r="F8" s="64"/>
      <c r="G8" s="64"/>
      <c r="H8" s="65"/>
      <c r="I8" s="107"/>
      <c r="J8" s="107"/>
      <c r="K8" s="107"/>
      <c r="L8" s="107"/>
      <c r="M8" s="107"/>
      <c r="N8" s="107"/>
      <c r="O8" s="107"/>
      <c r="P8" s="107"/>
      <c r="Q8" s="107"/>
      <c r="R8" s="107"/>
      <c r="S8" s="107"/>
      <c r="T8" s="107"/>
      <c r="U8" s="107"/>
      <c r="V8" s="107"/>
      <c r="W8" s="107"/>
      <c r="X8" s="107"/>
      <c r="Y8" s="107"/>
      <c r="Z8" s="107"/>
    </row>
    <row r="9" ht="13.5" customHeight="1">
      <c r="A9" s="108" t="s">
        <v>9147</v>
      </c>
      <c r="B9" s="64"/>
      <c r="C9" s="64"/>
      <c r="D9" s="64"/>
      <c r="E9" s="64"/>
      <c r="F9" s="64"/>
      <c r="G9" s="64"/>
      <c r="H9" s="65"/>
      <c r="I9" s="107"/>
      <c r="J9" s="107"/>
      <c r="K9" s="107"/>
      <c r="L9" s="107"/>
      <c r="M9" s="107"/>
      <c r="N9" s="107"/>
      <c r="O9" s="107"/>
      <c r="P9" s="107"/>
      <c r="Q9" s="107"/>
      <c r="R9" s="107"/>
      <c r="S9" s="107"/>
      <c r="T9" s="107"/>
      <c r="U9" s="107"/>
      <c r="V9" s="107"/>
      <c r="W9" s="107"/>
      <c r="X9" s="107"/>
      <c r="Y9" s="107"/>
      <c r="Z9" s="107"/>
    </row>
    <row r="10" ht="14.25" customHeight="1">
      <c r="A10" s="108" t="s">
        <v>9148</v>
      </c>
      <c r="B10" s="64"/>
      <c r="C10" s="64"/>
      <c r="D10" s="64"/>
      <c r="E10" s="64"/>
      <c r="F10" s="64"/>
      <c r="G10" s="64"/>
      <c r="H10" s="65"/>
      <c r="I10" s="107"/>
      <c r="J10" s="107"/>
      <c r="K10" s="107"/>
      <c r="L10" s="107"/>
      <c r="M10" s="107"/>
      <c r="N10" s="107"/>
      <c r="O10" s="107"/>
      <c r="P10" s="107"/>
      <c r="Q10" s="107"/>
      <c r="R10" s="107"/>
      <c r="S10" s="107"/>
      <c r="T10" s="107"/>
      <c r="U10" s="107"/>
      <c r="V10" s="107"/>
      <c r="W10" s="107"/>
      <c r="X10" s="107"/>
      <c r="Y10" s="107"/>
      <c r="Z10" s="107"/>
    </row>
    <row r="11" ht="33.75" customHeight="1">
      <c r="A11" s="469" t="s">
        <v>9149</v>
      </c>
      <c r="B11" s="64"/>
      <c r="C11" s="64"/>
      <c r="D11" s="64"/>
      <c r="E11" s="64"/>
      <c r="F11" s="64"/>
      <c r="G11" s="64"/>
      <c r="H11" s="65"/>
      <c r="I11" s="107"/>
      <c r="J11" s="107"/>
      <c r="K11" s="107"/>
      <c r="L11" s="107"/>
      <c r="M11" s="107"/>
      <c r="N11" s="107"/>
      <c r="O11" s="107"/>
      <c r="P11" s="107"/>
      <c r="Q11" s="107"/>
      <c r="R11" s="107"/>
      <c r="S11" s="107"/>
      <c r="T11" s="107"/>
      <c r="U11" s="107"/>
      <c r="V11" s="107"/>
      <c r="W11" s="107"/>
      <c r="X11" s="107"/>
      <c r="Y11" s="107"/>
      <c r="Z11" s="107"/>
    </row>
    <row r="12">
      <c r="A12" s="109"/>
      <c r="B12" s="110"/>
      <c r="C12" s="110"/>
      <c r="D12" s="110"/>
      <c r="E12" s="110"/>
      <c r="F12" s="109"/>
      <c r="G12" s="106"/>
      <c r="H12" s="107"/>
      <c r="I12" s="107"/>
      <c r="J12" s="107"/>
      <c r="K12" s="107"/>
      <c r="L12" s="107"/>
      <c r="M12" s="107"/>
      <c r="N12" s="107"/>
      <c r="O12" s="107"/>
      <c r="P12" s="107"/>
      <c r="Q12" s="107"/>
      <c r="R12" s="107"/>
      <c r="S12" s="107"/>
      <c r="T12" s="107"/>
      <c r="U12" s="107"/>
      <c r="V12" s="107"/>
      <c r="W12" s="107"/>
      <c r="X12" s="107"/>
      <c r="Y12" s="107"/>
      <c r="Z12" s="107"/>
    </row>
    <row r="13" ht="45.0" customHeight="1">
      <c r="A13" s="131" t="s">
        <v>7</v>
      </c>
      <c r="B13" s="132" t="s">
        <v>8</v>
      </c>
      <c r="C13" s="131" t="s">
        <v>9150</v>
      </c>
      <c r="D13" s="324" t="s">
        <v>9151</v>
      </c>
      <c r="E13" s="217" t="s">
        <v>9152</v>
      </c>
      <c r="F13" s="131" t="s">
        <v>9153</v>
      </c>
      <c r="G13" s="131" t="s">
        <v>7508</v>
      </c>
      <c r="H13" s="131" t="s">
        <v>221</v>
      </c>
      <c r="I13" s="113" t="s">
        <v>222</v>
      </c>
    </row>
    <row r="15" ht="15.0" customHeight="1">
      <c r="A15" s="122" t="s">
        <v>185</v>
      </c>
      <c r="H15" s="122">
        <f>SUM(H13:H14)</f>
        <v>0</v>
      </c>
    </row>
    <row r="17" ht="15.0" customHeight="1">
      <c r="A17" s="123" t="s">
        <v>1169</v>
      </c>
      <c r="B17" s="103"/>
      <c r="C17" s="103"/>
      <c r="D17" s="103"/>
      <c r="E17" s="103"/>
      <c r="F17" s="103"/>
      <c r="G17" s="103"/>
      <c r="H17"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17:H17"/>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 customWidth="1" min="7" max="7" width="28.57"/>
  </cols>
  <sheetData>
    <row r="1">
      <c r="A1" s="104"/>
      <c r="B1" s="61"/>
      <c r="C1" s="61"/>
      <c r="D1" s="61"/>
      <c r="E1" s="61"/>
      <c r="F1" s="61"/>
    </row>
    <row r="2" ht="28.5" customHeight="1">
      <c r="A2" s="105" t="s">
        <v>9154</v>
      </c>
      <c r="B2" s="64"/>
      <c r="C2" s="64"/>
      <c r="D2" s="64"/>
      <c r="E2" s="64"/>
      <c r="F2" s="65"/>
    </row>
    <row r="3">
      <c r="A3" s="127"/>
      <c r="B3" s="127"/>
      <c r="C3" s="127"/>
      <c r="D3" s="127"/>
      <c r="E3" s="127"/>
      <c r="F3" s="470"/>
    </row>
    <row r="4" ht="30.75" customHeight="1">
      <c r="A4" s="108" t="s">
        <v>9155</v>
      </c>
      <c r="B4" s="64"/>
      <c r="C4" s="64"/>
      <c r="D4" s="64"/>
      <c r="E4" s="64"/>
      <c r="F4" s="65"/>
    </row>
    <row r="5" ht="18.0" customHeight="1">
      <c r="A5" s="108" t="s">
        <v>9156</v>
      </c>
      <c r="B5" s="64"/>
      <c r="C5" s="64"/>
      <c r="D5" s="64"/>
      <c r="E5" s="64"/>
      <c r="F5" s="65"/>
    </row>
    <row r="6" ht="17.25" customHeight="1">
      <c r="A6" s="128" t="s">
        <v>9157</v>
      </c>
      <c r="B6" s="64"/>
      <c r="C6" s="64"/>
      <c r="D6" s="64"/>
      <c r="E6" s="64"/>
      <c r="F6" s="65"/>
    </row>
    <row r="7" ht="16.5" customHeight="1">
      <c r="A7" s="128" t="s">
        <v>9158</v>
      </c>
      <c r="B7" s="64"/>
      <c r="C7" s="64"/>
      <c r="D7" s="64"/>
      <c r="E7" s="64"/>
      <c r="F7" s="65"/>
    </row>
    <row r="8" ht="26.25" customHeight="1">
      <c r="A8" s="128" t="s">
        <v>9159</v>
      </c>
      <c r="B8" s="64"/>
      <c r="C8" s="64"/>
      <c r="D8" s="64"/>
      <c r="E8" s="64"/>
      <c r="F8" s="65"/>
    </row>
    <row r="9" ht="39.75" customHeight="1">
      <c r="A9" s="226" t="s">
        <v>9160</v>
      </c>
      <c r="B9" s="64"/>
      <c r="C9" s="64"/>
      <c r="D9" s="64"/>
      <c r="E9" s="64"/>
      <c r="F9" s="65"/>
    </row>
    <row r="10">
      <c r="A10" s="109"/>
      <c r="B10" s="110"/>
      <c r="C10" s="110"/>
      <c r="D10" s="110"/>
      <c r="E10" s="110"/>
      <c r="F10" s="110"/>
    </row>
    <row r="11" ht="61.5" customHeight="1">
      <c r="A11" s="228" t="s">
        <v>7</v>
      </c>
      <c r="B11" s="132" t="s">
        <v>8</v>
      </c>
      <c r="C11" s="228" t="s">
        <v>9161</v>
      </c>
      <c r="D11" s="228" t="s">
        <v>9162</v>
      </c>
      <c r="E11" s="228" t="s">
        <v>217</v>
      </c>
      <c r="F11" s="228" t="s">
        <v>221</v>
      </c>
      <c r="G11" s="113" t="s">
        <v>222</v>
      </c>
    </row>
    <row r="12" ht="15.0" customHeight="1">
      <c r="A12" s="82" t="s">
        <v>7659</v>
      </c>
      <c r="B12" s="82" t="s">
        <v>52</v>
      </c>
      <c r="C12" s="471" t="s">
        <v>9163</v>
      </c>
      <c r="D12" s="472" t="s">
        <v>9164</v>
      </c>
      <c r="E12" s="281">
        <v>100.0</v>
      </c>
      <c r="F12" s="281">
        <f>E12</f>
        <v>100</v>
      </c>
      <c r="G12" s="281" t="s">
        <v>60</v>
      </c>
    </row>
    <row r="13" ht="15.0" customHeight="1">
      <c r="A13" s="82" t="s">
        <v>7901</v>
      </c>
      <c r="B13" s="82" t="s">
        <v>94</v>
      </c>
      <c r="C13" s="82" t="s">
        <v>9165</v>
      </c>
      <c r="D13" s="472" t="s">
        <v>9166</v>
      </c>
      <c r="E13" s="282">
        <v>100.0</v>
      </c>
      <c r="F13" s="282">
        <v>100.0</v>
      </c>
      <c r="G13" s="281" t="s">
        <v>590</v>
      </c>
    </row>
    <row r="14" ht="15.0" customHeight="1">
      <c r="A14" s="82" t="s">
        <v>8069</v>
      </c>
      <c r="B14" s="82" t="s">
        <v>94</v>
      </c>
      <c r="C14" s="82" t="s">
        <v>9167</v>
      </c>
      <c r="D14" s="92"/>
      <c r="E14" s="473">
        <v>100.0</v>
      </c>
      <c r="F14" s="473">
        <v>100.0</v>
      </c>
      <c r="G14" s="281" t="s">
        <v>907</v>
      </c>
    </row>
    <row r="15" ht="15.0" customHeight="1">
      <c r="A15" s="82" t="s">
        <v>8069</v>
      </c>
      <c r="B15" s="82" t="s">
        <v>94</v>
      </c>
      <c r="C15" s="82" t="s">
        <v>9168</v>
      </c>
      <c r="D15" s="92"/>
      <c r="E15" s="473">
        <v>100.0</v>
      </c>
      <c r="F15" s="473">
        <v>100.0</v>
      </c>
      <c r="G15" s="281" t="s">
        <v>907</v>
      </c>
    </row>
    <row r="16" ht="15.0" customHeight="1">
      <c r="A16" s="82" t="s">
        <v>1094</v>
      </c>
      <c r="B16" s="82" t="s">
        <v>147</v>
      </c>
      <c r="C16" s="82" t="s">
        <v>9169</v>
      </c>
      <c r="D16" s="92" t="s">
        <v>9170</v>
      </c>
      <c r="E16" s="282">
        <v>100.0</v>
      </c>
      <c r="F16" s="429">
        <v>100.0</v>
      </c>
      <c r="G16" s="282" t="s">
        <v>150</v>
      </c>
    </row>
    <row r="17" ht="15.0" customHeight="1">
      <c r="A17" s="82" t="s">
        <v>9039</v>
      </c>
      <c r="B17" s="82" t="s">
        <v>147</v>
      </c>
      <c r="C17" s="82" t="s">
        <v>9167</v>
      </c>
      <c r="D17" s="92" t="s">
        <v>9166</v>
      </c>
      <c r="E17" s="282">
        <v>100.0</v>
      </c>
      <c r="F17" s="429">
        <v>100.0</v>
      </c>
      <c r="G17" s="282" t="s">
        <v>4738</v>
      </c>
    </row>
    <row r="18" ht="15.0" customHeight="1">
      <c r="A18" s="82" t="s">
        <v>9041</v>
      </c>
      <c r="B18" s="82" t="s">
        <v>147</v>
      </c>
      <c r="C18" s="82" t="s">
        <v>9171</v>
      </c>
      <c r="D18" s="92" t="s">
        <v>9172</v>
      </c>
      <c r="E18" s="282">
        <v>100.0</v>
      </c>
      <c r="F18" s="429">
        <v>100.0</v>
      </c>
      <c r="G18" s="282" t="s">
        <v>4845</v>
      </c>
    </row>
    <row r="19">
      <c r="A19" s="193" t="s">
        <v>185</v>
      </c>
      <c r="B19" s="61"/>
      <c r="C19" s="61"/>
      <c r="D19" s="61"/>
      <c r="F19" s="283">
        <f>SUM(F12:F18)</f>
        <v>700</v>
      </c>
    </row>
    <row r="20">
      <c r="A20" s="104"/>
      <c r="B20" s="61"/>
      <c r="C20" s="61"/>
      <c r="D20" s="61"/>
      <c r="E20" s="61"/>
      <c r="F20" s="61"/>
    </row>
    <row r="21" ht="15.75" customHeight="1">
      <c r="A21" s="284" t="s">
        <v>1169</v>
      </c>
      <c r="B21" s="103"/>
      <c r="C21" s="103"/>
      <c r="D21" s="103"/>
      <c r="E21" s="103"/>
      <c r="F21" s="103"/>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1:F21"/>
  </mergeCells>
  <hyperlinks>
    <hyperlink r:id="rId1" ref="D12"/>
    <hyperlink r:id="rId2" ref="D13"/>
  </hyperlinks>
  <printOptions/>
  <pageMargins bottom="0.75" footer="0.0" header="0.0" left="0.7" right="0.7" top="0.75"/>
  <pageSetup orientation="landscape"/>
  <drawing r:id="rId3"/>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7" width="18.86"/>
    <col customWidth="1" min="8" max="9" width="13.71"/>
    <col customWidth="1" min="10" max="26" width="8.0"/>
  </cols>
  <sheetData>
    <row r="1">
      <c r="A1" s="104"/>
      <c r="B1" s="104"/>
      <c r="C1" s="61"/>
      <c r="D1" s="61"/>
      <c r="E1" s="61"/>
      <c r="F1" s="61"/>
      <c r="G1" s="1"/>
      <c r="H1" s="1"/>
      <c r="I1" s="1"/>
    </row>
    <row r="2" ht="15.75" customHeight="1">
      <c r="A2" s="105" t="s">
        <v>9173</v>
      </c>
      <c r="B2" s="64"/>
      <c r="C2" s="64"/>
      <c r="D2" s="64"/>
      <c r="E2" s="64"/>
      <c r="F2" s="65"/>
      <c r="G2" s="474"/>
      <c r="H2" s="474"/>
      <c r="I2" s="474"/>
      <c r="J2" s="107"/>
      <c r="K2" s="107"/>
      <c r="L2" s="107"/>
      <c r="M2" s="107"/>
      <c r="N2" s="107"/>
      <c r="O2" s="107"/>
      <c r="P2" s="107"/>
      <c r="Q2" s="107"/>
      <c r="R2" s="107"/>
      <c r="S2" s="107"/>
      <c r="T2" s="107"/>
      <c r="U2" s="107"/>
      <c r="V2" s="107"/>
      <c r="W2" s="107"/>
      <c r="X2" s="107"/>
      <c r="Y2" s="107"/>
      <c r="Z2" s="107"/>
    </row>
    <row r="3" ht="15.75" customHeight="1">
      <c r="A3" s="145"/>
      <c r="B3" s="145"/>
      <c r="C3" s="145"/>
      <c r="D3" s="145"/>
      <c r="E3" s="145"/>
      <c r="F3" s="475"/>
      <c r="G3" s="474"/>
      <c r="H3" s="474"/>
      <c r="I3" s="474"/>
      <c r="J3" s="107"/>
      <c r="K3" s="107"/>
      <c r="L3" s="107"/>
      <c r="M3" s="107"/>
      <c r="N3" s="107"/>
      <c r="O3" s="107"/>
      <c r="P3" s="107"/>
      <c r="Q3" s="107"/>
      <c r="R3" s="107"/>
      <c r="S3" s="107"/>
      <c r="T3" s="107"/>
      <c r="U3" s="107"/>
      <c r="V3" s="107"/>
      <c r="W3" s="107"/>
      <c r="X3" s="107"/>
      <c r="Y3" s="107"/>
      <c r="Z3" s="107"/>
    </row>
    <row r="4" ht="14.25" customHeight="1">
      <c r="A4" s="128" t="s">
        <v>9174</v>
      </c>
      <c r="B4" s="64"/>
      <c r="C4" s="64"/>
      <c r="D4" s="64"/>
      <c r="E4" s="64"/>
      <c r="F4" s="65"/>
      <c r="G4" s="474"/>
      <c r="H4" s="474"/>
      <c r="I4" s="474"/>
      <c r="J4" s="107"/>
      <c r="K4" s="107"/>
      <c r="L4" s="107"/>
      <c r="M4" s="107"/>
      <c r="N4" s="107"/>
      <c r="O4" s="107"/>
      <c r="P4" s="107"/>
      <c r="Q4" s="107"/>
      <c r="R4" s="107"/>
      <c r="S4" s="107"/>
      <c r="T4" s="107"/>
      <c r="U4" s="107"/>
      <c r="V4" s="107"/>
      <c r="W4" s="107"/>
      <c r="X4" s="107"/>
      <c r="Y4" s="107"/>
      <c r="Z4" s="107"/>
    </row>
    <row r="5" ht="16.5" customHeight="1">
      <c r="A5" s="226" t="s">
        <v>9175</v>
      </c>
      <c r="B5" s="64"/>
      <c r="C5" s="64"/>
      <c r="D5" s="64"/>
      <c r="E5" s="64"/>
      <c r="F5" s="65"/>
      <c r="G5" s="474"/>
      <c r="H5" s="474"/>
      <c r="I5" s="474"/>
      <c r="J5" s="107"/>
      <c r="K5" s="107"/>
      <c r="L5" s="107"/>
      <c r="M5" s="107"/>
      <c r="N5" s="107"/>
      <c r="O5" s="107"/>
      <c r="P5" s="107"/>
      <c r="Q5" s="107"/>
      <c r="R5" s="107"/>
      <c r="S5" s="107"/>
      <c r="T5" s="107"/>
      <c r="U5" s="107"/>
      <c r="V5" s="107"/>
      <c r="W5" s="107"/>
      <c r="X5" s="107"/>
      <c r="Y5" s="107"/>
      <c r="Z5" s="107"/>
    </row>
    <row r="6" ht="16.5" customHeight="1">
      <c r="A6" s="226" t="s">
        <v>9176</v>
      </c>
      <c r="B6" s="64"/>
      <c r="C6" s="64"/>
      <c r="D6" s="64"/>
      <c r="E6" s="64"/>
      <c r="F6" s="65"/>
      <c r="G6" s="474"/>
      <c r="H6" s="474"/>
      <c r="I6" s="474"/>
      <c r="J6" s="107"/>
      <c r="K6" s="107"/>
      <c r="L6" s="107"/>
      <c r="M6" s="107"/>
      <c r="N6" s="107"/>
      <c r="O6" s="107"/>
      <c r="P6" s="107"/>
      <c r="Q6" s="107"/>
      <c r="R6" s="107"/>
      <c r="S6" s="107"/>
      <c r="T6" s="107"/>
      <c r="U6" s="107"/>
      <c r="V6" s="107"/>
      <c r="W6" s="107"/>
      <c r="X6" s="107"/>
      <c r="Y6" s="107"/>
      <c r="Z6" s="107"/>
    </row>
    <row r="7" ht="17.25" customHeight="1">
      <c r="A7" s="226" t="s">
        <v>9177</v>
      </c>
      <c r="B7" s="64"/>
      <c r="C7" s="64"/>
      <c r="D7" s="64"/>
      <c r="E7" s="64"/>
      <c r="F7" s="65"/>
      <c r="G7" s="474"/>
      <c r="H7" s="474"/>
      <c r="I7" s="474"/>
      <c r="J7" s="107"/>
      <c r="K7" s="107"/>
      <c r="L7" s="107"/>
      <c r="M7" s="107"/>
      <c r="N7" s="107"/>
      <c r="O7" s="107"/>
      <c r="P7" s="107"/>
      <c r="Q7" s="107"/>
      <c r="R7" s="107"/>
      <c r="S7" s="107"/>
      <c r="T7" s="107"/>
      <c r="U7" s="107"/>
      <c r="V7" s="107"/>
      <c r="W7" s="107"/>
      <c r="X7" s="107"/>
      <c r="Y7" s="107"/>
      <c r="Z7" s="107"/>
    </row>
    <row r="8" ht="30.0" customHeight="1">
      <c r="A8" s="226" t="s">
        <v>9178</v>
      </c>
      <c r="B8" s="64"/>
      <c r="C8" s="64"/>
      <c r="D8" s="64"/>
      <c r="E8" s="64"/>
      <c r="F8" s="65"/>
      <c r="G8" s="474"/>
      <c r="H8" s="474"/>
      <c r="I8" s="474"/>
      <c r="J8" s="107"/>
      <c r="K8" s="107"/>
      <c r="L8" s="107"/>
      <c r="M8" s="107"/>
      <c r="N8" s="107"/>
      <c r="O8" s="107"/>
      <c r="P8" s="107"/>
      <c r="Q8" s="107"/>
      <c r="R8" s="107"/>
      <c r="S8" s="107"/>
      <c r="T8" s="107"/>
      <c r="U8" s="107"/>
      <c r="V8" s="107"/>
      <c r="W8" s="107"/>
      <c r="X8" s="107"/>
      <c r="Y8" s="107"/>
      <c r="Z8" s="107"/>
    </row>
    <row r="9" ht="57.0" customHeight="1">
      <c r="A9" s="226" t="s">
        <v>9179</v>
      </c>
      <c r="B9" s="64"/>
      <c r="C9" s="64"/>
      <c r="D9" s="64"/>
      <c r="E9" s="64"/>
      <c r="F9" s="65"/>
      <c r="G9" s="474"/>
      <c r="H9" s="474"/>
      <c r="I9" s="474"/>
      <c r="J9" s="107"/>
      <c r="K9" s="107"/>
      <c r="L9" s="107"/>
      <c r="M9" s="107"/>
      <c r="N9" s="107"/>
      <c r="O9" s="107"/>
      <c r="P9" s="107"/>
      <c r="Q9" s="107"/>
      <c r="R9" s="107"/>
      <c r="S9" s="107"/>
      <c r="T9" s="107"/>
      <c r="U9" s="107"/>
      <c r="V9" s="107"/>
      <c r="W9" s="107"/>
      <c r="X9" s="107"/>
      <c r="Y9" s="107"/>
      <c r="Z9" s="107"/>
    </row>
    <row r="10">
      <c r="A10" s="109"/>
      <c r="B10" s="109"/>
      <c r="C10" s="110"/>
      <c r="D10" s="110"/>
      <c r="E10" s="110"/>
      <c r="F10" s="110"/>
      <c r="G10" s="109"/>
      <c r="H10" s="109"/>
      <c r="I10" s="109"/>
      <c r="J10" s="107"/>
      <c r="K10" s="107"/>
      <c r="L10" s="107"/>
      <c r="M10" s="107"/>
      <c r="N10" s="107"/>
      <c r="O10" s="107"/>
      <c r="P10" s="107"/>
      <c r="Q10" s="107"/>
      <c r="R10" s="107"/>
      <c r="S10" s="107"/>
      <c r="T10" s="107"/>
      <c r="U10" s="107"/>
      <c r="V10" s="107"/>
      <c r="W10" s="107"/>
      <c r="X10" s="107"/>
      <c r="Y10" s="107"/>
      <c r="Z10" s="107"/>
    </row>
    <row r="11" ht="61.5" customHeight="1">
      <c r="A11" s="228" t="s">
        <v>5174</v>
      </c>
      <c r="B11" s="132" t="s">
        <v>8</v>
      </c>
      <c r="C11" s="228" t="s">
        <v>9180</v>
      </c>
      <c r="D11" s="112" t="s">
        <v>9181</v>
      </c>
      <c r="E11" s="131" t="s">
        <v>217</v>
      </c>
      <c r="F11" s="131" t="s">
        <v>221</v>
      </c>
      <c r="G11" s="113" t="s">
        <v>222</v>
      </c>
      <c r="J11" s="107"/>
      <c r="K11" s="107"/>
      <c r="L11" s="107"/>
      <c r="M11" s="107"/>
      <c r="N11" s="107"/>
      <c r="O11" s="107"/>
      <c r="P11" s="107"/>
      <c r="Q11" s="107"/>
      <c r="R11" s="107"/>
      <c r="S11" s="107"/>
      <c r="T11" s="107"/>
      <c r="U11" s="107"/>
      <c r="V11" s="107"/>
      <c r="W11" s="107"/>
      <c r="X11" s="107"/>
      <c r="Y11" s="107"/>
      <c r="Z11" s="107"/>
    </row>
    <row r="12" ht="15.0" customHeight="1">
      <c r="A12" s="82" t="s">
        <v>8522</v>
      </c>
      <c r="B12" s="82" t="s">
        <v>52</v>
      </c>
      <c r="C12" s="82" t="s">
        <v>9182</v>
      </c>
      <c r="D12" s="82" t="s">
        <v>9183</v>
      </c>
      <c r="E12" s="83">
        <v>20.0</v>
      </c>
      <c r="F12" s="92">
        <v>20.0</v>
      </c>
      <c r="G12" s="281" t="s">
        <v>80</v>
      </c>
    </row>
    <row r="13" ht="15.0" customHeight="1">
      <c r="A13" s="82" t="s">
        <v>566</v>
      </c>
      <c r="B13" s="82" t="s">
        <v>182</v>
      </c>
      <c r="C13" s="82" t="s">
        <v>9184</v>
      </c>
      <c r="D13" s="82" t="s">
        <v>9183</v>
      </c>
      <c r="E13" s="83">
        <v>20.0</v>
      </c>
      <c r="F13" s="92">
        <v>20.0</v>
      </c>
      <c r="G13" s="281" t="s">
        <v>566</v>
      </c>
    </row>
    <row r="14" ht="15.0" customHeight="1">
      <c r="A14" s="82" t="s">
        <v>3249</v>
      </c>
      <c r="B14" s="82" t="s">
        <v>94</v>
      </c>
      <c r="C14" s="82" t="s">
        <v>9185</v>
      </c>
      <c r="D14" s="82" t="s">
        <v>9183</v>
      </c>
      <c r="E14" s="83">
        <v>20.0</v>
      </c>
      <c r="F14" s="92">
        <v>20.0</v>
      </c>
      <c r="G14" s="281" t="s">
        <v>3249</v>
      </c>
    </row>
    <row r="15" ht="15.0" customHeight="1">
      <c r="A15" s="82" t="s">
        <v>3249</v>
      </c>
      <c r="B15" s="82" t="s">
        <v>94</v>
      </c>
      <c r="C15" s="82" t="s">
        <v>9186</v>
      </c>
      <c r="D15" s="82" t="s">
        <v>9183</v>
      </c>
      <c r="E15" s="83">
        <v>20.0</v>
      </c>
      <c r="F15" s="92">
        <v>20.0</v>
      </c>
      <c r="G15" s="281" t="s">
        <v>3249</v>
      </c>
    </row>
    <row r="16">
      <c r="A16" s="82" t="s">
        <v>870</v>
      </c>
      <c r="B16" s="82" t="s">
        <v>182</v>
      </c>
      <c r="C16" s="82" t="s">
        <v>9187</v>
      </c>
      <c r="D16" s="82" t="s">
        <v>9188</v>
      </c>
      <c r="E16" s="83">
        <v>30.0</v>
      </c>
      <c r="F16" s="92">
        <v>30.0</v>
      </c>
      <c r="G16" s="281" t="s">
        <v>870</v>
      </c>
    </row>
    <row r="17">
      <c r="A17" s="148" t="s">
        <v>4024</v>
      </c>
      <c r="B17" s="148" t="s">
        <v>94</v>
      </c>
      <c r="C17" s="148" t="s">
        <v>9189</v>
      </c>
      <c r="D17" s="148" t="s">
        <v>9190</v>
      </c>
      <c r="E17" s="191">
        <v>50.0</v>
      </c>
      <c r="F17" s="162">
        <v>50.0</v>
      </c>
      <c r="G17" s="281" t="s">
        <v>4024</v>
      </c>
    </row>
    <row r="18" ht="15.0" customHeight="1">
      <c r="A18" s="82" t="s">
        <v>8968</v>
      </c>
      <c r="B18" s="82" t="s">
        <v>147</v>
      </c>
      <c r="C18" s="82" t="s">
        <v>9191</v>
      </c>
      <c r="D18" s="82" t="s">
        <v>9192</v>
      </c>
      <c r="E18" s="83">
        <v>50.0</v>
      </c>
      <c r="F18" s="274">
        <v>50.0</v>
      </c>
      <c r="G18" s="282" t="s">
        <v>153</v>
      </c>
    </row>
    <row r="19" ht="15.0" customHeight="1">
      <c r="A19" s="82" t="s">
        <v>8304</v>
      </c>
      <c r="B19" s="82" t="s">
        <v>147</v>
      </c>
      <c r="C19" s="82" t="s">
        <v>9193</v>
      </c>
      <c r="D19" s="82" t="s">
        <v>8994</v>
      </c>
      <c r="E19" s="83">
        <v>30.0</v>
      </c>
      <c r="F19" s="274">
        <v>30.0</v>
      </c>
      <c r="G19" s="282" t="s">
        <v>149</v>
      </c>
    </row>
    <row r="20">
      <c r="A20" s="110"/>
      <c r="B20" s="285"/>
      <c r="C20" s="285"/>
      <c r="D20" s="285"/>
      <c r="E20" s="476"/>
      <c r="F20" s="476">
        <f>SUM(F12:F19)</f>
        <v>240</v>
      </c>
    </row>
    <row r="21" ht="15.75" customHeight="1">
      <c r="A21" s="104"/>
      <c r="B21" s="104"/>
      <c r="C21" s="61"/>
      <c r="D21" s="61"/>
      <c r="E21" s="61"/>
      <c r="F21" s="61"/>
      <c r="G21" s="1"/>
      <c r="H21" s="1"/>
      <c r="I21" s="1"/>
    </row>
    <row r="22" ht="15.75" customHeight="1">
      <c r="A22" s="144" t="s">
        <v>1169</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2:I22"/>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8.57"/>
    <col customWidth="1" min="7" max="8" width="13.71"/>
    <col customWidth="1" min="9" max="25" width="8.0"/>
  </cols>
  <sheetData>
    <row r="1">
      <c r="A1" s="104"/>
      <c r="B1" s="104"/>
      <c r="C1" s="61"/>
      <c r="D1" s="61"/>
      <c r="E1" s="61"/>
      <c r="F1" s="1"/>
      <c r="G1" s="1"/>
      <c r="H1" s="1"/>
    </row>
    <row r="2" ht="15.75" customHeight="1">
      <c r="A2" s="105" t="s">
        <v>9194</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4.25" customHeight="1">
      <c r="A4" s="128" t="s">
        <v>9195</v>
      </c>
      <c r="B4" s="64"/>
      <c r="C4" s="64"/>
      <c r="D4" s="64"/>
      <c r="E4" s="65"/>
      <c r="F4" s="474"/>
      <c r="G4" s="474"/>
      <c r="H4" s="474"/>
      <c r="I4" s="107"/>
      <c r="J4" s="107"/>
      <c r="K4" s="107"/>
      <c r="L4" s="107"/>
      <c r="M4" s="107"/>
      <c r="N4" s="107"/>
      <c r="O4" s="107"/>
      <c r="P4" s="107"/>
      <c r="Q4" s="107"/>
      <c r="R4" s="107"/>
      <c r="S4" s="107"/>
      <c r="T4" s="107"/>
      <c r="U4" s="107"/>
      <c r="V4" s="107"/>
      <c r="W4" s="107"/>
      <c r="X4" s="107"/>
      <c r="Y4" s="107"/>
    </row>
    <row r="5" ht="16.5" customHeight="1">
      <c r="A5" s="226" t="s">
        <v>9196</v>
      </c>
      <c r="B5" s="64"/>
      <c r="C5" s="64"/>
      <c r="D5" s="64"/>
      <c r="E5" s="65"/>
      <c r="F5" s="474"/>
      <c r="G5" s="474"/>
      <c r="H5" s="474"/>
      <c r="I5" s="107"/>
      <c r="J5" s="107"/>
      <c r="K5" s="107"/>
      <c r="L5" s="107"/>
      <c r="M5" s="107"/>
      <c r="N5" s="107"/>
      <c r="O5" s="107"/>
      <c r="P5" s="107"/>
      <c r="Q5" s="107"/>
      <c r="R5" s="107"/>
      <c r="S5" s="107"/>
      <c r="T5" s="107"/>
      <c r="U5" s="107"/>
      <c r="V5" s="107"/>
      <c r="W5" s="107"/>
      <c r="X5" s="107"/>
      <c r="Y5" s="107"/>
    </row>
    <row r="6" ht="27.0" customHeight="1">
      <c r="A6" s="477" t="s">
        <v>9197</v>
      </c>
      <c r="B6" s="64"/>
      <c r="C6" s="64"/>
      <c r="D6" s="64"/>
      <c r="E6" s="65"/>
      <c r="F6" s="474"/>
      <c r="G6" s="474"/>
      <c r="H6" s="474"/>
      <c r="I6" s="107"/>
      <c r="J6" s="107"/>
      <c r="K6" s="107"/>
      <c r="L6" s="107"/>
      <c r="M6" s="107"/>
      <c r="N6" s="107"/>
      <c r="O6" s="107"/>
      <c r="P6" s="107"/>
      <c r="Q6" s="107"/>
      <c r="R6" s="107"/>
      <c r="S6" s="107"/>
      <c r="T6" s="107"/>
      <c r="U6" s="107"/>
      <c r="V6" s="107"/>
      <c r="W6" s="107"/>
      <c r="X6" s="107"/>
      <c r="Y6" s="107"/>
    </row>
    <row r="7">
      <c r="A7" s="109"/>
      <c r="B7" s="109"/>
      <c r="C7" s="110"/>
      <c r="D7" s="110"/>
      <c r="E7" s="110"/>
      <c r="F7" s="109"/>
      <c r="G7" s="109"/>
      <c r="H7" s="109"/>
      <c r="I7" s="107"/>
      <c r="J7" s="107"/>
      <c r="K7" s="107"/>
      <c r="L7" s="107"/>
      <c r="M7" s="107"/>
      <c r="N7" s="107"/>
      <c r="O7" s="107"/>
      <c r="P7" s="107"/>
      <c r="Q7" s="107"/>
      <c r="R7" s="107"/>
      <c r="S7" s="107"/>
      <c r="T7" s="107"/>
      <c r="U7" s="107"/>
      <c r="V7" s="107"/>
      <c r="W7" s="107"/>
      <c r="X7" s="107"/>
      <c r="Y7" s="107"/>
    </row>
    <row r="8" ht="61.5" customHeight="1">
      <c r="A8" s="228" t="s">
        <v>5174</v>
      </c>
      <c r="B8" s="132" t="s">
        <v>8</v>
      </c>
      <c r="C8" s="228" t="s">
        <v>9198</v>
      </c>
      <c r="D8" s="131" t="s">
        <v>217</v>
      </c>
      <c r="E8" s="131" t="s">
        <v>221</v>
      </c>
      <c r="F8" s="113" t="s">
        <v>222</v>
      </c>
      <c r="I8" s="107"/>
      <c r="J8" s="107"/>
      <c r="K8" s="107"/>
      <c r="L8" s="107"/>
      <c r="M8" s="107"/>
      <c r="N8" s="107"/>
      <c r="O8" s="107"/>
      <c r="P8" s="107"/>
      <c r="Q8" s="107"/>
      <c r="R8" s="107"/>
      <c r="S8" s="107"/>
      <c r="T8" s="107"/>
      <c r="U8" s="107"/>
      <c r="V8" s="107"/>
      <c r="W8" s="107"/>
      <c r="X8" s="107"/>
      <c r="Y8" s="107"/>
    </row>
    <row r="9" ht="15.0" customHeight="1">
      <c r="A9" s="82" t="s">
        <v>61</v>
      </c>
      <c r="B9" s="224" t="s">
        <v>52</v>
      </c>
      <c r="C9" s="82">
        <v>8.0</v>
      </c>
      <c r="D9" s="120" t="s">
        <v>9199</v>
      </c>
      <c r="E9" s="446">
        <f>8*28</f>
        <v>224</v>
      </c>
      <c r="F9" s="229" t="s">
        <v>61</v>
      </c>
    </row>
    <row r="10" ht="15.0" customHeight="1">
      <c r="A10" s="82" t="s">
        <v>79</v>
      </c>
      <c r="B10" s="224" t="s">
        <v>52</v>
      </c>
      <c r="C10" s="82">
        <v>10.0</v>
      </c>
      <c r="D10" s="120" t="s">
        <v>9200</v>
      </c>
      <c r="E10" s="446">
        <f>10*28</f>
        <v>280</v>
      </c>
      <c r="F10" s="229" t="s">
        <v>79</v>
      </c>
    </row>
    <row r="11" ht="15.0" customHeight="1">
      <c r="A11" s="82" t="s">
        <v>7526</v>
      </c>
      <c r="B11" s="224" t="s">
        <v>52</v>
      </c>
      <c r="C11" s="82">
        <v>7.0</v>
      </c>
      <c r="D11" s="120">
        <v>196.0</v>
      </c>
      <c r="E11" s="446">
        <f>7*28</f>
        <v>196</v>
      </c>
      <c r="F11" s="229" t="s">
        <v>51</v>
      </c>
    </row>
    <row r="12" ht="15.0" customHeight="1">
      <c r="A12" s="82" t="s">
        <v>73</v>
      </c>
      <c r="B12" s="224" t="s">
        <v>52</v>
      </c>
      <c r="C12" s="148">
        <v>10.0</v>
      </c>
      <c r="D12" s="120" t="s">
        <v>9200</v>
      </c>
      <c r="E12" s="446">
        <f>10*28</f>
        <v>280</v>
      </c>
      <c r="F12" s="229" t="s">
        <v>73</v>
      </c>
    </row>
    <row r="13" ht="15.0" customHeight="1">
      <c r="A13" s="82" t="s">
        <v>58</v>
      </c>
      <c r="B13" s="224" t="s">
        <v>52</v>
      </c>
      <c r="C13" s="82">
        <v>7.0</v>
      </c>
      <c r="D13" s="120">
        <v>196.0</v>
      </c>
      <c r="E13" s="446">
        <v>196.0</v>
      </c>
      <c r="F13" s="229" t="s">
        <v>58</v>
      </c>
    </row>
    <row r="14" ht="15.0" customHeight="1">
      <c r="A14" s="82" t="s">
        <v>9201</v>
      </c>
      <c r="B14" s="224" t="s">
        <v>52</v>
      </c>
      <c r="C14" s="82">
        <v>16.0</v>
      </c>
      <c r="D14" s="120" t="s">
        <v>9202</v>
      </c>
      <c r="E14" s="446">
        <v>448.0</v>
      </c>
      <c r="F14" s="229" t="s">
        <v>75</v>
      </c>
    </row>
    <row r="15" ht="15.0" customHeight="1">
      <c r="A15" s="82" t="s">
        <v>9203</v>
      </c>
      <c r="B15" s="224" t="s">
        <v>52</v>
      </c>
      <c r="C15" s="82">
        <v>12.0</v>
      </c>
      <c r="D15" s="120" t="s">
        <v>9204</v>
      </c>
      <c r="E15" s="446">
        <f>12*28</f>
        <v>336</v>
      </c>
      <c r="F15" s="229" t="s">
        <v>1764</v>
      </c>
    </row>
    <row r="16" ht="15.0" customHeight="1">
      <c r="A16" s="82" t="s">
        <v>9205</v>
      </c>
      <c r="B16" s="224" t="s">
        <v>52</v>
      </c>
      <c r="C16" s="82">
        <v>15.0</v>
      </c>
      <c r="D16" s="120" t="s">
        <v>9206</v>
      </c>
      <c r="E16" s="446">
        <f>15*28</f>
        <v>420</v>
      </c>
      <c r="F16" s="229" t="s">
        <v>71</v>
      </c>
    </row>
    <row r="17" ht="15.0" customHeight="1">
      <c r="A17" s="82" t="s">
        <v>9207</v>
      </c>
      <c r="B17" s="224" t="s">
        <v>52</v>
      </c>
      <c r="C17" s="82">
        <v>12.97</v>
      </c>
      <c r="D17" s="120" t="s">
        <v>9208</v>
      </c>
      <c r="E17" s="446">
        <f>12.97*28</f>
        <v>363.16</v>
      </c>
      <c r="F17" s="229" t="s">
        <v>296</v>
      </c>
    </row>
    <row r="18" ht="15.0" customHeight="1">
      <c r="A18" s="82" t="s">
        <v>7653</v>
      </c>
      <c r="B18" s="224" t="s">
        <v>52</v>
      </c>
      <c r="C18" s="82">
        <v>13.0</v>
      </c>
      <c r="D18" s="478" t="s">
        <v>9209</v>
      </c>
      <c r="E18" s="446">
        <f>13*28</f>
        <v>364</v>
      </c>
      <c r="F18" s="229" t="s">
        <v>90</v>
      </c>
    </row>
    <row r="19" ht="15.0" customHeight="1">
      <c r="A19" s="82" t="s">
        <v>54</v>
      </c>
      <c r="B19" s="224" t="s">
        <v>52</v>
      </c>
      <c r="C19" s="82">
        <v>16.0</v>
      </c>
      <c r="D19" s="120" t="s">
        <v>9210</v>
      </c>
      <c r="E19" s="446">
        <v>448.0</v>
      </c>
      <c r="F19" s="229" t="s">
        <v>54</v>
      </c>
    </row>
    <row r="20" ht="15.0" customHeight="1">
      <c r="A20" s="82" t="s">
        <v>92</v>
      </c>
      <c r="B20" s="224" t="s">
        <v>52</v>
      </c>
      <c r="C20" s="82">
        <v>13.0</v>
      </c>
      <c r="D20" s="120" t="s">
        <v>9209</v>
      </c>
      <c r="E20" s="446">
        <f>13*28</f>
        <v>364</v>
      </c>
      <c r="F20" s="229" t="s">
        <v>92</v>
      </c>
    </row>
    <row r="21" ht="15.0" customHeight="1">
      <c r="A21" s="82" t="s">
        <v>8503</v>
      </c>
      <c r="B21" s="224" t="s">
        <v>52</v>
      </c>
      <c r="C21" s="82">
        <v>15.0</v>
      </c>
      <c r="D21" s="120" t="s">
        <v>9206</v>
      </c>
      <c r="E21" s="446">
        <v>420.0</v>
      </c>
      <c r="F21" s="229" t="s">
        <v>72</v>
      </c>
    </row>
    <row r="22" ht="15.0" customHeight="1">
      <c r="A22" s="82" t="s">
        <v>9211</v>
      </c>
      <c r="B22" s="224" t="s">
        <v>52</v>
      </c>
      <c r="C22" s="82">
        <v>16.0</v>
      </c>
      <c r="D22" s="120" t="s">
        <v>9212</v>
      </c>
      <c r="E22" s="446">
        <v>448.0</v>
      </c>
      <c r="F22" s="229" t="s">
        <v>76</v>
      </c>
    </row>
    <row r="23" ht="15.0" customHeight="1">
      <c r="A23" s="82" t="s">
        <v>57</v>
      </c>
      <c r="B23" s="224" t="s">
        <v>52</v>
      </c>
      <c r="C23" s="148">
        <v>16.0</v>
      </c>
      <c r="D23" s="120">
        <f>C23*28</f>
        <v>448</v>
      </c>
      <c r="E23" s="446">
        <f>D23</f>
        <v>448</v>
      </c>
      <c r="F23" s="229" t="s">
        <v>57</v>
      </c>
    </row>
    <row r="24" ht="15.0" customHeight="1">
      <c r="A24" s="82" t="s">
        <v>7659</v>
      </c>
      <c r="B24" s="224" t="s">
        <v>52</v>
      </c>
      <c r="C24" s="148">
        <v>7.0</v>
      </c>
      <c r="D24" s="120" t="s">
        <v>9213</v>
      </c>
      <c r="E24" s="446">
        <f>7*28</f>
        <v>196</v>
      </c>
      <c r="F24" s="229" t="s">
        <v>60</v>
      </c>
    </row>
    <row r="25" ht="15.0" customHeight="1">
      <c r="A25" s="82" t="s">
        <v>8515</v>
      </c>
      <c r="B25" s="224" t="s">
        <v>52</v>
      </c>
      <c r="C25" s="82">
        <v>11.0</v>
      </c>
      <c r="D25" s="120" t="s">
        <v>9214</v>
      </c>
      <c r="E25" s="446">
        <f>11*28</f>
        <v>308</v>
      </c>
      <c r="F25" s="229" t="s">
        <v>82</v>
      </c>
    </row>
    <row r="26" ht="15.0" customHeight="1">
      <c r="A26" s="82" t="s">
        <v>80</v>
      </c>
      <c r="B26" s="224" t="s">
        <v>52</v>
      </c>
      <c r="C26" s="82">
        <v>12.0</v>
      </c>
      <c r="D26" s="120" t="s">
        <v>9215</v>
      </c>
      <c r="E26" s="446">
        <f>12*28</f>
        <v>336</v>
      </c>
      <c r="F26" s="229" t="s">
        <v>80</v>
      </c>
    </row>
    <row r="27" ht="15.0" customHeight="1">
      <c r="A27" s="82" t="s">
        <v>67</v>
      </c>
      <c r="B27" s="224" t="s">
        <v>52</v>
      </c>
      <c r="C27" s="82" t="s">
        <v>9216</v>
      </c>
      <c r="D27" s="120" t="s">
        <v>9217</v>
      </c>
      <c r="E27" s="446">
        <v>364.0</v>
      </c>
      <c r="F27" s="229" t="s">
        <v>67</v>
      </c>
    </row>
    <row r="28" ht="15.0" customHeight="1">
      <c r="A28" s="148" t="s">
        <v>8536</v>
      </c>
      <c r="B28" s="253" t="s">
        <v>52</v>
      </c>
      <c r="C28" s="148">
        <v>13.0</v>
      </c>
      <c r="D28" s="479" t="s">
        <v>9218</v>
      </c>
      <c r="E28" s="480">
        <f>13.25*28</f>
        <v>371</v>
      </c>
      <c r="F28" s="229" t="s">
        <v>87</v>
      </c>
    </row>
    <row r="29" ht="15.0" customHeight="1">
      <c r="A29" s="148" t="s">
        <v>9219</v>
      </c>
      <c r="B29" s="253" t="s">
        <v>52</v>
      </c>
      <c r="C29" s="148">
        <v>7.25</v>
      </c>
      <c r="D29" s="479">
        <f>C29*28</f>
        <v>203</v>
      </c>
      <c r="E29" s="480">
        <f>D29</f>
        <v>203</v>
      </c>
      <c r="F29" s="229" t="s">
        <v>59</v>
      </c>
    </row>
    <row r="30" ht="15.0" customHeight="1">
      <c r="A30" s="82" t="s">
        <v>7730</v>
      </c>
      <c r="B30" s="224" t="s">
        <v>52</v>
      </c>
      <c r="C30" s="82">
        <v>13.0</v>
      </c>
      <c r="D30" s="478" t="s">
        <v>9209</v>
      </c>
      <c r="E30" s="446">
        <f>13*28</f>
        <v>364</v>
      </c>
      <c r="F30" s="229" t="s">
        <v>91</v>
      </c>
    </row>
    <row r="31" ht="15.0" customHeight="1">
      <c r="A31" s="82" t="s">
        <v>9220</v>
      </c>
      <c r="B31" s="224" t="s">
        <v>52</v>
      </c>
      <c r="C31" s="82">
        <v>13.0</v>
      </c>
      <c r="D31" s="120" t="s">
        <v>9209</v>
      </c>
      <c r="E31" s="446">
        <f>C31*28</f>
        <v>364</v>
      </c>
      <c r="F31" s="229" t="s">
        <v>85</v>
      </c>
    </row>
    <row r="32" ht="15.0" customHeight="1">
      <c r="A32" s="82" t="s">
        <v>7731</v>
      </c>
      <c r="B32" s="224" t="s">
        <v>52</v>
      </c>
      <c r="C32" s="82">
        <v>10.0</v>
      </c>
      <c r="D32" s="120">
        <v>280.0</v>
      </c>
      <c r="E32" s="446">
        <f>D32</f>
        <v>280</v>
      </c>
      <c r="F32" s="229" t="s">
        <v>81</v>
      </c>
    </row>
    <row r="33" ht="15.0" customHeight="1">
      <c r="A33" s="82" t="s">
        <v>7771</v>
      </c>
      <c r="B33" s="224" t="s">
        <v>52</v>
      </c>
      <c r="C33" s="82">
        <v>8.0</v>
      </c>
      <c r="D33" s="120" t="s">
        <v>9199</v>
      </c>
      <c r="E33" s="446">
        <f>8*28</f>
        <v>224</v>
      </c>
      <c r="F33" s="229" t="s">
        <v>515</v>
      </c>
    </row>
    <row r="34" ht="15.0" customHeight="1">
      <c r="A34" s="82" t="s">
        <v>8556</v>
      </c>
      <c r="B34" s="224" t="s">
        <v>52</v>
      </c>
      <c r="C34" s="82" t="s">
        <v>9221</v>
      </c>
      <c r="D34" s="120" t="s">
        <v>9222</v>
      </c>
      <c r="E34" s="446">
        <v>280.0</v>
      </c>
      <c r="F34" s="229" t="s">
        <v>528</v>
      </c>
    </row>
    <row r="35" ht="15.0" customHeight="1">
      <c r="A35" s="82" t="s">
        <v>8558</v>
      </c>
      <c r="B35" s="224" t="s">
        <v>52</v>
      </c>
      <c r="C35" s="148">
        <v>10.0</v>
      </c>
      <c r="D35" s="120" t="s">
        <v>9200</v>
      </c>
      <c r="E35" s="446">
        <f>10*28</f>
        <v>280</v>
      </c>
      <c r="F35" s="229" t="s">
        <v>533</v>
      </c>
    </row>
    <row r="36" ht="15.0" customHeight="1">
      <c r="A36" s="82" t="s">
        <v>9223</v>
      </c>
      <c r="B36" s="224" t="s">
        <v>52</v>
      </c>
      <c r="C36" s="82">
        <v>15.5</v>
      </c>
      <c r="D36" s="120">
        <f>C36*14*2</f>
        <v>434</v>
      </c>
      <c r="E36" s="446">
        <v>434.0</v>
      </c>
      <c r="F36" s="229" t="s">
        <v>77</v>
      </c>
    </row>
    <row r="37" ht="15.0" customHeight="1">
      <c r="A37" s="82" t="s">
        <v>9224</v>
      </c>
      <c r="B37" s="224" t="s">
        <v>52</v>
      </c>
      <c r="C37" s="82">
        <v>13.0</v>
      </c>
      <c r="D37" s="120" t="s">
        <v>9209</v>
      </c>
      <c r="E37" s="446">
        <f>13*28</f>
        <v>364</v>
      </c>
      <c r="F37" s="229" t="s">
        <v>542</v>
      </c>
    </row>
    <row r="38" ht="15.0" customHeight="1">
      <c r="A38" s="82" t="s">
        <v>78</v>
      </c>
      <c r="B38" s="224" t="s">
        <v>52</v>
      </c>
      <c r="C38" s="148">
        <v>16.0</v>
      </c>
      <c r="D38" s="120">
        <f t="shared" ref="D38:E38" si="1">16*28</f>
        <v>448</v>
      </c>
      <c r="E38" s="446">
        <f t="shared" si="1"/>
        <v>448</v>
      </c>
      <c r="F38" s="229" t="s">
        <v>78</v>
      </c>
    </row>
    <row r="39" ht="15.0" customHeight="1">
      <c r="A39" s="82" t="s">
        <v>74</v>
      </c>
      <c r="B39" s="224" t="s">
        <v>1783</v>
      </c>
      <c r="C39" s="82">
        <v>10.0</v>
      </c>
      <c r="D39" s="120" t="s">
        <v>9225</v>
      </c>
      <c r="E39" s="446">
        <v>280.0</v>
      </c>
      <c r="F39" s="229" t="s">
        <v>74</v>
      </c>
    </row>
    <row r="40" ht="15.0" customHeight="1">
      <c r="A40" s="82" t="s">
        <v>9226</v>
      </c>
      <c r="B40" s="224" t="s">
        <v>52</v>
      </c>
      <c r="C40" s="82">
        <v>16.0</v>
      </c>
      <c r="D40" s="120" t="s">
        <v>9210</v>
      </c>
      <c r="E40" s="446">
        <v>448.0</v>
      </c>
      <c r="F40" s="229" t="s">
        <v>56</v>
      </c>
    </row>
    <row r="41" ht="15.0" customHeight="1">
      <c r="A41" s="82" t="s">
        <v>89</v>
      </c>
      <c r="B41" s="224" t="s">
        <v>52</v>
      </c>
      <c r="C41" s="82">
        <v>13.0</v>
      </c>
      <c r="D41" s="120" t="s">
        <v>9209</v>
      </c>
      <c r="E41" s="446">
        <f>13*28</f>
        <v>364</v>
      </c>
      <c r="F41" s="229" t="s">
        <v>89</v>
      </c>
    </row>
    <row r="42" ht="15.0" customHeight="1">
      <c r="A42" s="82" t="s">
        <v>8562</v>
      </c>
      <c r="B42" s="224" t="s">
        <v>52</v>
      </c>
      <c r="C42" s="82">
        <v>8.0</v>
      </c>
      <c r="D42" s="120" t="s">
        <v>9227</v>
      </c>
      <c r="E42" s="446">
        <v>224.0</v>
      </c>
      <c r="F42" s="229" t="s">
        <v>65</v>
      </c>
    </row>
    <row r="43" ht="15.0" customHeight="1">
      <c r="A43" s="82" t="s">
        <v>9228</v>
      </c>
      <c r="B43" s="224" t="s">
        <v>182</v>
      </c>
      <c r="C43" s="82">
        <v>13.0</v>
      </c>
      <c r="D43" s="120" t="s">
        <v>9229</v>
      </c>
      <c r="E43" s="446">
        <v>364.0</v>
      </c>
      <c r="F43" s="229" t="s">
        <v>5258</v>
      </c>
    </row>
    <row r="44" ht="15.0" customHeight="1">
      <c r="A44" s="82" t="s">
        <v>8566</v>
      </c>
      <c r="B44" s="224" t="s">
        <v>94</v>
      </c>
      <c r="C44" s="82" t="s">
        <v>9230</v>
      </c>
      <c r="D44" s="120">
        <f t="shared" ref="D44:D45" si="2">2*28</f>
        <v>56</v>
      </c>
      <c r="E44" s="446">
        <f t="shared" ref="E44:E53" si="3">D44</f>
        <v>56</v>
      </c>
      <c r="F44" s="229" t="s">
        <v>5698</v>
      </c>
    </row>
    <row r="45" ht="15.0" customHeight="1">
      <c r="A45" s="82" t="s">
        <v>8566</v>
      </c>
      <c r="B45" s="224" t="s">
        <v>94</v>
      </c>
      <c r="C45" s="82" t="s">
        <v>9231</v>
      </c>
      <c r="D45" s="120">
        <f t="shared" si="2"/>
        <v>56</v>
      </c>
      <c r="E45" s="446">
        <f t="shared" si="3"/>
        <v>56</v>
      </c>
      <c r="F45" s="229" t="s">
        <v>5698</v>
      </c>
    </row>
    <row r="46" ht="15.0" customHeight="1">
      <c r="A46" s="82" t="s">
        <v>8566</v>
      </c>
      <c r="B46" s="224" t="s">
        <v>94</v>
      </c>
      <c r="C46" s="82" t="s">
        <v>9232</v>
      </c>
      <c r="D46" s="120">
        <f t="shared" ref="D46:D47" si="4">0.5*28</f>
        <v>14</v>
      </c>
      <c r="E46" s="446">
        <f t="shared" si="3"/>
        <v>14</v>
      </c>
      <c r="F46" s="229" t="s">
        <v>5698</v>
      </c>
    </row>
    <row r="47" ht="15.0" customHeight="1">
      <c r="A47" s="82" t="s">
        <v>8566</v>
      </c>
      <c r="B47" s="224" t="s">
        <v>94</v>
      </c>
      <c r="C47" s="82" t="s">
        <v>9233</v>
      </c>
      <c r="D47" s="120">
        <f t="shared" si="4"/>
        <v>14</v>
      </c>
      <c r="E47" s="446">
        <f t="shared" si="3"/>
        <v>14</v>
      </c>
      <c r="F47" s="229" t="s">
        <v>5698</v>
      </c>
    </row>
    <row r="48" ht="15.0" customHeight="1">
      <c r="A48" s="82" t="s">
        <v>8566</v>
      </c>
      <c r="B48" s="224" t="s">
        <v>94</v>
      </c>
      <c r="C48" s="82" t="s">
        <v>9234</v>
      </c>
      <c r="D48" s="120">
        <f>3*28</f>
        <v>84</v>
      </c>
      <c r="E48" s="446">
        <f t="shared" si="3"/>
        <v>84</v>
      </c>
      <c r="F48" s="229" t="s">
        <v>5698</v>
      </c>
    </row>
    <row r="49" ht="15.0" customHeight="1">
      <c r="A49" s="82" t="s">
        <v>8566</v>
      </c>
      <c r="B49" s="224" t="s">
        <v>52</v>
      </c>
      <c r="C49" s="82" t="s">
        <v>9235</v>
      </c>
      <c r="D49" s="120">
        <f>1*28</f>
        <v>28</v>
      </c>
      <c r="E49" s="446">
        <f t="shared" si="3"/>
        <v>28</v>
      </c>
      <c r="F49" s="229" t="s">
        <v>5698</v>
      </c>
    </row>
    <row r="50" ht="15.0" customHeight="1">
      <c r="A50" s="82" t="s">
        <v>8566</v>
      </c>
      <c r="B50" s="224" t="s">
        <v>9236</v>
      </c>
      <c r="C50" s="82" t="s">
        <v>9237</v>
      </c>
      <c r="D50" s="120">
        <f>0.5*28</f>
        <v>14</v>
      </c>
      <c r="E50" s="446">
        <f t="shared" si="3"/>
        <v>14</v>
      </c>
      <c r="F50" s="229" t="s">
        <v>5698</v>
      </c>
    </row>
    <row r="51" ht="15.0" customHeight="1">
      <c r="A51" s="82" t="s">
        <v>8566</v>
      </c>
      <c r="B51" s="224" t="s">
        <v>9238</v>
      </c>
      <c r="C51" s="82" t="s">
        <v>9239</v>
      </c>
      <c r="D51" s="120">
        <f>1.5*28</f>
        <v>42</v>
      </c>
      <c r="E51" s="446">
        <f t="shared" si="3"/>
        <v>42</v>
      </c>
      <c r="F51" s="229" t="s">
        <v>5698</v>
      </c>
    </row>
    <row r="52" ht="15.0" customHeight="1">
      <c r="A52" s="82" t="s">
        <v>8566</v>
      </c>
      <c r="B52" s="224" t="s">
        <v>52</v>
      </c>
      <c r="C52" s="82" t="s">
        <v>9240</v>
      </c>
      <c r="D52" s="120">
        <f t="shared" ref="D52:D53" si="5">0.5*28</f>
        <v>14</v>
      </c>
      <c r="E52" s="446">
        <f t="shared" si="3"/>
        <v>14</v>
      </c>
      <c r="F52" s="229" t="s">
        <v>5698</v>
      </c>
    </row>
    <row r="53" ht="15.0" customHeight="1">
      <c r="A53" s="82" t="s">
        <v>8566</v>
      </c>
      <c r="B53" s="224" t="s">
        <v>9236</v>
      </c>
      <c r="C53" s="82" t="s">
        <v>9241</v>
      </c>
      <c r="D53" s="120">
        <f t="shared" si="5"/>
        <v>14</v>
      </c>
      <c r="E53" s="446">
        <f t="shared" si="3"/>
        <v>14</v>
      </c>
      <c r="F53" s="229" t="s">
        <v>5698</v>
      </c>
    </row>
    <row r="54" ht="15.0" customHeight="1">
      <c r="A54" s="82" t="s">
        <v>9242</v>
      </c>
      <c r="B54" s="224" t="s">
        <v>94</v>
      </c>
      <c r="C54" s="82" t="s">
        <v>9215</v>
      </c>
      <c r="D54" s="120">
        <v>336.0</v>
      </c>
      <c r="E54" s="446">
        <v>336.0</v>
      </c>
      <c r="F54" s="229" t="s">
        <v>8578</v>
      </c>
    </row>
    <row r="55" ht="15.0" customHeight="1">
      <c r="A55" s="82" t="s">
        <v>566</v>
      </c>
      <c r="B55" s="224" t="s">
        <v>182</v>
      </c>
      <c r="C55" s="82" t="s">
        <v>9243</v>
      </c>
      <c r="D55" s="120">
        <v>196.0</v>
      </c>
      <c r="E55" s="446">
        <v>196.0</v>
      </c>
      <c r="F55" s="229" t="s">
        <v>566</v>
      </c>
    </row>
    <row r="56" ht="15.0" customHeight="1">
      <c r="A56" s="82" t="s">
        <v>2704</v>
      </c>
      <c r="B56" s="224" t="s">
        <v>94</v>
      </c>
      <c r="C56" s="82" t="s">
        <v>9244</v>
      </c>
      <c r="D56" s="120">
        <v>12.0</v>
      </c>
      <c r="E56" s="446">
        <f>12*28</f>
        <v>336</v>
      </c>
      <c r="F56" s="229" t="s">
        <v>2704</v>
      </c>
    </row>
    <row r="57" ht="15.0" customHeight="1">
      <c r="A57" s="82" t="s">
        <v>7901</v>
      </c>
      <c r="B57" s="224" t="s">
        <v>94</v>
      </c>
      <c r="C57" s="82" t="s">
        <v>9245</v>
      </c>
      <c r="D57" s="120" t="s">
        <v>9213</v>
      </c>
      <c r="E57" s="446">
        <f>7*28</f>
        <v>196</v>
      </c>
      <c r="F57" s="229" t="s">
        <v>590</v>
      </c>
    </row>
    <row r="58" ht="15.0" customHeight="1">
      <c r="A58" s="148" t="s">
        <v>9082</v>
      </c>
      <c r="B58" s="224" t="s">
        <v>94</v>
      </c>
      <c r="C58" s="82" t="s">
        <v>9246</v>
      </c>
      <c r="D58" s="120" t="s">
        <v>9247</v>
      </c>
      <c r="E58" s="446">
        <f>12*28</f>
        <v>336</v>
      </c>
      <c r="F58" s="229" t="s">
        <v>616</v>
      </c>
    </row>
    <row r="59" ht="15.0" customHeight="1">
      <c r="A59" s="82" t="s">
        <v>2853</v>
      </c>
      <c r="B59" s="224" t="s">
        <v>94</v>
      </c>
      <c r="C59" s="82">
        <v>9.0</v>
      </c>
      <c r="D59" s="120" t="s">
        <v>9248</v>
      </c>
      <c r="E59" s="446">
        <v>252.0</v>
      </c>
      <c r="F59" s="229" t="s">
        <v>2853</v>
      </c>
    </row>
    <row r="60" ht="15.0" customHeight="1">
      <c r="A60" s="82" t="s">
        <v>626</v>
      </c>
      <c r="B60" s="224" t="s">
        <v>94</v>
      </c>
      <c r="C60" s="82" t="s">
        <v>9245</v>
      </c>
      <c r="D60" s="120" t="s">
        <v>9199</v>
      </c>
      <c r="E60" s="446">
        <f>8*28</f>
        <v>224</v>
      </c>
      <c r="F60" s="229" t="s">
        <v>626</v>
      </c>
    </row>
    <row r="61" ht="15.0" customHeight="1">
      <c r="A61" s="82" t="s">
        <v>9249</v>
      </c>
      <c r="B61" s="224" t="s">
        <v>5327</v>
      </c>
      <c r="C61" s="82">
        <v>16.0</v>
      </c>
      <c r="D61" s="120">
        <f>16*28</f>
        <v>448</v>
      </c>
      <c r="E61" s="446">
        <v>448.0</v>
      </c>
      <c r="F61" s="229" t="s">
        <v>5331</v>
      </c>
    </row>
    <row r="62" ht="15.0" customHeight="1">
      <c r="A62" s="82" t="s">
        <v>9011</v>
      </c>
      <c r="B62" s="224" t="s">
        <v>94</v>
      </c>
      <c r="C62" s="82">
        <v>9.0</v>
      </c>
      <c r="D62" s="120">
        <v>252.0</v>
      </c>
      <c r="E62" s="446">
        <v>252.0</v>
      </c>
      <c r="F62" s="229" t="s">
        <v>646</v>
      </c>
    </row>
    <row r="63" ht="15.0" customHeight="1">
      <c r="A63" s="82" t="s">
        <v>655</v>
      </c>
      <c r="B63" s="224" t="s">
        <v>94</v>
      </c>
      <c r="C63" s="82">
        <v>9.0</v>
      </c>
      <c r="D63" s="120" t="s">
        <v>9250</v>
      </c>
      <c r="E63" s="446">
        <v>252.0</v>
      </c>
      <c r="F63" s="229" t="s">
        <v>655</v>
      </c>
    </row>
    <row r="64" ht="15.0" customHeight="1">
      <c r="A64" s="82" t="s">
        <v>5777</v>
      </c>
      <c r="B64" s="224" t="s">
        <v>94</v>
      </c>
      <c r="C64" s="82" t="s">
        <v>9251</v>
      </c>
      <c r="D64" s="120" t="s">
        <v>9252</v>
      </c>
      <c r="E64" s="446">
        <v>336.0</v>
      </c>
      <c r="F64" s="229" t="s">
        <v>3008</v>
      </c>
    </row>
    <row r="65" ht="15.0" customHeight="1">
      <c r="A65" s="82" t="s">
        <v>9253</v>
      </c>
      <c r="B65" s="224" t="s">
        <v>94</v>
      </c>
      <c r="C65" s="82" t="s">
        <v>9254</v>
      </c>
      <c r="D65" s="120">
        <v>378.0</v>
      </c>
      <c r="E65" s="446">
        <v>378.0</v>
      </c>
      <c r="F65" s="229" t="s">
        <v>8632</v>
      </c>
    </row>
    <row r="66" ht="15.0" customHeight="1">
      <c r="A66" s="82" t="s">
        <v>9255</v>
      </c>
      <c r="B66" s="224" t="s">
        <v>94</v>
      </c>
      <c r="C66" s="82">
        <v>7.25</v>
      </c>
      <c r="D66" s="120">
        <v>203.0</v>
      </c>
      <c r="E66" s="446">
        <v>203.0</v>
      </c>
      <c r="F66" s="229" t="s">
        <v>3018</v>
      </c>
    </row>
    <row r="67" ht="15.0" customHeight="1">
      <c r="A67" s="82" t="s">
        <v>5706</v>
      </c>
      <c r="B67" s="224" t="s">
        <v>94</v>
      </c>
      <c r="C67" s="82">
        <v>10.0</v>
      </c>
      <c r="D67" s="120">
        <v>280.0</v>
      </c>
      <c r="E67" s="446">
        <v>280.0</v>
      </c>
      <c r="F67" s="229" t="s">
        <v>5709</v>
      </c>
    </row>
    <row r="68" ht="15.0" customHeight="1">
      <c r="A68" s="148" t="s">
        <v>3050</v>
      </c>
      <c r="B68" s="253" t="s">
        <v>94</v>
      </c>
      <c r="C68" s="148">
        <v>10.0</v>
      </c>
      <c r="D68" s="479">
        <v>280.0</v>
      </c>
      <c r="E68" s="480">
        <v>280.0</v>
      </c>
      <c r="F68" s="229" t="s">
        <v>3050</v>
      </c>
    </row>
    <row r="69" ht="15.0" customHeight="1">
      <c r="A69" s="82" t="s">
        <v>7972</v>
      </c>
      <c r="B69" s="224" t="s">
        <v>94</v>
      </c>
      <c r="C69" s="82">
        <v>10.5</v>
      </c>
      <c r="D69" s="120">
        <v>294.0</v>
      </c>
      <c r="E69" s="446">
        <v>294.0</v>
      </c>
      <c r="F69" s="229" t="s">
        <v>5354</v>
      </c>
    </row>
    <row r="70" ht="15.0" customHeight="1">
      <c r="A70" s="82" t="s">
        <v>8639</v>
      </c>
      <c r="B70" s="224" t="s">
        <v>94</v>
      </c>
      <c r="C70" s="82">
        <v>10.0</v>
      </c>
      <c r="D70" s="120">
        <f>C70*28</f>
        <v>280</v>
      </c>
      <c r="E70" s="446">
        <f t="shared" ref="E70:E71" si="6">D70</f>
        <v>280</v>
      </c>
      <c r="F70" s="229" t="s">
        <v>3078</v>
      </c>
    </row>
    <row r="71" ht="15.0" customHeight="1">
      <c r="A71" s="82" t="s">
        <v>9256</v>
      </c>
      <c r="B71" s="224" t="s">
        <v>94</v>
      </c>
      <c r="C71" s="82">
        <v>13.0</v>
      </c>
      <c r="D71" s="120">
        <f>13*28</f>
        <v>364</v>
      </c>
      <c r="E71" s="446">
        <f t="shared" si="6"/>
        <v>364</v>
      </c>
      <c r="F71" s="229" t="s">
        <v>661</v>
      </c>
    </row>
    <row r="72" ht="15.0" customHeight="1">
      <c r="A72" s="82" t="s">
        <v>671</v>
      </c>
      <c r="B72" s="224" t="s">
        <v>182</v>
      </c>
      <c r="C72" s="82" t="s">
        <v>9257</v>
      </c>
      <c r="D72" s="120" t="s">
        <v>9215</v>
      </c>
      <c r="E72" s="446">
        <f>12*28</f>
        <v>336</v>
      </c>
      <c r="F72" s="229" t="s">
        <v>671</v>
      </c>
    </row>
    <row r="73" ht="15.0" customHeight="1">
      <c r="A73" s="82" t="s">
        <v>1205</v>
      </c>
      <c r="B73" s="224" t="s">
        <v>94</v>
      </c>
      <c r="C73" s="82">
        <v>8.0</v>
      </c>
      <c r="D73" s="120">
        <f>8*14*2</f>
        <v>224</v>
      </c>
      <c r="E73" s="446">
        <f>D73</f>
        <v>224</v>
      </c>
      <c r="F73" s="229" t="s">
        <v>681</v>
      </c>
    </row>
    <row r="74" ht="15.0" customHeight="1">
      <c r="A74" s="82" t="s">
        <v>9258</v>
      </c>
      <c r="B74" s="224" t="s">
        <v>94</v>
      </c>
      <c r="C74" s="82">
        <v>12.25</v>
      </c>
      <c r="D74" s="120">
        <v>343.0</v>
      </c>
      <c r="E74" s="446">
        <v>343.0</v>
      </c>
      <c r="F74" s="229" t="s">
        <v>3198</v>
      </c>
    </row>
    <row r="75" ht="15.0" customHeight="1">
      <c r="A75" s="82" t="s">
        <v>3203</v>
      </c>
      <c r="B75" s="224" t="s">
        <v>94</v>
      </c>
      <c r="C75" s="82" t="s">
        <v>9259</v>
      </c>
      <c r="D75" s="120">
        <f>11*28</f>
        <v>308</v>
      </c>
      <c r="E75" s="446">
        <f>D75</f>
        <v>308</v>
      </c>
      <c r="F75" s="229" t="s">
        <v>3203</v>
      </c>
    </row>
    <row r="76" ht="15.0" customHeight="1">
      <c r="A76" s="82" t="s">
        <v>8962</v>
      </c>
      <c r="B76" s="224" t="s">
        <v>94</v>
      </c>
      <c r="C76" s="82" t="s">
        <v>9260</v>
      </c>
      <c r="D76" s="120">
        <v>336.0</v>
      </c>
      <c r="E76" s="446">
        <v>336.0</v>
      </c>
      <c r="F76" s="229" t="s">
        <v>8962</v>
      </c>
    </row>
    <row r="77" ht="15.0" customHeight="1">
      <c r="A77" s="82" t="s">
        <v>8671</v>
      </c>
      <c r="B77" s="224" t="s">
        <v>94</v>
      </c>
      <c r="C77" s="82">
        <v>7.0</v>
      </c>
      <c r="D77" s="120" t="s">
        <v>9261</v>
      </c>
      <c r="E77" s="446">
        <v>196.0</v>
      </c>
      <c r="F77" s="229" t="s">
        <v>689</v>
      </c>
    </row>
    <row r="78" ht="15.0" customHeight="1">
      <c r="A78" s="82" t="s">
        <v>3249</v>
      </c>
      <c r="B78" s="224" t="s">
        <v>94</v>
      </c>
      <c r="C78" s="82">
        <v>7.0</v>
      </c>
      <c r="D78" s="120">
        <v>196.0</v>
      </c>
      <c r="E78" s="446">
        <v>196.0</v>
      </c>
      <c r="F78" s="229" t="s">
        <v>3249</v>
      </c>
    </row>
    <row r="79" ht="15.0" customHeight="1">
      <c r="A79" s="82" t="s">
        <v>852</v>
      </c>
      <c r="B79" s="224" t="s">
        <v>94</v>
      </c>
      <c r="C79" s="82" t="s">
        <v>9262</v>
      </c>
      <c r="D79" s="120">
        <f t="shared" ref="D79:D80" si="7">2*28</f>
        <v>56</v>
      </c>
      <c r="E79" s="446">
        <f>D79</f>
        <v>56</v>
      </c>
      <c r="F79" s="229" t="s">
        <v>852</v>
      </c>
    </row>
    <row r="80" ht="15.0" customHeight="1">
      <c r="A80" s="82" t="s">
        <v>852</v>
      </c>
      <c r="B80" s="224" t="s">
        <v>94</v>
      </c>
      <c r="C80" s="82" t="s">
        <v>9263</v>
      </c>
      <c r="D80" s="120">
        <f t="shared" si="7"/>
        <v>56</v>
      </c>
      <c r="E80" s="446"/>
      <c r="F80" s="229" t="s">
        <v>852</v>
      </c>
    </row>
    <row r="81" ht="15.0" customHeight="1">
      <c r="A81" s="82" t="s">
        <v>852</v>
      </c>
      <c r="B81" s="224" t="s">
        <v>94</v>
      </c>
      <c r="C81" s="82" t="s">
        <v>9264</v>
      </c>
      <c r="D81" s="120">
        <f>2.5*28</f>
        <v>70</v>
      </c>
      <c r="E81" s="446">
        <f t="shared" ref="E81:E84" si="8">D81</f>
        <v>70</v>
      </c>
      <c r="F81" s="229" t="s">
        <v>852</v>
      </c>
    </row>
    <row r="82" ht="15.0" customHeight="1">
      <c r="A82" s="82" t="s">
        <v>852</v>
      </c>
      <c r="B82" s="224" t="s">
        <v>94</v>
      </c>
      <c r="C82" s="82" t="s">
        <v>9265</v>
      </c>
      <c r="D82" s="120">
        <f>0.75*28</f>
        <v>21</v>
      </c>
      <c r="E82" s="446">
        <f t="shared" si="8"/>
        <v>21</v>
      </c>
      <c r="F82" s="229" t="s">
        <v>852</v>
      </c>
    </row>
    <row r="83" ht="15.0" customHeight="1">
      <c r="A83" s="82" t="s">
        <v>852</v>
      </c>
      <c r="B83" s="224" t="s">
        <v>94</v>
      </c>
      <c r="C83" s="82" t="s">
        <v>9266</v>
      </c>
      <c r="D83" s="120">
        <f>1.25*28</f>
        <v>35</v>
      </c>
      <c r="E83" s="446">
        <f t="shared" si="8"/>
        <v>35</v>
      </c>
      <c r="F83" s="229" t="s">
        <v>852</v>
      </c>
    </row>
    <row r="84" ht="15.0" customHeight="1">
      <c r="A84" s="82" t="s">
        <v>852</v>
      </c>
      <c r="B84" s="224" t="s">
        <v>94</v>
      </c>
      <c r="C84" s="82" t="s">
        <v>9267</v>
      </c>
      <c r="D84" s="120">
        <f>2.5*28</f>
        <v>70</v>
      </c>
      <c r="E84" s="446">
        <f t="shared" si="8"/>
        <v>70</v>
      </c>
      <c r="F84" s="229" t="s">
        <v>852</v>
      </c>
    </row>
    <row r="85" ht="15.0" customHeight="1">
      <c r="A85" s="82" t="s">
        <v>861</v>
      </c>
      <c r="B85" s="224" t="s">
        <v>94</v>
      </c>
      <c r="C85" s="82" t="s">
        <v>9268</v>
      </c>
      <c r="D85" s="120">
        <v>28.0</v>
      </c>
      <c r="E85" s="446">
        <v>28.0</v>
      </c>
      <c r="F85" s="229" t="s">
        <v>861</v>
      </c>
    </row>
    <row r="86" ht="15.0" customHeight="1">
      <c r="A86" s="82" t="s">
        <v>861</v>
      </c>
      <c r="B86" s="224" t="s">
        <v>94</v>
      </c>
      <c r="C86" s="82" t="s">
        <v>9269</v>
      </c>
      <c r="D86" s="120">
        <v>14.0</v>
      </c>
      <c r="E86" s="446">
        <v>14.0</v>
      </c>
      <c r="F86" s="229" t="s">
        <v>861</v>
      </c>
    </row>
    <row r="87" ht="15.0" customHeight="1">
      <c r="A87" s="82" t="s">
        <v>861</v>
      </c>
      <c r="B87" s="224" t="s">
        <v>94</v>
      </c>
      <c r="C87" s="82" t="s">
        <v>9269</v>
      </c>
      <c r="D87" s="120">
        <v>14.0</v>
      </c>
      <c r="E87" s="446">
        <v>14.0</v>
      </c>
      <c r="F87" s="229" t="s">
        <v>861</v>
      </c>
    </row>
    <row r="88" ht="15.0" customHeight="1">
      <c r="A88" s="82" t="s">
        <v>861</v>
      </c>
      <c r="B88" s="224" t="s">
        <v>94</v>
      </c>
      <c r="C88" s="82" t="s">
        <v>9270</v>
      </c>
      <c r="D88" s="120">
        <v>28.0</v>
      </c>
      <c r="E88" s="446">
        <v>28.0</v>
      </c>
      <c r="F88" s="229" t="s">
        <v>861</v>
      </c>
    </row>
    <row r="89" ht="15.0" customHeight="1">
      <c r="A89" s="82" t="s">
        <v>861</v>
      </c>
      <c r="B89" s="224" t="s">
        <v>94</v>
      </c>
      <c r="C89" s="82" t="s">
        <v>9271</v>
      </c>
      <c r="D89" s="120">
        <v>56.0</v>
      </c>
      <c r="E89" s="446">
        <v>56.0</v>
      </c>
      <c r="F89" s="229" t="s">
        <v>861</v>
      </c>
    </row>
    <row r="90" ht="15.0" customHeight="1">
      <c r="A90" s="352" t="s">
        <v>861</v>
      </c>
      <c r="B90" s="416" t="s">
        <v>94</v>
      </c>
      <c r="C90" s="352" t="s">
        <v>9272</v>
      </c>
      <c r="D90" s="481">
        <v>28.0</v>
      </c>
      <c r="E90" s="482">
        <v>28.0</v>
      </c>
      <c r="F90" s="229" t="s">
        <v>861</v>
      </c>
    </row>
    <row r="91" ht="15.0" customHeight="1">
      <c r="A91" s="82" t="s">
        <v>861</v>
      </c>
      <c r="B91" s="224" t="s">
        <v>94</v>
      </c>
      <c r="C91" s="288" t="s">
        <v>9273</v>
      </c>
      <c r="D91" s="120">
        <v>56.0</v>
      </c>
      <c r="E91" s="446">
        <v>56.0</v>
      </c>
      <c r="F91" s="229" t="s">
        <v>861</v>
      </c>
    </row>
    <row r="92" ht="15.0" customHeight="1">
      <c r="A92" s="82" t="s">
        <v>861</v>
      </c>
      <c r="B92" s="224" t="s">
        <v>94</v>
      </c>
      <c r="C92" s="82" t="s">
        <v>9274</v>
      </c>
      <c r="D92" s="120">
        <v>28.0</v>
      </c>
      <c r="E92" s="446">
        <v>28.0</v>
      </c>
      <c r="F92" s="229" t="s">
        <v>861</v>
      </c>
    </row>
    <row r="93" ht="15.0" customHeight="1">
      <c r="A93" s="82" t="s">
        <v>861</v>
      </c>
      <c r="B93" s="224" t="s">
        <v>94</v>
      </c>
      <c r="C93" s="82" t="s">
        <v>9275</v>
      </c>
      <c r="D93" s="120">
        <v>56.0</v>
      </c>
      <c r="E93" s="446">
        <v>56.0</v>
      </c>
      <c r="F93" s="229" t="s">
        <v>861</v>
      </c>
    </row>
    <row r="94" ht="15.0" customHeight="1">
      <c r="A94" s="82" t="s">
        <v>861</v>
      </c>
      <c r="B94" s="224" t="s">
        <v>94</v>
      </c>
      <c r="C94" s="82" t="s">
        <v>9276</v>
      </c>
      <c r="D94" s="120">
        <v>28.0</v>
      </c>
      <c r="E94" s="446">
        <v>28.0</v>
      </c>
      <c r="F94" s="229" t="s">
        <v>861</v>
      </c>
    </row>
    <row r="95" ht="15.0" customHeight="1">
      <c r="A95" s="82" t="s">
        <v>870</v>
      </c>
      <c r="B95" s="224" t="s">
        <v>9277</v>
      </c>
      <c r="C95" s="82">
        <v>10.0</v>
      </c>
      <c r="D95" s="120">
        <f>C95*28</f>
        <v>280</v>
      </c>
      <c r="E95" s="446">
        <f>D95</f>
        <v>280</v>
      </c>
      <c r="F95" s="229" t="s">
        <v>870</v>
      </c>
    </row>
    <row r="96" ht="15.0" customHeight="1">
      <c r="A96" s="82" t="s">
        <v>880</v>
      </c>
      <c r="B96" s="224" t="s">
        <v>94</v>
      </c>
      <c r="C96" s="82">
        <v>12.0</v>
      </c>
      <c r="D96" s="120">
        <v>336.0</v>
      </c>
      <c r="E96" s="446">
        <v>336.0</v>
      </c>
      <c r="F96" s="229" t="s">
        <v>880</v>
      </c>
    </row>
    <row r="97" ht="15.0" customHeight="1">
      <c r="A97" s="82" t="s">
        <v>8069</v>
      </c>
      <c r="B97" s="224" t="s">
        <v>94</v>
      </c>
      <c r="C97" s="82">
        <v>7.0</v>
      </c>
      <c r="D97" s="120">
        <f>7*28</f>
        <v>196</v>
      </c>
      <c r="E97" s="446">
        <v>196.0</v>
      </c>
      <c r="F97" s="229" t="s">
        <v>907</v>
      </c>
    </row>
    <row r="98" ht="15.0" customHeight="1">
      <c r="A98" s="82" t="s">
        <v>8094</v>
      </c>
      <c r="B98" s="224" t="s">
        <v>94</v>
      </c>
      <c r="C98" s="82">
        <v>12.0</v>
      </c>
      <c r="D98" s="120">
        <f>12*28</f>
        <v>336</v>
      </c>
      <c r="E98" s="446">
        <v>336.0</v>
      </c>
      <c r="F98" s="229" t="s">
        <v>8094</v>
      </c>
    </row>
    <row r="99" ht="15.0" customHeight="1">
      <c r="A99" s="82" t="s">
        <v>954</v>
      </c>
      <c r="B99" s="224" t="s">
        <v>94</v>
      </c>
      <c r="C99" s="148">
        <v>10.0</v>
      </c>
      <c r="D99" s="120">
        <f>10*28</f>
        <v>280</v>
      </c>
      <c r="E99" s="446">
        <f>D99</f>
        <v>280</v>
      </c>
      <c r="F99" s="229" t="s">
        <v>954</v>
      </c>
    </row>
    <row r="100" ht="15.0" customHeight="1">
      <c r="A100" s="100" t="s">
        <v>9139</v>
      </c>
      <c r="B100" s="483" t="s">
        <v>182</v>
      </c>
      <c r="C100" s="164" t="s">
        <v>9278</v>
      </c>
      <c r="D100" s="484" t="s">
        <v>9279</v>
      </c>
      <c r="E100" s="485">
        <v>280.0</v>
      </c>
      <c r="F100" s="229" t="s">
        <v>5513</v>
      </c>
    </row>
    <row r="101" ht="15.0" customHeight="1">
      <c r="A101" s="82" t="s">
        <v>9280</v>
      </c>
      <c r="B101" s="224" t="s">
        <v>94</v>
      </c>
      <c r="C101" s="82">
        <v>12.0</v>
      </c>
      <c r="D101" s="120">
        <v>420.0</v>
      </c>
      <c r="E101" s="446">
        <v>336.0</v>
      </c>
      <c r="F101" s="229" t="s">
        <v>9280</v>
      </c>
    </row>
    <row r="102" ht="15.0" customHeight="1">
      <c r="A102" s="148" t="s">
        <v>4024</v>
      </c>
      <c r="B102" s="253" t="s">
        <v>94</v>
      </c>
      <c r="C102" s="148" t="s">
        <v>9281</v>
      </c>
      <c r="D102" s="479" t="s">
        <v>9282</v>
      </c>
      <c r="E102" s="480">
        <v>252.0</v>
      </c>
      <c r="F102" s="229" t="s">
        <v>4024</v>
      </c>
    </row>
    <row r="103" ht="15.0" customHeight="1">
      <c r="A103" s="82" t="s">
        <v>8128</v>
      </c>
      <c r="B103" s="224" t="s">
        <v>94</v>
      </c>
      <c r="C103" s="82">
        <v>12.0</v>
      </c>
      <c r="D103" s="120">
        <v>12.0</v>
      </c>
      <c r="E103" s="446">
        <f>D103*28</f>
        <v>336</v>
      </c>
      <c r="F103" s="229" t="s">
        <v>4028</v>
      </c>
    </row>
    <row r="104" ht="15.0" customHeight="1">
      <c r="A104" s="82" t="s">
        <v>8731</v>
      </c>
      <c r="B104" s="224" t="s">
        <v>94</v>
      </c>
      <c r="C104" s="82">
        <v>13.0</v>
      </c>
      <c r="D104" s="120">
        <v>364.0</v>
      </c>
      <c r="E104" s="446">
        <v>364.0</v>
      </c>
      <c r="F104" s="229" t="s">
        <v>4076</v>
      </c>
    </row>
    <row r="105" ht="15.0" customHeight="1">
      <c r="A105" s="82" t="s">
        <v>9283</v>
      </c>
      <c r="B105" s="224" t="s">
        <v>94</v>
      </c>
      <c r="C105" s="148">
        <v>7.0</v>
      </c>
      <c r="D105" s="120">
        <f>C105*28</f>
        <v>196</v>
      </c>
      <c r="E105" s="446">
        <f>D105</f>
        <v>196</v>
      </c>
      <c r="F105" s="229" t="s">
        <v>4078</v>
      </c>
    </row>
    <row r="106" ht="15.0" customHeight="1">
      <c r="A106" s="82" t="s">
        <v>8161</v>
      </c>
      <c r="B106" s="224" t="s">
        <v>182</v>
      </c>
      <c r="C106" s="82">
        <v>12.0</v>
      </c>
      <c r="D106" s="120" t="s">
        <v>9215</v>
      </c>
      <c r="E106" s="446">
        <v>336.0</v>
      </c>
      <c r="F106" s="229" t="s">
        <v>5570</v>
      </c>
    </row>
    <row r="107" ht="15.0" customHeight="1">
      <c r="A107" s="82" t="s">
        <v>9284</v>
      </c>
      <c r="B107" s="224" t="s">
        <v>957</v>
      </c>
      <c r="C107" s="82">
        <v>10.0</v>
      </c>
      <c r="D107" s="120" t="s">
        <v>9285</v>
      </c>
      <c r="E107" s="446">
        <f>10*28</f>
        <v>280</v>
      </c>
      <c r="F107" s="229" t="s">
        <v>964</v>
      </c>
    </row>
    <row r="108" ht="15.0" customHeight="1">
      <c r="A108" s="82" t="s">
        <v>971</v>
      </c>
      <c r="B108" s="224" t="s">
        <v>182</v>
      </c>
      <c r="C108" s="82" t="s">
        <v>9286</v>
      </c>
      <c r="D108" s="120" t="s">
        <v>9287</v>
      </c>
      <c r="E108" s="446">
        <v>196.0</v>
      </c>
      <c r="F108" s="229" t="s">
        <v>971</v>
      </c>
    </row>
    <row r="109" ht="15.0" customHeight="1">
      <c r="A109" s="288" t="s">
        <v>8241</v>
      </c>
      <c r="B109" s="486" t="s">
        <v>94</v>
      </c>
      <c r="C109" s="82">
        <v>12.25</v>
      </c>
      <c r="D109" s="120">
        <v>343.0</v>
      </c>
      <c r="E109" s="446">
        <v>343.0</v>
      </c>
      <c r="F109" s="229" t="s">
        <v>1047</v>
      </c>
    </row>
    <row r="110" ht="15.0" customHeight="1">
      <c r="A110" s="82" t="s">
        <v>9029</v>
      </c>
      <c r="B110" s="224" t="s">
        <v>94</v>
      </c>
      <c r="C110" s="82" t="s">
        <v>9288</v>
      </c>
      <c r="D110" s="120">
        <f>8*28</f>
        <v>224</v>
      </c>
      <c r="E110" s="446">
        <f t="shared" ref="E110:E111" si="9">D110</f>
        <v>224</v>
      </c>
      <c r="F110" s="229" t="s">
        <v>4343</v>
      </c>
    </row>
    <row r="111" ht="15.0" customHeight="1">
      <c r="A111" s="82" t="s">
        <v>9289</v>
      </c>
      <c r="B111" s="224" t="s">
        <v>94</v>
      </c>
      <c r="C111" s="82">
        <v>13.0</v>
      </c>
      <c r="D111" s="120">
        <f>C111*28</f>
        <v>364</v>
      </c>
      <c r="E111" s="446">
        <f t="shared" si="9"/>
        <v>364</v>
      </c>
      <c r="F111" s="229" t="s">
        <v>5745</v>
      </c>
    </row>
    <row r="112" ht="15.0" customHeight="1">
      <c r="A112" s="82" t="s">
        <v>9290</v>
      </c>
      <c r="B112" s="224" t="s">
        <v>182</v>
      </c>
      <c r="C112" s="82" t="s">
        <v>9291</v>
      </c>
      <c r="D112" s="120">
        <v>12.0</v>
      </c>
      <c r="E112" s="446">
        <f>D112*28</f>
        <v>336</v>
      </c>
      <c r="F112" s="229" t="s">
        <v>4352</v>
      </c>
    </row>
    <row r="113" ht="15.0" customHeight="1">
      <c r="A113" s="82" t="s">
        <v>8968</v>
      </c>
      <c r="B113" s="224" t="s">
        <v>147</v>
      </c>
      <c r="C113" s="82">
        <v>7.0</v>
      </c>
      <c r="D113" s="120">
        <v>196.0</v>
      </c>
      <c r="E113" s="487">
        <v>196.0</v>
      </c>
      <c r="F113" s="30" t="s">
        <v>153</v>
      </c>
    </row>
    <row r="114" ht="15.0" customHeight="1">
      <c r="A114" s="82" t="s">
        <v>155</v>
      </c>
      <c r="B114" s="224" t="s">
        <v>147</v>
      </c>
      <c r="C114" s="82">
        <v>16.0</v>
      </c>
      <c r="D114" s="120">
        <v>448.0</v>
      </c>
      <c r="E114" s="487">
        <v>448.0</v>
      </c>
      <c r="F114" s="30" t="s">
        <v>155</v>
      </c>
    </row>
    <row r="115" ht="15.0" customHeight="1">
      <c r="A115" s="82" t="s">
        <v>154</v>
      </c>
      <c r="B115" s="224" t="s">
        <v>147</v>
      </c>
      <c r="C115" s="82">
        <v>8.0</v>
      </c>
      <c r="D115" s="120">
        <v>224.0</v>
      </c>
      <c r="E115" s="487">
        <v>224.0</v>
      </c>
      <c r="F115" s="30" t="s">
        <v>154</v>
      </c>
    </row>
    <row r="116" ht="15.0" customHeight="1">
      <c r="A116" s="82" t="s">
        <v>9292</v>
      </c>
      <c r="B116" s="224" t="s">
        <v>147</v>
      </c>
      <c r="C116" s="82">
        <v>7.0</v>
      </c>
      <c r="D116" s="120" t="s">
        <v>9213</v>
      </c>
      <c r="E116" s="487">
        <v>196.0</v>
      </c>
      <c r="F116" s="30" t="s">
        <v>149</v>
      </c>
    </row>
    <row r="117" ht="15.0" customHeight="1">
      <c r="A117" s="82" t="s">
        <v>8317</v>
      </c>
      <c r="B117" s="224" t="s">
        <v>147</v>
      </c>
      <c r="C117" s="82">
        <v>9.0</v>
      </c>
      <c r="D117" s="120" t="s">
        <v>9293</v>
      </c>
      <c r="E117" s="487">
        <v>252.0</v>
      </c>
      <c r="F117" s="30" t="s">
        <v>150</v>
      </c>
    </row>
    <row r="118" ht="15.0" customHeight="1">
      <c r="A118" s="82" t="s">
        <v>9039</v>
      </c>
      <c r="B118" s="224" t="s">
        <v>147</v>
      </c>
      <c r="C118" s="82">
        <v>7.0</v>
      </c>
      <c r="D118" s="120">
        <v>196.0</v>
      </c>
      <c r="E118" s="487">
        <v>196.0</v>
      </c>
      <c r="F118" s="30" t="s">
        <v>4738</v>
      </c>
    </row>
    <row r="119" ht="15.0" customHeight="1">
      <c r="A119" s="82" t="s">
        <v>9294</v>
      </c>
      <c r="B119" s="224" t="s">
        <v>147</v>
      </c>
      <c r="C119" s="82">
        <v>10.0</v>
      </c>
      <c r="D119" s="120">
        <v>280.0</v>
      </c>
      <c r="E119" s="487">
        <v>280.0</v>
      </c>
      <c r="F119" s="30" t="s">
        <v>156</v>
      </c>
    </row>
    <row r="120" ht="15.0" customHeight="1">
      <c r="A120" s="82" t="s">
        <v>9041</v>
      </c>
      <c r="B120" s="224" t="s">
        <v>147</v>
      </c>
      <c r="C120" s="82">
        <v>10.0</v>
      </c>
      <c r="D120" s="120">
        <v>280.0</v>
      </c>
      <c r="E120" s="487">
        <v>280.0</v>
      </c>
      <c r="F120" s="30" t="s">
        <v>4845</v>
      </c>
    </row>
    <row r="121" ht="15.0" customHeight="1">
      <c r="A121" s="82" t="s">
        <v>8328</v>
      </c>
      <c r="B121" s="224" t="s">
        <v>147</v>
      </c>
      <c r="C121" s="82">
        <v>10.0</v>
      </c>
      <c r="D121" s="120">
        <v>280.0</v>
      </c>
      <c r="E121" s="487">
        <v>280.0</v>
      </c>
      <c r="F121" s="30" t="s">
        <v>158</v>
      </c>
    </row>
    <row r="122" ht="15.0" customHeight="1">
      <c r="A122" s="82" t="s">
        <v>1144</v>
      </c>
      <c r="B122" s="224" t="s">
        <v>147</v>
      </c>
      <c r="C122" s="82" t="s">
        <v>9295</v>
      </c>
      <c r="D122" s="120">
        <v>224.0</v>
      </c>
      <c r="E122" s="487">
        <v>224.0</v>
      </c>
      <c r="F122" s="30" t="s">
        <v>159</v>
      </c>
    </row>
    <row r="123" ht="15.0" customHeight="1">
      <c r="A123" s="82" t="s">
        <v>8360</v>
      </c>
      <c r="B123" s="224" t="s">
        <v>147</v>
      </c>
      <c r="C123" s="82" t="s">
        <v>9296</v>
      </c>
      <c r="D123" s="120" t="s">
        <v>9297</v>
      </c>
      <c r="E123" s="487">
        <v>224.0</v>
      </c>
      <c r="F123" s="30" t="s">
        <v>161</v>
      </c>
    </row>
    <row r="124" ht="15.0" customHeight="1">
      <c r="A124" s="82" t="s">
        <v>8879</v>
      </c>
      <c r="B124" s="224" t="s">
        <v>147</v>
      </c>
      <c r="C124" s="82">
        <v>12.0</v>
      </c>
      <c r="D124" s="120">
        <v>336.0</v>
      </c>
      <c r="E124" s="487">
        <v>336.0</v>
      </c>
      <c r="F124" s="30" t="s">
        <v>162</v>
      </c>
    </row>
    <row r="125" ht="15.0" customHeight="1">
      <c r="A125" s="82" t="s">
        <v>9298</v>
      </c>
      <c r="B125" s="224" t="s">
        <v>147</v>
      </c>
      <c r="C125" s="82">
        <v>16.0</v>
      </c>
      <c r="D125" s="120" t="s">
        <v>9299</v>
      </c>
      <c r="E125" s="487">
        <v>448.0</v>
      </c>
      <c r="F125" s="30" t="s">
        <v>164</v>
      </c>
    </row>
    <row r="126" ht="15.0" customHeight="1">
      <c r="A126" s="82" t="s">
        <v>1160</v>
      </c>
      <c r="B126" s="224" t="s">
        <v>147</v>
      </c>
      <c r="C126" s="82">
        <v>10.0</v>
      </c>
      <c r="D126" s="120">
        <v>280.0</v>
      </c>
      <c r="E126" s="487">
        <v>280.0</v>
      </c>
      <c r="F126" s="30" t="s">
        <v>165</v>
      </c>
    </row>
    <row r="127" ht="15.0" customHeight="1">
      <c r="A127" s="82" t="s">
        <v>9300</v>
      </c>
      <c r="B127" s="224" t="s">
        <v>147</v>
      </c>
      <c r="C127" s="82">
        <v>15.0</v>
      </c>
      <c r="D127" s="120" t="s">
        <v>9301</v>
      </c>
      <c r="E127" s="487">
        <v>420.0</v>
      </c>
      <c r="F127" s="30" t="s">
        <v>5626</v>
      </c>
    </row>
    <row r="128" ht="15.0" customHeight="1">
      <c r="A128" s="82" t="s">
        <v>1211</v>
      </c>
      <c r="B128" s="224" t="s">
        <v>147</v>
      </c>
      <c r="C128" s="82">
        <v>12.0</v>
      </c>
      <c r="D128" s="120">
        <v>336.0</v>
      </c>
      <c r="E128" s="487">
        <v>336.0</v>
      </c>
      <c r="F128" s="30" t="s">
        <v>168</v>
      </c>
    </row>
    <row r="129" ht="15.0" customHeight="1">
      <c r="A129" s="82" t="s">
        <v>9302</v>
      </c>
      <c r="B129" s="224" t="s">
        <v>147</v>
      </c>
      <c r="C129" s="82" t="s">
        <v>9303</v>
      </c>
      <c r="D129" s="120">
        <v>448.0</v>
      </c>
      <c r="E129" s="487">
        <v>448.0</v>
      </c>
      <c r="F129" s="30" t="s">
        <v>170</v>
      </c>
    </row>
    <row r="130" ht="15.0" customHeight="1">
      <c r="A130" s="82" t="s">
        <v>8891</v>
      </c>
      <c r="B130" s="224" t="s">
        <v>147</v>
      </c>
      <c r="C130" s="82">
        <v>12.5</v>
      </c>
      <c r="D130" s="120">
        <v>350.0</v>
      </c>
      <c r="E130" s="487">
        <v>350.0</v>
      </c>
      <c r="F130" s="30" t="s">
        <v>171</v>
      </c>
    </row>
    <row r="131" ht="15.0" customHeight="1">
      <c r="A131" s="82" t="s">
        <v>8409</v>
      </c>
      <c r="B131" s="224" t="s">
        <v>147</v>
      </c>
      <c r="C131" s="82" t="s">
        <v>9304</v>
      </c>
      <c r="D131" s="120">
        <v>280.0</v>
      </c>
      <c r="E131" s="487">
        <v>280.0</v>
      </c>
      <c r="F131" s="30" t="s">
        <v>5077</v>
      </c>
    </row>
    <row r="132" ht="15.0" customHeight="1">
      <c r="A132" s="82" t="s">
        <v>9305</v>
      </c>
      <c r="B132" s="224" t="s">
        <v>147</v>
      </c>
      <c r="C132" s="82">
        <v>12.0</v>
      </c>
      <c r="D132" s="120">
        <v>336.0</v>
      </c>
      <c r="E132" s="487">
        <v>336.0</v>
      </c>
      <c r="F132" s="30" t="s">
        <v>5101</v>
      </c>
    </row>
    <row r="133" ht="15.0" customHeight="1">
      <c r="A133" s="82" t="s">
        <v>9306</v>
      </c>
      <c r="B133" s="224" t="s">
        <v>147</v>
      </c>
      <c r="C133" s="82">
        <v>16.0</v>
      </c>
      <c r="D133" s="120">
        <v>28.0</v>
      </c>
      <c r="E133" s="487">
        <v>448.0</v>
      </c>
      <c r="F133" s="30" t="s">
        <v>5104</v>
      </c>
    </row>
    <row r="134" ht="15.0" customHeight="1">
      <c r="A134" s="82" t="s">
        <v>9307</v>
      </c>
      <c r="B134" s="224" t="s">
        <v>147</v>
      </c>
      <c r="C134" s="82">
        <v>14.0</v>
      </c>
      <c r="D134" s="120">
        <v>392.0</v>
      </c>
      <c r="E134" s="487">
        <v>392.0</v>
      </c>
      <c r="F134" s="30" t="s">
        <v>5108</v>
      </c>
    </row>
    <row r="135" ht="15.0" customHeight="1">
      <c r="A135" s="82" t="s">
        <v>9308</v>
      </c>
      <c r="B135" s="224" t="s">
        <v>147</v>
      </c>
      <c r="C135" s="82">
        <v>13.0</v>
      </c>
      <c r="D135" s="120">
        <v>364.0</v>
      </c>
      <c r="E135" s="487">
        <v>364.0</v>
      </c>
      <c r="F135" s="30" t="s">
        <v>5654</v>
      </c>
    </row>
    <row r="136" ht="15.0" customHeight="1">
      <c r="A136" s="82" t="s">
        <v>9309</v>
      </c>
      <c r="B136" s="224" t="s">
        <v>147</v>
      </c>
      <c r="C136" s="82">
        <v>13.0</v>
      </c>
      <c r="D136" s="120">
        <v>364.0</v>
      </c>
      <c r="E136" s="487">
        <v>364.0</v>
      </c>
      <c r="F136" s="30" t="s">
        <v>179</v>
      </c>
    </row>
    <row r="137" ht="15.0" customHeight="1">
      <c r="A137" s="82" t="s">
        <v>9310</v>
      </c>
      <c r="B137" s="224" t="s">
        <v>147</v>
      </c>
      <c r="C137" s="82">
        <v>13.0</v>
      </c>
      <c r="D137" s="120">
        <v>364.0</v>
      </c>
      <c r="E137" s="487">
        <v>364.0</v>
      </c>
      <c r="F137" s="30" t="s">
        <v>180</v>
      </c>
    </row>
    <row r="138" ht="15.0" customHeight="1">
      <c r="A138" s="82" t="s">
        <v>8898</v>
      </c>
      <c r="B138" s="224" t="s">
        <v>147</v>
      </c>
      <c r="C138" s="82">
        <v>12.0</v>
      </c>
      <c r="D138" s="120">
        <v>336.0</v>
      </c>
      <c r="E138" s="487">
        <v>336.0</v>
      </c>
      <c r="F138" s="30" t="s">
        <v>8902</v>
      </c>
    </row>
    <row r="139" ht="15.0" customHeight="1">
      <c r="A139" s="82" t="s">
        <v>9311</v>
      </c>
      <c r="B139" s="224" t="s">
        <v>147</v>
      </c>
      <c r="C139" s="82">
        <v>16.0</v>
      </c>
      <c r="D139" s="120">
        <v>224.0</v>
      </c>
      <c r="E139" s="487">
        <v>448.0</v>
      </c>
      <c r="F139" s="30" t="s">
        <v>9312</v>
      </c>
    </row>
    <row r="140" ht="15.0" customHeight="1">
      <c r="A140" s="82" t="s">
        <v>9313</v>
      </c>
      <c r="B140" s="224" t="s">
        <v>5753</v>
      </c>
      <c r="C140" s="82" t="s">
        <v>9314</v>
      </c>
      <c r="D140" s="120" t="s">
        <v>9215</v>
      </c>
      <c r="E140" s="487">
        <v>336.0</v>
      </c>
      <c r="F140" s="30" t="s">
        <v>174</v>
      </c>
    </row>
    <row r="141" ht="15.75" customHeight="1">
      <c r="A141" s="110"/>
      <c r="B141" s="285"/>
      <c r="C141" s="285"/>
      <c r="D141" s="476"/>
      <c r="E141" s="476">
        <f>SUM(E9:E140)</f>
        <v>34194.16</v>
      </c>
    </row>
    <row r="142" ht="15.75" customHeight="1">
      <c r="A142" s="104"/>
      <c r="B142" s="104"/>
      <c r="C142" s="61"/>
      <c r="D142" s="61"/>
      <c r="E142" s="61"/>
      <c r="F142" s="1"/>
      <c r="G142" s="1"/>
      <c r="H142" s="1"/>
    </row>
    <row r="143" ht="14.25" customHeight="1">
      <c r="A143" s="144" t="s">
        <v>1169</v>
      </c>
      <c r="B143" s="103"/>
      <c r="C143" s="103"/>
      <c r="D143" s="103"/>
      <c r="E143" s="103"/>
      <c r="F143" s="3"/>
      <c r="G143" s="3"/>
      <c r="H143" s="3"/>
      <c r="I143" s="104"/>
      <c r="J143" s="104"/>
      <c r="K143" s="104"/>
      <c r="L143" s="104"/>
      <c r="M143" s="104"/>
      <c r="N143" s="104"/>
      <c r="O143" s="104"/>
      <c r="P143" s="104"/>
      <c r="Q143" s="104"/>
      <c r="R143" s="104"/>
      <c r="S143" s="104"/>
      <c r="T143" s="104"/>
      <c r="U143" s="104"/>
      <c r="V143" s="104"/>
      <c r="W143" s="104"/>
      <c r="X143" s="104"/>
      <c r="Y143" s="104"/>
    </row>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43:E143"/>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8.57"/>
    <col customWidth="1" min="7" max="8" width="13.71"/>
    <col customWidth="1" min="9" max="25" width="8.0"/>
  </cols>
  <sheetData>
    <row r="1">
      <c r="A1" s="104"/>
      <c r="B1" s="104"/>
      <c r="C1" s="61"/>
      <c r="D1" s="61"/>
      <c r="E1" s="61"/>
      <c r="F1" s="1"/>
      <c r="G1" s="1"/>
      <c r="H1" s="1"/>
    </row>
    <row r="2" ht="15.75" customHeight="1">
      <c r="A2" s="105" t="s">
        <v>9315</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4.25" customHeight="1">
      <c r="A4" s="128" t="s">
        <v>9316</v>
      </c>
      <c r="B4" s="64"/>
      <c r="C4" s="64"/>
      <c r="D4" s="64"/>
      <c r="E4" s="65"/>
      <c r="F4" s="474"/>
      <c r="G4" s="474"/>
      <c r="H4" s="474"/>
      <c r="I4" s="107"/>
      <c r="J4" s="107"/>
      <c r="K4" s="107"/>
      <c r="L4" s="107"/>
      <c r="M4" s="107"/>
      <c r="N4" s="107"/>
      <c r="O4" s="107"/>
      <c r="P4" s="107"/>
      <c r="Q4" s="107"/>
      <c r="R4" s="107"/>
      <c r="S4" s="107"/>
      <c r="T4" s="107"/>
      <c r="U4" s="107"/>
      <c r="V4" s="107"/>
      <c r="W4" s="107"/>
      <c r="X4" s="107"/>
      <c r="Y4" s="107"/>
    </row>
    <row r="5" ht="16.5" customHeight="1">
      <c r="A5" s="226" t="s">
        <v>9196</v>
      </c>
      <c r="B5" s="64"/>
      <c r="C5" s="64"/>
      <c r="D5" s="64"/>
      <c r="E5" s="65"/>
      <c r="F5" s="474"/>
      <c r="G5" s="474"/>
      <c r="H5" s="474"/>
      <c r="I5" s="107"/>
      <c r="J5" s="107"/>
      <c r="K5" s="107"/>
      <c r="L5" s="107"/>
      <c r="M5" s="107"/>
      <c r="N5" s="107"/>
      <c r="O5" s="107"/>
      <c r="P5" s="107"/>
      <c r="Q5" s="107"/>
      <c r="R5" s="107"/>
      <c r="S5" s="107"/>
      <c r="T5" s="107"/>
      <c r="U5" s="107"/>
      <c r="V5" s="107"/>
      <c r="W5" s="107"/>
      <c r="X5" s="107"/>
      <c r="Y5" s="107"/>
    </row>
    <row r="6" ht="27.0" customHeight="1">
      <c r="A6" s="477" t="s">
        <v>9317</v>
      </c>
      <c r="B6" s="64"/>
      <c r="C6" s="64"/>
      <c r="D6" s="64"/>
      <c r="E6" s="65"/>
      <c r="F6" s="474"/>
      <c r="G6" s="474"/>
      <c r="H6" s="474"/>
      <c r="I6" s="107"/>
      <c r="J6" s="107"/>
      <c r="K6" s="107"/>
      <c r="L6" s="107"/>
      <c r="M6" s="107"/>
      <c r="N6" s="107"/>
      <c r="O6" s="107"/>
      <c r="P6" s="107"/>
      <c r="Q6" s="107"/>
      <c r="R6" s="107"/>
      <c r="S6" s="107"/>
      <c r="T6" s="107"/>
      <c r="U6" s="107"/>
      <c r="V6" s="107"/>
      <c r="W6" s="107"/>
      <c r="X6" s="107"/>
      <c r="Y6" s="107"/>
    </row>
    <row r="7">
      <c r="A7" s="109"/>
      <c r="B7" s="109"/>
      <c r="C7" s="110"/>
      <c r="D7" s="110"/>
      <c r="E7" s="110"/>
      <c r="F7" s="109"/>
      <c r="G7" s="109"/>
      <c r="H7" s="109"/>
      <c r="I7" s="107"/>
      <c r="J7" s="107"/>
      <c r="K7" s="107"/>
      <c r="L7" s="107"/>
      <c r="M7" s="107"/>
      <c r="N7" s="107"/>
      <c r="O7" s="107"/>
      <c r="P7" s="107"/>
      <c r="Q7" s="107"/>
      <c r="R7" s="107"/>
      <c r="S7" s="107"/>
      <c r="T7" s="107"/>
      <c r="U7" s="107"/>
      <c r="V7" s="107"/>
      <c r="W7" s="107"/>
      <c r="X7" s="107"/>
      <c r="Y7" s="107"/>
    </row>
    <row r="8" ht="61.5" customHeight="1">
      <c r="A8" s="228" t="s">
        <v>5174</v>
      </c>
      <c r="B8" s="132" t="s">
        <v>8</v>
      </c>
      <c r="C8" s="228" t="s">
        <v>9198</v>
      </c>
      <c r="D8" s="131" t="s">
        <v>217</v>
      </c>
      <c r="E8" s="131" t="s">
        <v>221</v>
      </c>
      <c r="F8" s="113" t="s">
        <v>222</v>
      </c>
      <c r="I8" s="107"/>
      <c r="J8" s="107"/>
      <c r="K8" s="107"/>
      <c r="L8" s="107"/>
      <c r="M8" s="107"/>
      <c r="N8" s="107"/>
      <c r="O8" s="107"/>
      <c r="P8" s="107"/>
      <c r="Q8" s="107"/>
      <c r="R8" s="107"/>
      <c r="S8" s="107"/>
      <c r="T8" s="107"/>
      <c r="U8" s="107"/>
      <c r="V8" s="107"/>
      <c r="W8" s="107"/>
      <c r="X8" s="107"/>
      <c r="Y8" s="107"/>
    </row>
    <row r="9" ht="15.0" customHeight="1">
      <c r="A9" s="82" t="s">
        <v>61</v>
      </c>
      <c r="B9" s="82" t="s">
        <v>52</v>
      </c>
      <c r="C9" s="82">
        <v>8.0</v>
      </c>
      <c r="D9" s="83" t="s">
        <v>9318</v>
      </c>
      <c r="E9" s="92">
        <f>8*28*2</f>
        <v>448</v>
      </c>
      <c r="F9" s="281" t="s">
        <v>61</v>
      </c>
    </row>
    <row r="10" ht="15.0" customHeight="1">
      <c r="A10" s="82" t="s">
        <v>79</v>
      </c>
      <c r="B10" s="82" t="s">
        <v>52</v>
      </c>
      <c r="C10" s="82">
        <v>10.0</v>
      </c>
      <c r="D10" s="83" t="s">
        <v>9319</v>
      </c>
      <c r="E10" s="92">
        <f>10*2*28</f>
        <v>560</v>
      </c>
      <c r="F10" s="281" t="s">
        <v>79</v>
      </c>
    </row>
    <row r="11" ht="15.0" customHeight="1">
      <c r="A11" s="82" t="s">
        <v>7526</v>
      </c>
      <c r="B11" s="82" t="s">
        <v>52</v>
      </c>
      <c r="C11" s="82">
        <v>7.0</v>
      </c>
      <c r="D11" s="83">
        <f>7*2*28</f>
        <v>392</v>
      </c>
      <c r="E11" s="92">
        <f>D11</f>
        <v>392</v>
      </c>
      <c r="F11" s="281" t="s">
        <v>51</v>
      </c>
    </row>
    <row r="12" ht="15.0" customHeight="1">
      <c r="A12" s="82" t="s">
        <v>73</v>
      </c>
      <c r="B12" s="82" t="s">
        <v>52</v>
      </c>
      <c r="C12" s="82">
        <v>10.0</v>
      </c>
      <c r="D12" s="83" t="s">
        <v>9319</v>
      </c>
      <c r="E12" s="92">
        <f>10*2*28</f>
        <v>560</v>
      </c>
      <c r="F12" s="281" t="s">
        <v>73</v>
      </c>
    </row>
    <row r="13" ht="15.0" customHeight="1">
      <c r="A13" s="82" t="s">
        <v>58</v>
      </c>
      <c r="B13" s="82" t="s">
        <v>52</v>
      </c>
      <c r="C13" s="82">
        <v>7.0</v>
      </c>
      <c r="D13" s="83">
        <v>392.0</v>
      </c>
      <c r="E13" s="92">
        <v>392.0</v>
      </c>
      <c r="F13" s="281" t="s">
        <v>58</v>
      </c>
    </row>
    <row r="14" ht="15.0" customHeight="1">
      <c r="A14" s="82" t="s">
        <v>75</v>
      </c>
      <c r="B14" s="82" t="s">
        <v>52</v>
      </c>
      <c r="C14" s="82">
        <v>16.0</v>
      </c>
      <c r="D14" s="83" t="s">
        <v>9320</v>
      </c>
      <c r="E14" s="92">
        <v>896.0</v>
      </c>
      <c r="F14" s="281" t="s">
        <v>75</v>
      </c>
    </row>
    <row r="15" ht="15.0" customHeight="1">
      <c r="A15" s="82" t="s">
        <v>9203</v>
      </c>
      <c r="B15" s="82" t="s">
        <v>52</v>
      </c>
      <c r="C15" s="82">
        <v>12.0</v>
      </c>
      <c r="D15" s="83" t="s">
        <v>9321</v>
      </c>
      <c r="E15" s="92">
        <f>12*2*28</f>
        <v>672</v>
      </c>
      <c r="F15" s="281" t="s">
        <v>1764</v>
      </c>
    </row>
    <row r="16" ht="15.0" customHeight="1">
      <c r="A16" s="82" t="s">
        <v>9205</v>
      </c>
      <c r="B16" s="82" t="s">
        <v>52</v>
      </c>
      <c r="C16" s="82">
        <v>15.0</v>
      </c>
      <c r="D16" s="83" t="s">
        <v>9322</v>
      </c>
      <c r="E16" s="92">
        <f>15*2*28</f>
        <v>840</v>
      </c>
      <c r="F16" s="281" t="s">
        <v>71</v>
      </c>
    </row>
    <row r="17" ht="15.0" customHeight="1">
      <c r="A17" s="82" t="s">
        <v>9207</v>
      </c>
      <c r="B17" s="82" t="s">
        <v>52</v>
      </c>
      <c r="C17" s="82">
        <v>12.97</v>
      </c>
      <c r="D17" s="83" t="s">
        <v>9323</v>
      </c>
      <c r="E17" s="92">
        <f>(12.97*28)*2</f>
        <v>726.32</v>
      </c>
      <c r="F17" s="281" t="s">
        <v>296</v>
      </c>
    </row>
    <row r="18" ht="15.0" customHeight="1">
      <c r="A18" s="82" t="s">
        <v>7653</v>
      </c>
      <c r="B18" s="82" t="s">
        <v>52</v>
      </c>
      <c r="C18" s="82">
        <v>13.0</v>
      </c>
      <c r="D18" s="488" t="s">
        <v>9324</v>
      </c>
      <c r="E18" s="92">
        <f>13*28*2</f>
        <v>728</v>
      </c>
      <c r="F18" s="281" t="s">
        <v>90</v>
      </c>
    </row>
    <row r="19" ht="15.0" customHeight="1">
      <c r="A19" s="82" t="s">
        <v>54</v>
      </c>
      <c r="B19" s="82" t="s">
        <v>52</v>
      </c>
      <c r="C19" s="82">
        <v>16.0</v>
      </c>
      <c r="D19" s="83" t="s">
        <v>9320</v>
      </c>
      <c r="E19" s="92">
        <v>896.0</v>
      </c>
      <c r="F19" s="281" t="s">
        <v>54</v>
      </c>
    </row>
    <row r="20" ht="15.0" customHeight="1">
      <c r="A20" s="82" t="s">
        <v>92</v>
      </c>
      <c r="B20" s="82" t="s">
        <v>52</v>
      </c>
      <c r="C20" s="82">
        <v>13.0</v>
      </c>
      <c r="D20" s="83" t="s">
        <v>9324</v>
      </c>
      <c r="E20" s="92">
        <f>13*2*28</f>
        <v>728</v>
      </c>
      <c r="F20" s="281" t="s">
        <v>92</v>
      </c>
    </row>
    <row r="21" ht="15.0" customHeight="1">
      <c r="A21" s="82" t="s">
        <v>8503</v>
      </c>
      <c r="B21" s="82" t="s">
        <v>52</v>
      </c>
      <c r="C21" s="82">
        <v>15.0</v>
      </c>
      <c r="D21" s="83" t="s">
        <v>9322</v>
      </c>
      <c r="E21" s="92">
        <v>840.0</v>
      </c>
      <c r="F21" s="281" t="s">
        <v>72</v>
      </c>
    </row>
    <row r="22" ht="15.0" customHeight="1">
      <c r="A22" s="82" t="s">
        <v>9211</v>
      </c>
      <c r="B22" s="82" t="s">
        <v>52</v>
      </c>
      <c r="C22" s="82">
        <v>16.0</v>
      </c>
      <c r="D22" s="83" t="s">
        <v>9325</v>
      </c>
      <c r="E22" s="92">
        <v>896.0</v>
      </c>
      <c r="F22" s="281" t="s">
        <v>76</v>
      </c>
    </row>
    <row r="23" ht="15.0" customHeight="1">
      <c r="A23" s="82" t="s">
        <v>57</v>
      </c>
      <c r="B23" s="82" t="s">
        <v>52</v>
      </c>
      <c r="C23" s="82">
        <v>16.0</v>
      </c>
      <c r="D23" s="83">
        <f>C23*2*28</f>
        <v>896</v>
      </c>
      <c r="E23" s="92">
        <f>D23</f>
        <v>896</v>
      </c>
      <c r="F23" s="281" t="s">
        <v>57</v>
      </c>
    </row>
    <row r="24" ht="15.0" customHeight="1">
      <c r="A24" s="82" t="s">
        <v>7659</v>
      </c>
      <c r="B24" s="82" t="s">
        <v>52</v>
      </c>
      <c r="C24" s="82">
        <v>7.0</v>
      </c>
      <c r="D24" s="83" t="s">
        <v>9326</v>
      </c>
      <c r="E24" s="92">
        <f>7*2*28</f>
        <v>392</v>
      </c>
      <c r="F24" s="281" t="s">
        <v>60</v>
      </c>
    </row>
    <row r="25" ht="15.0" customHeight="1">
      <c r="A25" s="82" t="s">
        <v>8515</v>
      </c>
      <c r="B25" s="82" t="s">
        <v>52</v>
      </c>
      <c r="C25" s="82">
        <v>11.0</v>
      </c>
      <c r="D25" s="83" t="s">
        <v>9327</v>
      </c>
      <c r="E25" s="92">
        <f>11*2*28</f>
        <v>616</v>
      </c>
      <c r="F25" s="281" t="s">
        <v>82</v>
      </c>
    </row>
    <row r="26" ht="15.0" customHeight="1">
      <c r="A26" s="82" t="s">
        <v>80</v>
      </c>
      <c r="B26" s="82" t="s">
        <v>52</v>
      </c>
      <c r="C26" s="82">
        <v>12.0</v>
      </c>
      <c r="D26" s="83" t="s">
        <v>9328</v>
      </c>
      <c r="E26" s="92">
        <f>12*2*28</f>
        <v>672</v>
      </c>
      <c r="F26" s="281" t="s">
        <v>80</v>
      </c>
    </row>
    <row r="27" ht="15.0" customHeight="1">
      <c r="A27" s="82" t="s">
        <v>67</v>
      </c>
      <c r="B27" s="82" t="s">
        <v>52</v>
      </c>
      <c r="C27" s="82" t="s">
        <v>9216</v>
      </c>
      <c r="D27" s="83" t="s">
        <v>9329</v>
      </c>
      <c r="E27" s="92">
        <v>728.0</v>
      </c>
      <c r="F27" s="281" t="s">
        <v>67</v>
      </c>
    </row>
    <row r="28" ht="15.0" customHeight="1">
      <c r="A28" s="82" t="s">
        <v>8536</v>
      </c>
      <c r="B28" s="82" t="s">
        <v>52</v>
      </c>
      <c r="C28" s="82">
        <v>13.0</v>
      </c>
      <c r="D28" s="83" t="s">
        <v>9330</v>
      </c>
      <c r="E28" s="92">
        <f>13.25*2*28</f>
        <v>742</v>
      </c>
      <c r="F28" s="281" t="s">
        <v>87</v>
      </c>
    </row>
    <row r="29" ht="15.0" customHeight="1">
      <c r="A29" s="148" t="s">
        <v>9219</v>
      </c>
      <c r="B29" s="148" t="s">
        <v>52</v>
      </c>
      <c r="C29" s="148">
        <v>7.25</v>
      </c>
      <c r="D29" s="83">
        <f>C29*2*28</f>
        <v>406</v>
      </c>
      <c r="E29" s="92">
        <f>D29</f>
        <v>406</v>
      </c>
      <c r="F29" s="281" t="s">
        <v>59</v>
      </c>
    </row>
    <row r="30" ht="15.0" customHeight="1">
      <c r="A30" s="82" t="s">
        <v>7730</v>
      </c>
      <c r="B30" s="82" t="s">
        <v>52</v>
      </c>
      <c r="C30" s="82">
        <v>13.0</v>
      </c>
      <c r="D30" s="488" t="s">
        <v>9331</v>
      </c>
      <c r="E30" s="92">
        <f t="shared" ref="E30:E31" si="1">13*2*28</f>
        <v>728</v>
      </c>
      <c r="F30" s="281" t="s">
        <v>91</v>
      </c>
    </row>
    <row r="31" ht="15.0" customHeight="1">
      <c r="A31" s="82" t="s">
        <v>85</v>
      </c>
      <c r="B31" s="82" t="s">
        <v>52</v>
      </c>
      <c r="C31" s="82">
        <v>13.0</v>
      </c>
      <c r="D31" s="83" t="s">
        <v>9324</v>
      </c>
      <c r="E31" s="92">
        <f t="shared" si="1"/>
        <v>728</v>
      </c>
      <c r="F31" s="281" t="s">
        <v>85</v>
      </c>
    </row>
    <row r="32" ht="15.0" customHeight="1">
      <c r="A32" s="82" t="s">
        <v>7731</v>
      </c>
      <c r="B32" s="82"/>
      <c r="C32" s="82">
        <v>10.0</v>
      </c>
      <c r="D32" s="83" t="s">
        <v>9332</v>
      </c>
      <c r="E32" s="92">
        <f>10*2*28</f>
        <v>560</v>
      </c>
      <c r="F32" s="281" t="s">
        <v>81</v>
      </c>
    </row>
    <row r="33" ht="15.0" customHeight="1">
      <c r="A33" s="82" t="s">
        <v>7771</v>
      </c>
      <c r="B33" s="82" t="s">
        <v>52</v>
      </c>
      <c r="C33" s="82">
        <v>8.0</v>
      </c>
      <c r="D33" s="83" t="s">
        <v>9318</v>
      </c>
      <c r="E33" s="92">
        <f>8*2*28</f>
        <v>448</v>
      </c>
      <c r="F33" s="281" t="s">
        <v>515</v>
      </c>
    </row>
    <row r="34" ht="15.0" customHeight="1">
      <c r="A34" s="82" t="s">
        <v>8556</v>
      </c>
      <c r="B34" s="82" t="s">
        <v>52</v>
      </c>
      <c r="C34" s="82" t="s">
        <v>9221</v>
      </c>
      <c r="D34" s="83" t="s">
        <v>9333</v>
      </c>
      <c r="E34" s="92">
        <v>560.0</v>
      </c>
      <c r="F34" s="281" t="s">
        <v>528</v>
      </c>
    </row>
    <row r="35" ht="15.0" customHeight="1">
      <c r="A35" s="82" t="s">
        <v>533</v>
      </c>
      <c r="B35" s="82" t="s">
        <v>52</v>
      </c>
      <c r="C35" s="82">
        <v>10.0</v>
      </c>
      <c r="D35" s="83" t="s">
        <v>9319</v>
      </c>
      <c r="E35" s="92">
        <f>10*2*28</f>
        <v>560</v>
      </c>
      <c r="F35" s="281" t="s">
        <v>533</v>
      </c>
    </row>
    <row r="36" ht="15.0" customHeight="1">
      <c r="A36" s="82" t="s">
        <v>9223</v>
      </c>
      <c r="B36" s="82" t="s">
        <v>52</v>
      </c>
      <c r="C36" s="82">
        <v>15.5</v>
      </c>
      <c r="D36" s="83">
        <v>868.0</v>
      </c>
      <c r="E36" s="92">
        <v>868.0</v>
      </c>
      <c r="F36" s="281" t="s">
        <v>77</v>
      </c>
    </row>
    <row r="37" ht="15.0" customHeight="1">
      <c r="A37" s="82" t="s">
        <v>9224</v>
      </c>
      <c r="B37" s="82" t="s">
        <v>52</v>
      </c>
      <c r="C37" s="82">
        <v>13.0</v>
      </c>
      <c r="D37" s="83" t="s">
        <v>9324</v>
      </c>
      <c r="E37" s="92">
        <f>13*2*28</f>
        <v>728</v>
      </c>
      <c r="F37" s="281" t="s">
        <v>542</v>
      </c>
    </row>
    <row r="38" ht="15.0" customHeight="1">
      <c r="A38" s="82" t="s">
        <v>78</v>
      </c>
      <c r="B38" s="82" t="s">
        <v>52</v>
      </c>
      <c r="C38" s="148">
        <v>16.0</v>
      </c>
      <c r="D38" s="83">
        <f t="shared" ref="D38:E38" si="2">16*28*2</f>
        <v>896</v>
      </c>
      <c r="E38" s="92">
        <f t="shared" si="2"/>
        <v>896</v>
      </c>
      <c r="F38" s="281" t="s">
        <v>78</v>
      </c>
    </row>
    <row r="39" ht="15.0" customHeight="1">
      <c r="A39" s="82" t="s">
        <v>74</v>
      </c>
      <c r="B39" s="82" t="s">
        <v>1783</v>
      </c>
      <c r="C39" s="82">
        <v>10.0</v>
      </c>
      <c r="D39" s="83" t="s">
        <v>9334</v>
      </c>
      <c r="E39" s="92">
        <v>560.0</v>
      </c>
      <c r="F39" s="281" t="s">
        <v>74</v>
      </c>
    </row>
    <row r="40" ht="15.0" customHeight="1">
      <c r="A40" s="82" t="s">
        <v>9226</v>
      </c>
      <c r="B40" s="82" t="s">
        <v>52</v>
      </c>
      <c r="C40" s="82">
        <v>16.0</v>
      </c>
      <c r="D40" s="83" t="s">
        <v>9320</v>
      </c>
      <c r="E40" s="92">
        <v>896.0</v>
      </c>
      <c r="F40" s="281" t="s">
        <v>56</v>
      </c>
    </row>
    <row r="41" ht="15.0" customHeight="1">
      <c r="A41" s="82" t="s">
        <v>89</v>
      </c>
      <c r="B41" s="82" t="s">
        <v>52</v>
      </c>
      <c r="C41" s="82">
        <v>13.0</v>
      </c>
      <c r="D41" s="83" t="s">
        <v>9324</v>
      </c>
      <c r="E41" s="92">
        <f>13*2*28</f>
        <v>728</v>
      </c>
      <c r="F41" s="281" t="s">
        <v>89</v>
      </c>
    </row>
    <row r="42" ht="15.0" customHeight="1">
      <c r="A42" s="82" t="s">
        <v>8562</v>
      </c>
      <c r="B42" s="82" t="s">
        <v>52</v>
      </c>
      <c r="C42" s="82">
        <v>8.0</v>
      </c>
      <c r="D42" s="83" t="s">
        <v>9318</v>
      </c>
      <c r="E42" s="92">
        <v>448.0</v>
      </c>
      <c r="F42" s="281" t="s">
        <v>65</v>
      </c>
    </row>
    <row r="43" ht="15.0" customHeight="1">
      <c r="A43" s="82" t="s">
        <v>9228</v>
      </c>
      <c r="B43" s="82" t="s">
        <v>9335</v>
      </c>
      <c r="C43" s="82">
        <v>13.0</v>
      </c>
      <c r="D43" s="83" t="s">
        <v>9336</v>
      </c>
      <c r="E43" s="92">
        <v>728.0</v>
      </c>
      <c r="F43" s="281" t="s">
        <v>5258</v>
      </c>
    </row>
    <row r="44" ht="15.0" customHeight="1">
      <c r="A44" s="148" t="s">
        <v>8566</v>
      </c>
      <c r="B44" s="82" t="s">
        <v>94</v>
      </c>
      <c r="C44" s="82">
        <v>12.0</v>
      </c>
      <c r="D44" s="83" t="s">
        <v>9328</v>
      </c>
      <c r="E44" s="92">
        <f>12*28*2</f>
        <v>672</v>
      </c>
      <c r="F44" s="281" t="s">
        <v>5698</v>
      </c>
    </row>
    <row r="45" ht="15.0" customHeight="1">
      <c r="A45" s="82" t="s">
        <v>9242</v>
      </c>
      <c r="B45" s="82" t="s">
        <v>94</v>
      </c>
      <c r="C45" s="82" t="s">
        <v>9337</v>
      </c>
      <c r="D45" s="83">
        <v>672.0</v>
      </c>
      <c r="E45" s="92">
        <v>672.0</v>
      </c>
      <c r="F45" s="281" t="s">
        <v>8578</v>
      </c>
    </row>
    <row r="46" ht="15.0" customHeight="1">
      <c r="A46" s="82" t="s">
        <v>566</v>
      </c>
      <c r="B46" s="82" t="s">
        <v>182</v>
      </c>
      <c r="C46" s="82" t="s">
        <v>9338</v>
      </c>
      <c r="D46" s="83">
        <v>392.0</v>
      </c>
      <c r="E46" s="92">
        <v>392.0</v>
      </c>
      <c r="F46" s="281" t="s">
        <v>566</v>
      </c>
    </row>
    <row r="47" ht="15.0" customHeight="1">
      <c r="A47" s="82" t="s">
        <v>2704</v>
      </c>
      <c r="B47" s="82" t="s">
        <v>94</v>
      </c>
      <c r="C47" s="82" t="s">
        <v>9244</v>
      </c>
      <c r="D47" s="83">
        <v>12.0</v>
      </c>
      <c r="E47" s="92">
        <f>12*28*2</f>
        <v>672</v>
      </c>
      <c r="F47" s="281" t="s">
        <v>2704</v>
      </c>
    </row>
    <row r="48" ht="15.0" customHeight="1">
      <c r="A48" s="82" t="s">
        <v>7901</v>
      </c>
      <c r="B48" s="82" t="s">
        <v>94</v>
      </c>
      <c r="C48" s="82" t="s">
        <v>9339</v>
      </c>
      <c r="D48" s="83" t="s">
        <v>9326</v>
      </c>
      <c r="E48" s="92">
        <f>7*2*28</f>
        <v>392</v>
      </c>
      <c r="F48" s="281" t="s">
        <v>590</v>
      </c>
    </row>
    <row r="49" ht="15.0" customHeight="1">
      <c r="A49" s="148" t="s">
        <v>9082</v>
      </c>
      <c r="B49" s="82" t="s">
        <v>94</v>
      </c>
      <c r="C49" s="82" t="s">
        <v>9246</v>
      </c>
      <c r="D49" s="83" t="s">
        <v>9340</v>
      </c>
      <c r="E49" s="92">
        <f>12*28*2</f>
        <v>672</v>
      </c>
      <c r="F49" s="281" t="s">
        <v>616</v>
      </c>
    </row>
    <row r="50" ht="15.0" customHeight="1">
      <c r="A50" s="82" t="s">
        <v>2853</v>
      </c>
      <c r="B50" s="82" t="s">
        <v>94</v>
      </c>
      <c r="C50" s="82">
        <v>9.0</v>
      </c>
      <c r="D50" s="83" t="s">
        <v>9341</v>
      </c>
      <c r="E50" s="92">
        <v>504.0</v>
      </c>
      <c r="F50" s="281" t="s">
        <v>2853</v>
      </c>
    </row>
    <row r="51" ht="15.0" customHeight="1">
      <c r="A51" s="82" t="s">
        <v>626</v>
      </c>
      <c r="B51" s="82" t="s">
        <v>94</v>
      </c>
      <c r="C51" s="82" t="s">
        <v>9339</v>
      </c>
      <c r="D51" s="83" t="s">
        <v>9318</v>
      </c>
      <c r="E51" s="92">
        <f>8*2*28</f>
        <v>448</v>
      </c>
      <c r="F51" s="281" t="s">
        <v>626</v>
      </c>
    </row>
    <row r="52" ht="15.0" customHeight="1">
      <c r="A52" s="82" t="s">
        <v>9249</v>
      </c>
      <c r="B52" s="82" t="s">
        <v>5327</v>
      </c>
      <c r="C52" s="82">
        <v>16.0</v>
      </c>
      <c r="D52" s="83">
        <f t="shared" ref="D52:E52" si="3">16*2*28</f>
        <v>896</v>
      </c>
      <c r="E52" s="92">
        <f t="shared" si="3"/>
        <v>896</v>
      </c>
      <c r="F52" s="281" t="s">
        <v>5331</v>
      </c>
    </row>
    <row r="53" ht="15.0" customHeight="1">
      <c r="A53" s="82" t="s">
        <v>9011</v>
      </c>
      <c r="B53" s="82" t="s">
        <v>94</v>
      </c>
      <c r="C53" s="82">
        <v>9.0</v>
      </c>
      <c r="D53" s="83">
        <v>504.0</v>
      </c>
      <c r="E53" s="92">
        <v>504.0</v>
      </c>
      <c r="F53" s="281" t="s">
        <v>646</v>
      </c>
    </row>
    <row r="54" ht="15.0" customHeight="1">
      <c r="A54" s="82" t="s">
        <v>655</v>
      </c>
      <c r="B54" s="82" t="s">
        <v>94</v>
      </c>
      <c r="C54" s="82">
        <v>9.0</v>
      </c>
      <c r="D54" s="83" t="s">
        <v>9341</v>
      </c>
      <c r="E54" s="92">
        <v>504.0</v>
      </c>
      <c r="F54" s="281" t="s">
        <v>655</v>
      </c>
    </row>
    <row r="55" ht="15.0" customHeight="1">
      <c r="A55" s="82" t="s">
        <v>5777</v>
      </c>
      <c r="B55" s="82" t="s">
        <v>94</v>
      </c>
      <c r="C55" s="82" t="s">
        <v>9339</v>
      </c>
      <c r="D55" s="83" t="s">
        <v>9342</v>
      </c>
      <c r="E55" s="92">
        <v>672.0</v>
      </c>
      <c r="F55" s="281" t="s">
        <v>3008</v>
      </c>
    </row>
    <row r="56" ht="15.0" customHeight="1">
      <c r="A56" s="82" t="s">
        <v>8632</v>
      </c>
      <c r="B56" s="82" t="s">
        <v>94</v>
      </c>
      <c r="C56" s="82" t="s">
        <v>9254</v>
      </c>
      <c r="D56" s="83">
        <v>756.0</v>
      </c>
      <c r="E56" s="92">
        <v>756.0</v>
      </c>
      <c r="F56" s="281" t="s">
        <v>8632</v>
      </c>
    </row>
    <row r="57" ht="15.0" customHeight="1">
      <c r="A57" s="82" t="s">
        <v>9255</v>
      </c>
      <c r="B57" s="82" t="s">
        <v>94</v>
      </c>
      <c r="C57" s="82">
        <v>7.25</v>
      </c>
      <c r="D57" s="83">
        <v>406.0</v>
      </c>
      <c r="E57" s="92">
        <v>406.0</v>
      </c>
      <c r="F57" s="281" t="s">
        <v>3018</v>
      </c>
    </row>
    <row r="58" ht="15.0" customHeight="1">
      <c r="A58" s="82" t="s">
        <v>5706</v>
      </c>
      <c r="B58" s="82" t="s">
        <v>94</v>
      </c>
      <c r="C58" s="82">
        <v>10.0</v>
      </c>
      <c r="D58" s="83" t="s">
        <v>9343</v>
      </c>
      <c r="E58" s="92">
        <f>280*2</f>
        <v>560</v>
      </c>
      <c r="F58" s="281" t="s">
        <v>5709</v>
      </c>
    </row>
    <row r="59" ht="15.0" customHeight="1">
      <c r="A59" s="148" t="s">
        <v>3050</v>
      </c>
      <c r="B59" s="148" t="s">
        <v>94</v>
      </c>
      <c r="C59" s="148">
        <v>10.0</v>
      </c>
      <c r="D59" s="191">
        <v>560.0</v>
      </c>
      <c r="E59" s="162">
        <v>560.0</v>
      </c>
      <c r="F59" s="281" t="s">
        <v>3050</v>
      </c>
    </row>
    <row r="60" ht="15.0" customHeight="1">
      <c r="A60" s="82" t="s">
        <v>7972</v>
      </c>
      <c r="B60" s="82" t="s">
        <v>94</v>
      </c>
      <c r="C60" s="82">
        <v>10.5</v>
      </c>
      <c r="D60" s="83">
        <v>588.0</v>
      </c>
      <c r="E60" s="92">
        <v>588.0</v>
      </c>
      <c r="F60" s="281" t="s">
        <v>5354</v>
      </c>
    </row>
    <row r="61" ht="15.0" customHeight="1">
      <c r="A61" s="82" t="s">
        <v>8639</v>
      </c>
      <c r="B61" s="82" t="s">
        <v>94</v>
      </c>
      <c r="C61" s="82">
        <v>10.0</v>
      </c>
      <c r="D61" s="83">
        <f>C61*2*28</f>
        <v>560</v>
      </c>
      <c r="E61" s="92">
        <f t="shared" ref="E61:E62" si="4">D61</f>
        <v>560</v>
      </c>
      <c r="F61" s="281" t="s">
        <v>3078</v>
      </c>
    </row>
    <row r="62" ht="15.0" customHeight="1">
      <c r="A62" s="82" t="s">
        <v>9256</v>
      </c>
      <c r="B62" s="82" t="s">
        <v>94</v>
      </c>
      <c r="C62" s="82">
        <v>13.0</v>
      </c>
      <c r="D62" s="83">
        <f>13*2*28</f>
        <v>728</v>
      </c>
      <c r="E62" s="92">
        <f t="shared" si="4"/>
        <v>728</v>
      </c>
      <c r="F62" s="281" t="s">
        <v>661</v>
      </c>
    </row>
    <row r="63" ht="15.0" customHeight="1">
      <c r="A63" s="82" t="s">
        <v>671</v>
      </c>
      <c r="B63" s="82" t="s">
        <v>182</v>
      </c>
      <c r="C63" s="82" t="s">
        <v>9257</v>
      </c>
      <c r="D63" s="83" t="s">
        <v>9344</v>
      </c>
      <c r="E63" s="92">
        <f>336*2</f>
        <v>672</v>
      </c>
      <c r="F63" s="281" t="s">
        <v>671</v>
      </c>
    </row>
    <row r="64" ht="15.0" customHeight="1">
      <c r="A64" s="82" t="s">
        <v>1205</v>
      </c>
      <c r="B64" s="82" t="s">
        <v>94</v>
      </c>
      <c r="C64" s="82">
        <v>8.0</v>
      </c>
      <c r="D64" s="83">
        <f>2*28*8</f>
        <v>448</v>
      </c>
      <c r="E64" s="92">
        <f>D64</f>
        <v>448</v>
      </c>
      <c r="F64" s="281" t="s">
        <v>681</v>
      </c>
    </row>
    <row r="65" ht="15.0" customHeight="1">
      <c r="A65" s="82" t="s">
        <v>9258</v>
      </c>
      <c r="B65" s="82" t="s">
        <v>94</v>
      </c>
      <c r="C65" s="82">
        <v>12.25</v>
      </c>
      <c r="D65" s="83">
        <v>686.0</v>
      </c>
      <c r="E65" s="92">
        <v>686.0</v>
      </c>
      <c r="F65" s="281" t="s">
        <v>3198</v>
      </c>
    </row>
    <row r="66" ht="15.0" customHeight="1">
      <c r="A66" s="82" t="s">
        <v>3203</v>
      </c>
      <c r="B66" s="82" t="s">
        <v>94</v>
      </c>
      <c r="C66" s="82" t="s">
        <v>9259</v>
      </c>
      <c r="D66" s="83">
        <f>11*2*28</f>
        <v>616</v>
      </c>
      <c r="E66" s="92">
        <f>D66</f>
        <v>616</v>
      </c>
      <c r="F66" s="281" t="s">
        <v>3203</v>
      </c>
    </row>
    <row r="67" ht="15.0" customHeight="1">
      <c r="A67" s="82" t="s">
        <v>8962</v>
      </c>
      <c r="B67" s="82" t="s">
        <v>94</v>
      </c>
      <c r="C67" s="82" t="s">
        <v>9345</v>
      </c>
      <c r="D67" s="83">
        <v>672.0</v>
      </c>
      <c r="E67" s="92">
        <v>672.0</v>
      </c>
      <c r="F67" s="281" t="s">
        <v>8962</v>
      </c>
    </row>
    <row r="68" ht="15.0" customHeight="1">
      <c r="A68" s="82" t="s">
        <v>8671</v>
      </c>
      <c r="B68" s="82" t="s">
        <v>94</v>
      </c>
      <c r="C68" s="82">
        <v>7.0</v>
      </c>
      <c r="D68" s="83">
        <v>392.0</v>
      </c>
      <c r="E68" s="92">
        <v>392.0</v>
      </c>
      <c r="F68" s="281" t="s">
        <v>689</v>
      </c>
    </row>
    <row r="69" ht="15.0" customHeight="1">
      <c r="A69" s="82" t="s">
        <v>3249</v>
      </c>
      <c r="B69" s="82" t="s">
        <v>94</v>
      </c>
      <c r="C69" s="82">
        <v>7.0</v>
      </c>
      <c r="D69" s="83">
        <v>196.0</v>
      </c>
      <c r="E69" s="92">
        <v>392.0</v>
      </c>
      <c r="F69" s="281" t="s">
        <v>3249</v>
      </c>
    </row>
    <row r="70" ht="15.0" customHeight="1">
      <c r="A70" s="82" t="s">
        <v>852</v>
      </c>
      <c r="B70" s="82" t="s">
        <v>94</v>
      </c>
      <c r="C70" s="82" t="s">
        <v>9262</v>
      </c>
      <c r="D70" s="83">
        <f t="shared" ref="D70:D71" si="5">2*2*28</f>
        <v>112</v>
      </c>
      <c r="E70" s="92">
        <f>D70</f>
        <v>112</v>
      </c>
      <c r="F70" s="281" t="s">
        <v>852</v>
      </c>
    </row>
    <row r="71" ht="15.0" customHeight="1">
      <c r="A71" s="82" t="s">
        <v>852</v>
      </c>
      <c r="B71" s="82" t="s">
        <v>94</v>
      </c>
      <c r="C71" s="82" t="s">
        <v>9263</v>
      </c>
      <c r="D71" s="83">
        <f t="shared" si="5"/>
        <v>112</v>
      </c>
      <c r="E71" s="92"/>
      <c r="F71" s="281" t="s">
        <v>852</v>
      </c>
      <c r="G71" s="3"/>
      <c r="H71" s="3"/>
      <c r="I71" s="3"/>
      <c r="J71" s="3"/>
      <c r="K71" s="3"/>
      <c r="L71" s="3"/>
      <c r="M71" s="3"/>
      <c r="N71" s="3"/>
      <c r="O71" s="3"/>
      <c r="P71" s="3"/>
      <c r="Q71" s="3"/>
      <c r="R71" s="3"/>
      <c r="S71" s="3"/>
      <c r="T71" s="3"/>
      <c r="U71" s="3"/>
      <c r="V71" s="3"/>
      <c r="W71" s="3"/>
      <c r="X71" s="3"/>
      <c r="Y71" s="3"/>
      <c r="Z71" s="3"/>
    </row>
    <row r="72" ht="15.0" customHeight="1">
      <c r="A72" s="82" t="s">
        <v>852</v>
      </c>
      <c r="B72" s="82" t="s">
        <v>94</v>
      </c>
      <c r="C72" s="82" t="s">
        <v>9264</v>
      </c>
      <c r="D72" s="83">
        <f>2.5*2*28</f>
        <v>140</v>
      </c>
      <c r="E72" s="92">
        <f t="shared" ref="E72:E75" si="6">D72</f>
        <v>140</v>
      </c>
      <c r="F72" s="281" t="s">
        <v>852</v>
      </c>
    </row>
    <row r="73" ht="15.0" customHeight="1">
      <c r="A73" s="82" t="s">
        <v>852</v>
      </c>
      <c r="B73" s="82" t="s">
        <v>94</v>
      </c>
      <c r="C73" s="82" t="s">
        <v>9265</v>
      </c>
      <c r="D73" s="83">
        <f>0.75*2*28</f>
        <v>42</v>
      </c>
      <c r="E73" s="92">
        <f t="shared" si="6"/>
        <v>42</v>
      </c>
      <c r="F73" s="281" t="s">
        <v>852</v>
      </c>
    </row>
    <row r="74" ht="15.0" customHeight="1">
      <c r="A74" s="82" t="s">
        <v>852</v>
      </c>
      <c r="B74" s="82" t="s">
        <v>94</v>
      </c>
      <c r="C74" s="82" t="s">
        <v>9266</v>
      </c>
      <c r="D74" s="83">
        <f>1.25*2*28</f>
        <v>70</v>
      </c>
      <c r="E74" s="92">
        <f t="shared" si="6"/>
        <v>70</v>
      </c>
      <c r="F74" s="281" t="s">
        <v>852</v>
      </c>
    </row>
    <row r="75" ht="15.0" customHeight="1">
      <c r="A75" s="82" t="s">
        <v>852</v>
      </c>
      <c r="B75" s="82" t="s">
        <v>94</v>
      </c>
      <c r="C75" s="82" t="s">
        <v>9267</v>
      </c>
      <c r="D75" s="83">
        <f>2.5*2*28</f>
        <v>140</v>
      </c>
      <c r="E75" s="92">
        <f t="shared" si="6"/>
        <v>140</v>
      </c>
      <c r="F75" s="281" t="s">
        <v>852</v>
      </c>
    </row>
    <row r="76" ht="15.0" customHeight="1">
      <c r="A76" s="82" t="s">
        <v>861</v>
      </c>
      <c r="B76" s="82" t="s">
        <v>94</v>
      </c>
      <c r="C76" s="82" t="s">
        <v>9268</v>
      </c>
      <c r="D76" s="83">
        <v>56.0</v>
      </c>
      <c r="E76" s="92">
        <v>56.0</v>
      </c>
      <c r="F76" s="281" t="s">
        <v>861</v>
      </c>
    </row>
    <row r="77" ht="15.0" customHeight="1">
      <c r="A77" s="82" t="s">
        <v>861</v>
      </c>
      <c r="B77" s="82" t="s">
        <v>94</v>
      </c>
      <c r="C77" s="82" t="s">
        <v>9269</v>
      </c>
      <c r="D77" s="83">
        <v>28.0</v>
      </c>
      <c r="E77" s="92">
        <v>28.0</v>
      </c>
      <c r="F77" s="281" t="s">
        <v>861</v>
      </c>
    </row>
    <row r="78" ht="15.0" customHeight="1">
      <c r="A78" s="82" t="s">
        <v>861</v>
      </c>
      <c r="B78" s="82" t="s">
        <v>94</v>
      </c>
      <c r="C78" s="82" t="s">
        <v>9269</v>
      </c>
      <c r="D78" s="83">
        <v>28.0</v>
      </c>
      <c r="E78" s="92">
        <v>28.0</v>
      </c>
      <c r="F78" s="281" t="s">
        <v>861</v>
      </c>
    </row>
    <row r="79" ht="15.0" customHeight="1">
      <c r="A79" s="82" t="s">
        <v>861</v>
      </c>
      <c r="B79" s="82" t="s">
        <v>94</v>
      </c>
      <c r="C79" s="82" t="s">
        <v>9346</v>
      </c>
      <c r="D79" s="83">
        <v>56.0</v>
      </c>
      <c r="E79" s="92">
        <v>56.0</v>
      </c>
      <c r="F79" s="281" t="s">
        <v>861</v>
      </c>
    </row>
    <row r="80" ht="15.0" customHeight="1">
      <c r="A80" s="82" t="s">
        <v>861</v>
      </c>
      <c r="B80" s="82" t="s">
        <v>94</v>
      </c>
      <c r="C80" s="82" t="s">
        <v>9271</v>
      </c>
      <c r="D80" s="83">
        <v>112.0</v>
      </c>
      <c r="E80" s="92">
        <v>112.0</v>
      </c>
      <c r="F80" s="281" t="s">
        <v>861</v>
      </c>
    </row>
    <row r="81" ht="15.0" customHeight="1">
      <c r="A81" s="352" t="s">
        <v>861</v>
      </c>
      <c r="B81" s="352" t="s">
        <v>94</v>
      </c>
      <c r="C81" s="352" t="s">
        <v>9272</v>
      </c>
      <c r="D81" s="489">
        <v>56.0</v>
      </c>
      <c r="E81" s="92">
        <v>56.0</v>
      </c>
      <c r="F81" s="281" t="s">
        <v>861</v>
      </c>
    </row>
    <row r="82" ht="15.0" customHeight="1">
      <c r="A82" s="82" t="s">
        <v>861</v>
      </c>
      <c r="B82" s="82" t="s">
        <v>94</v>
      </c>
      <c r="C82" s="288" t="s">
        <v>9273</v>
      </c>
      <c r="D82" s="83">
        <v>112.0</v>
      </c>
      <c r="E82" s="92">
        <v>112.0</v>
      </c>
      <c r="F82" s="281" t="s">
        <v>861</v>
      </c>
    </row>
    <row r="83" ht="15.0" customHeight="1">
      <c r="A83" s="82" t="s">
        <v>861</v>
      </c>
      <c r="B83" s="82" t="s">
        <v>94</v>
      </c>
      <c r="C83" s="82" t="s">
        <v>9274</v>
      </c>
      <c r="D83" s="83">
        <v>56.0</v>
      </c>
      <c r="E83" s="92">
        <v>56.0</v>
      </c>
      <c r="F83" s="281" t="s">
        <v>861</v>
      </c>
    </row>
    <row r="84" ht="15.0" customHeight="1">
      <c r="A84" s="82" t="s">
        <v>861</v>
      </c>
      <c r="B84" s="82" t="s">
        <v>94</v>
      </c>
      <c r="C84" s="82" t="s">
        <v>9275</v>
      </c>
      <c r="D84" s="83">
        <v>112.0</v>
      </c>
      <c r="E84" s="92">
        <v>112.0</v>
      </c>
      <c r="F84" s="281" t="s">
        <v>861</v>
      </c>
    </row>
    <row r="85" ht="15.0" customHeight="1">
      <c r="A85" s="82" t="s">
        <v>861</v>
      </c>
      <c r="B85" s="82" t="s">
        <v>94</v>
      </c>
      <c r="C85" s="82" t="s">
        <v>9276</v>
      </c>
      <c r="D85" s="83">
        <v>56.0</v>
      </c>
      <c r="E85" s="92">
        <v>56.0</v>
      </c>
      <c r="F85" s="281" t="s">
        <v>861</v>
      </c>
    </row>
    <row r="86" ht="15.0" customHeight="1">
      <c r="A86" s="82" t="s">
        <v>870</v>
      </c>
      <c r="B86" s="82" t="s">
        <v>182</v>
      </c>
      <c r="C86" s="82">
        <v>10.0</v>
      </c>
      <c r="D86" s="83">
        <f>C86*2*28</f>
        <v>560</v>
      </c>
      <c r="E86" s="92">
        <f>D86</f>
        <v>560</v>
      </c>
      <c r="F86" s="281" t="s">
        <v>870</v>
      </c>
    </row>
    <row r="87" ht="15.0" customHeight="1">
      <c r="A87" s="82" t="s">
        <v>9347</v>
      </c>
      <c r="B87" s="82" t="s">
        <v>94</v>
      </c>
      <c r="C87" s="82">
        <v>12.0</v>
      </c>
      <c r="D87" s="83">
        <v>672.0</v>
      </c>
      <c r="E87" s="92">
        <v>672.0</v>
      </c>
      <c r="F87" s="281" t="s">
        <v>880</v>
      </c>
    </row>
    <row r="88" ht="15.0" customHeight="1">
      <c r="A88" s="82" t="s">
        <v>8069</v>
      </c>
      <c r="B88" s="82" t="s">
        <v>94</v>
      </c>
      <c r="C88" s="82">
        <v>7.0</v>
      </c>
      <c r="D88" s="83">
        <f>7*2*28</f>
        <v>392</v>
      </c>
      <c r="E88" s="92">
        <v>392.0</v>
      </c>
      <c r="F88" s="281" t="s">
        <v>907</v>
      </c>
    </row>
    <row r="89" ht="15.0" customHeight="1">
      <c r="A89" s="82" t="s">
        <v>8090</v>
      </c>
      <c r="B89" s="82" t="s">
        <v>94</v>
      </c>
      <c r="C89" s="82">
        <v>12.0</v>
      </c>
      <c r="D89" s="83">
        <f>12*2*28</f>
        <v>672</v>
      </c>
      <c r="E89" s="92">
        <v>672.0</v>
      </c>
      <c r="F89" s="281" t="s">
        <v>8094</v>
      </c>
    </row>
    <row r="90" ht="15.0" customHeight="1">
      <c r="A90" s="82" t="s">
        <v>954</v>
      </c>
      <c r="B90" s="82" t="s">
        <v>94</v>
      </c>
      <c r="C90" s="82">
        <v>10.0</v>
      </c>
      <c r="D90" s="83">
        <f>10*2*28</f>
        <v>560</v>
      </c>
      <c r="E90" s="92">
        <f>D90</f>
        <v>560</v>
      </c>
      <c r="F90" s="281" t="s">
        <v>954</v>
      </c>
    </row>
    <row r="91" ht="15.0" customHeight="1">
      <c r="A91" s="164" t="s">
        <v>9139</v>
      </c>
      <c r="B91" s="164" t="s">
        <v>182</v>
      </c>
      <c r="C91" s="164" t="s">
        <v>9278</v>
      </c>
      <c r="D91" s="168" t="s">
        <v>9348</v>
      </c>
      <c r="E91" s="404">
        <v>560.0</v>
      </c>
      <c r="F91" s="281" t="s">
        <v>5513</v>
      </c>
    </row>
    <row r="92" ht="15.0" customHeight="1">
      <c r="A92" s="82" t="s">
        <v>9280</v>
      </c>
      <c r="B92" s="82" t="s">
        <v>94</v>
      </c>
      <c r="C92" s="82">
        <v>12.0</v>
      </c>
      <c r="D92" s="83">
        <v>672.0</v>
      </c>
      <c r="E92" s="92">
        <v>672.0</v>
      </c>
      <c r="F92" s="281" t="s">
        <v>9280</v>
      </c>
    </row>
    <row r="93" ht="15.0" customHeight="1">
      <c r="A93" s="148" t="s">
        <v>4024</v>
      </c>
      <c r="B93" s="148" t="s">
        <v>94</v>
      </c>
      <c r="C93" s="148" t="s">
        <v>9281</v>
      </c>
      <c r="D93" s="191" t="s">
        <v>9349</v>
      </c>
      <c r="E93" s="162">
        <v>504.0</v>
      </c>
      <c r="F93" s="281" t="s">
        <v>4024</v>
      </c>
    </row>
    <row r="94" ht="15.0" customHeight="1">
      <c r="A94" s="82" t="s">
        <v>8128</v>
      </c>
      <c r="B94" s="82" t="s">
        <v>94</v>
      </c>
      <c r="C94" s="82">
        <v>12.0</v>
      </c>
      <c r="D94" s="83">
        <v>12.0</v>
      </c>
      <c r="E94" s="92">
        <f>D94*2*28</f>
        <v>672</v>
      </c>
      <c r="F94" s="281" t="s">
        <v>4028</v>
      </c>
    </row>
    <row r="95" ht="15.0" customHeight="1">
      <c r="A95" s="82" t="s">
        <v>8731</v>
      </c>
      <c r="B95" s="82" t="s">
        <v>94</v>
      </c>
      <c r="C95" s="82">
        <v>13.0</v>
      </c>
      <c r="D95" s="83">
        <v>728.0</v>
      </c>
      <c r="E95" s="92">
        <v>728.0</v>
      </c>
      <c r="F95" s="281" t="s">
        <v>4076</v>
      </c>
    </row>
    <row r="96" ht="15.0" customHeight="1">
      <c r="A96" s="82" t="s">
        <v>9283</v>
      </c>
      <c r="B96" s="82" t="s">
        <v>94</v>
      </c>
      <c r="C96" s="490">
        <v>7.0</v>
      </c>
      <c r="D96" s="83">
        <f>C96*2*28</f>
        <v>392</v>
      </c>
      <c r="E96" s="491">
        <f>D96</f>
        <v>392</v>
      </c>
      <c r="F96" s="281" t="s">
        <v>4078</v>
      </c>
    </row>
    <row r="97" ht="15.0" customHeight="1">
      <c r="A97" s="82" t="s">
        <v>8161</v>
      </c>
      <c r="B97" s="82" t="s">
        <v>9335</v>
      </c>
      <c r="C97" s="82">
        <v>12.0</v>
      </c>
      <c r="D97" s="83" t="s">
        <v>9328</v>
      </c>
      <c r="E97" s="92">
        <v>672.0</v>
      </c>
      <c r="F97" s="281" t="s">
        <v>5570</v>
      </c>
    </row>
    <row r="98" ht="15.0" customHeight="1">
      <c r="A98" s="82" t="s">
        <v>9284</v>
      </c>
      <c r="B98" s="82" t="s">
        <v>957</v>
      </c>
      <c r="C98" s="82">
        <v>10.0</v>
      </c>
      <c r="D98" s="83" t="s">
        <v>9350</v>
      </c>
      <c r="E98" s="92">
        <f>10*2*28</f>
        <v>560</v>
      </c>
      <c r="F98" s="281" t="s">
        <v>964</v>
      </c>
    </row>
    <row r="99" ht="15.0" customHeight="1">
      <c r="A99" s="82" t="s">
        <v>971</v>
      </c>
      <c r="B99" s="82" t="s">
        <v>182</v>
      </c>
      <c r="C99" s="82" t="s">
        <v>9286</v>
      </c>
      <c r="D99" s="83" t="s">
        <v>9351</v>
      </c>
      <c r="E99" s="92">
        <v>392.0</v>
      </c>
      <c r="F99" s="281" t="s">
        <v>971</v>
      </c>
    </row>
    <row r="100" ht="15.0" customHeight="1">
      <c r="A100" s="288" t="s">
        <v>8241</v>
      </c>
      <c r="B100" s="492" t="s">
        <v>94</v>
      </c>
      <c r="C100" s="82">
        <v>12.25</v>
      </c>
      <c r="D100" s="83">
        <v>686.0</v>
      </c>
      <c r="E100" s="92">
        <v>686.0</v>
      </c>
      <c r="F100" s="281" t="s">
        <v>1047</v>
      </c>
    </row>
    <row r="101" ht="15.0" customHeight="1">
      <c r="A101" s="82" t="s">
        <v>9029</v>
      </c>
      <c r="B101" s="148" t="s">
        <v>94</v>
      </c>
      <c r="C101" s="82" t="s">
        <v>9352</v>
      </c>
      <c r="D101" s="83">
        <f>8*2*28</f>
        <v>448</v>
      </c>
      <c r="E101" s="92">
        <f t="shared" ref="E101:E102" si="7">D101</f>
        <v>448</v>
      </c>
      <c r="F101" s="281" t="s">
        <v>4343</v>
      </c>
    </row>
    <row r="102" ht="15.0" customHeight="1">
      <c r="A102" s="82" t="s">
        <v>9289</v>
      </c>
      <c r="B102" s="82" t="s">
        <v>94</v>
      </c>
      <c r="C102" s="82">
        <v>13.0</v>
      </c>
      <c r="D102" s="83">
        <f>C102*2*28</f>
        <v>728</v>
      </c>
      <c r="E102" s="92">
        <f t="shared" si="7"/>
        <v>728</v>
      </c>
      <c r="F102" s="281" t="s">
        <v>5745</v>
      </c>
    </row>
    <row r="103" ht="15.0" customHeight="1">
      <c r="A103" s="82" t="s">
        <v>9290</v>
      </c>
      <c r="B103" s="82" t="s">
        <v>182</v>
      </c>
      <c r="C103" s="82" t="s">
        <v>9291</v>
      </c>
      <c r="D103" s="83">
        <v>12.0</v>
      </c>
      <c r="E103" s="92">
        <f>D103*2*28</f>
        <v>672</v>
      </c>
      <c r="F103" s="281" t="s">
        <v>4352</v>
      </c>
    </row>
    <row r="104" ht="15.0" customHeight="1">
      <c r="A104" s="82" t="s">
        <v>8968</v>
      </c>
      <c r="B104" s="82" t="s">
        <v>147</v>
      </c>
      <c r="C104" s="82">
        <v>7.0</v>
      </c>
      <c r="D104" s="83">
        <v>392.0</v>
      </c>
      <c r="E104" s="274">
        <v>392.0</v>
      </c>
      <c r="F104" s="282" t="s">
        <v>153</v>
      </c>
    </row>
    <row r="105" ht="15.0" customHeight="1">
      <c r="A105" s="82" t="s">
        <v>155</v>
      </c>
      <c r="B105" s="82" t="s">
        <v>147</v>
      </c>
      <c r="C105" s="82">
        <v>16.0</v>
      </c>
      <c r="D105" s="83">
        <v>896.0</v>
      </c>
      <c r="E105" s="274">
        <v>896.0</v>
      </c>
      <c r="F105" s="282" t="s">
        <v>155</v>
      </c>
    </row>
    <row r="106" ht="15.0" customHeight="1">
      <c r="A106" s="82" t="s">
        <v>154</v>
      </c>
      <c r="B106" s="82" t="s">
        <v>147</v>
      </c>
      <c r="C106" s="82">
        <v>8.0</v>
      </c>
      <c r="D106" s="83">
        <v>448.0</v>
      </c>
      <c r="E106" s="274">
        <v>448.0</v>
      </c>
      <c r="F106" s="282" t="s">
        <v>154</v>
      </c>
    </row>
    <row r="107" ht="15.0" customHeight="1">
      <c r="A107" s="82" t="s">
        <v>9292</v>
      </c>
      <c r="B107" s="82" t="s">
        <v>147</v>
      </c>
      <c r="C107" s="82">
        <v>7.0</v>
      </c>
      <c r="D107" s="83" t="s">
        <v>9326</v>
      </c>
      <c r="E107" s="274">
        <v>392.0</v>
      </c>
      <c r="F107" s="282" t="s">
        <v>149</v>
      </c>
    </row>
    <row r="108" ht="15.0" customHeight="1">
      <c r="A108" s="82" t="s">
        <v>8317</v>
      </c>
      <c r="B108" s="82" t="s">
        <v>147</v>
      </c>
      <c r="C108" s="82">
        <v>9.0</v>
      </c>
      <c r="D108" s="83" t="s">
        <v>9353</v>
      </c>
      <c r="E108" s="274">
        <v>504.0</v>
      </c>
      <c r="F108" s="282" t="s">
        <v>150</v>
      </c>
    </row>
    <row r="109" ht="15.0" customHeight="1">
      <c r="A109" s="82" t="s">
        <v>9039</v>
      </c>
      <c r="B109" s="82" t="s">
        <v>147</v>
      </c>
      <c r="C109" s="82">
        <v>7.0</v>
      </c>
      <c r="D109" s="83">
        <v>392.0</v>
      </c>
      <c r="E109" s="274">
        <v>392.0</v>
      </c>
      <c r="F109" s="282" t="s">
        <v>4738</v>
      </c>
    </row>
    <row r="110" ht="15.0" customHeight="1">
      <c r="A110" s="82" t="s">
        <v>9294</v>
      </c>
      <c r="B110" s="82" t="s">
        <v>147</v>
      </c>
      <c r="C110" s="82">
        <v>10.0</v>
      </c>
      <c r="D110" s="83">
        <v>560.0</v>
      </c>
      <c r="E110" s="274">
        <v>560.0</v>
      </c>
      <c r="F110" s="282" t="s">
        <v>156</v>
      </c>
    </row>
    <row r="111" ht="15.0" customHeight="1">
      <c r="A111" s="82" t="s">
        <v>9041</v>
      </c>
      <c r="B111" s="82" t="s">
        <v>147</v>
      </c>
      <c r="C111" s="82">
        <v>10.0</v>
      </c>
      <c r="D111" s="83">
        <v>560.0</v>
      </c>
      <c r="E111" s="274">
        <v>560.0</v>
      </c>
      <c r="F111" s="282" t="s">
        <v>4845</v>
      </c>
    </row>
    <row r="112" ht="15.0" customHeight="1">
      <c r="A112" s="82" t="s">
        <v>8328</v>
      </c>
      <c r="B112" s="82" t="s">
        <v>147</v>
      </c>
      <c r="C112" s="82">
        <v>10.0</v>
      </c>
      <c r="D112" s="83">
        <v>560.0</v>
      </c>
      <c r="E112" s="274">
        <v>560.0</v>
      </c>
      <c r="F112" s="282" t="s">
        <v>158</v>
      </c>
    </row>
    <row r="113" ht="15.0" customHeight="1">
      <c r="A113" s="82" t="s">
        <v>1144</v>
      </c>
      <c r="B113" s="82" t="s">
        <v>147</v>
      </c>
      <c r="C113" s="82" t="s">
        <v>9295</v>
      </c>
      <c r="D113" s="83">
        <v>448.0</v>
      </c>
      <c r="E113" s="274">
        <v>448.0</v>
      </c>
      <c r="F113" s="282" t="s">
        <v>159</v>
      </c>
    </row>
    <row r="114" ht="15.0" customHeight="1">
      <c r="A114" s="82" t="s">
        <v>8360</v>
      </c>
      <c r="B114" s="82" t="s">
        <v>147</v>
      </c>
      <c r="C114" s="82" t="s">
        <v>9296</v>
      </c>
      <c r="D114" s="83" t="s">
        <v>9354</v>
      </c>
      <c r="E114" s="274">
        <v>448.0</v>
      </c>
      <c r="F114" s="282" t="s">
        <v>161</v>
      </c>
    </row>
    <row r="115" ht="15.0" customHeight="1">
      <c r="A115" s="82" t="s">
        <v>8879</v>
      </c>
      <c r="B115" s="82" t="s">
        <v>147</v>
      </c>
      <c r="C115" s="82">
        <v>12.0</v>
      </c>
      <c r="D115" s="83">
        <v>672.0</v>
      </c>
      <c r="E115" s="274">
        <v>672.0</v>
      </c>
      <c r="F115" s="282" t="s">
        <v>162</v>
      </c>
    </row>
    <row r="116" ht="15.0" customHeight="1">
      <c r="A116" s="82" t="s">
        <v>9298</v>
      </c>
      <c r="B116" s="82" t="s">
        <v>147</v>
      </c>
      <c r="C116" s="82">
        <v>16.0</v>
      </c>
      <c r="D116" s="83" t="s">
        <v>9355</v>
      </c>
      <c r="E116" s="274">
        <v>896.0</v>
      </c>
      <c r="F116" s="282" t="s">
        <v>164</v>
      </c>
    </row>
    <row r="117" ht="15.0" customHeight="1">
      <c r="A117" s="82" t="s">
        <v>9356</v>
      </c>
      <c r="B117" s="82" t="s">
        <v>147</v>
      </c>
      <c r="C117" s="82">
        <v>10.0</v>
      </c>
      <c r="D117" s="83">
        <v>56.0</v>
      </c>
      <c r="E117" s="274">
        <v>560.0</v>
      </c>
      <c r="F117" s="282" t="s">
        <v>165</v>
      </c>
    </row>
    <row r="118" ht="15.0" customHeight="1">
      <c r="A118" s="82" t="s">
        <v>9300</v>
      </c>
      <c r="B118" s="82" t="s">
        <v>147</v>
      </c>
      <c r="C118" s="82">
        <v>15.0</v>
      </c>
      <c r="D118" s="83" t="s">
        <v>9357</v>
      </c>
      <c r="E118" s="274">
        <v>840.0</v>
      </c>
      <c r="F118" s="282" t="s">
        <v>5626</v>
      </c>
    </row>
    <row r="119" ht="15.0" customHeight="1">
      <c r="A119" s="82" t="s">
        <v>1211</v>
      </c>
      <c r="B119" s="82" t="s">
        <v>147</v>
      </c>
      <c r="C119" s="82">
        <v>12.0</v>
      </c>
      <c r="D119" s="83">
        <v>672.0</v>
      </c>
      <c r="E119" s="274">
        <v>672.0</v>
      </c>
      <c r="F119" s="282" t="s">
        <v>168</v>
      </c>
    </row>
    <row r="120" ht="15.0" customHeight="1">
      <c r="A120" s="82" t="s">
        <v>9302</v>
      </c>
      <c r="B120" s="82" t="s">
        <v>147</v>
      </c>
      <c r="C120" s="82" t="s">
        <v>9358</v>
      </c>
      <c r="D120" s="83">
        <v>896.0</v>
      </c>
      <c r="E120" s="274">
        <v>896.0</v>
      </c>
      <c r="F120" s="282" t="s">
        <v>170</v>
      </c>
    </row>
    <row r="121" ht="15.0" customHeight="1">
      <c r="A121" s="82" t="s">
        <v>8891</v>
      </c>
      <c r="B121" s="82" t="s">
        <v>147</v>
      </c>
      <c r="C121" s="82">
        <v>12.5</v>
      </c>
      <c r="D121" s="83">
        <v>700.0</v>
      </c>
      <c r="E121" s="274">
        <v>700.0</v>
      </c>
      <c r="F121" s="282" t="s">
        <v>171</v>
      </c>
    </row>
    <row r="122" ht="15.0" customHeight="1">
      <c r="A122" s="82" t="s">
        <v>8409</v>
      </c>
      <c r="B122" s="82" t="s">
        <v>147</v>
      </c>
      <c r="C122" s="82" t="s">
        <v>9304</v>
      </c>
      <c r="D122" s="83">
        <v>560.0</v>
      </c>
      <c r="E122" s="274">
        <v>560.0</v>
      </c>
      <c r="F122" s="282" t="s">
        <v>5077</v>
      </c>
    </row>
    <row r="123" ht="15.0" customHeight="1">
      <c r="A123" s="82" t="s">
        <v>9305</v>
      </c>
      <c r="B123" s="82" t="s">
        <v>147</v>
      </c>
      <c r="C123" s="82">
        <v>12.0</v>
      </c>
      <c r="D123" s="83">
        <v>672.0</v>
      </c>
      <c r="E123" s="274">
        <v>672.0</v>
      </c>
      <c r="F123" s="282" t="s">
        <v>5101</v>
      </c>
    </row>
    <row r="124" ht="15.0" customHeight="1">
      <c r="A124" s="82" t="s">
        <v>9306</v>
      </c>
      <c r="B124" s="82" t="s">
        <v>147</v>
      </c>
      <c r="C124" s="82">
        <v>16.0</v>
      </c>
      <c r="D124" s="83">
        <v>896.0</v>
      </c>
      <c r="E124" s="274">
        <v>896.0</v>
      </c>
      <c r="F124" s="282" t="s">
        <v>5104</v>
      </c>
    </row>
    <row r="125" ht="15.0" customHeight="1">
      <c r="A125" s="82" t="s">
        <v>9307</v>
      </c>
      <c r="B125" s="82" t="s">
        <v>147</v>
      </c>
      <c r="C125" s="82">
        <v>14.0</v>
      </c>
      <c r="D125" s="83">
        <v>784.0</v>
      </c>
      <c r="E125" s="274">
        <v>784.0</v>
      </c>
      <c r="F125" s="282" t="s">
        <v>5108</v>
      </c>
    </row>
    <row r="126" ht="15.0" customHeight="1">
      <c r="A126" s="82" t="s">
        <v>9308</v>
      </c>
      <c r="B126" s="82" t="s">
        <v>147</v>
      </c>
      <c r="C126" s="82">
        <v>13.0</v>
      </c>
      <c r="D126" s="83">
        <v>728.0</v>
      </c>
      <c r="E126" s="274">
        <v>728.0</v>
      </c>
      <c r="F126" s="282" t="s">
        <v>5654</v>
      </c>
    </row>
    <row r="127" ht="15.0" customHeight="1">
      <c r="A127" s="82" t="s">
        <v>9309</v>
      </c>
      <c r="B127" s="82" t="s">
        <v>147</v>
      </c>
      <c r="C127" s="82">
        <v>13.0</v>
      </c>
      <c r="D127" s="83" t="s">
        <v>9324</v>
      </c>
      <c r="E127" s="274">
        <v>728.0</v>
      </c>
      <c r="F127" s="282" t="s">
        <v>179</v>
      </c>
    </row>
    <row r="128" ht="15.0" customHeight="1">
      <c r="A128" s="82" t="s">
        <v>9310</v>
      </c>
      <c r="B128" s="82" t="s">
        <v>147</v>
      </c>
      <c r="C128" s="82">
        <v>13.0</v>
      </c>
      <c r="D128" s="83">
        <v>728.0</v>
      </c>
      <c r="E128" s="274">
        <v>728.0</v>
      </c>
      <c r="F128" s="282" t="s">
        <v>180</v>
      </c>
    </row>
    <row r="129" ht="15.0" customHeight="1">
      <c r="A129" s="82" t="s">
        <v>8898</v>
      </c>
      <c r="B129" s="82" t="s">
        <v>147</v>
      </c>
      <c r="C129" s="82">
        <v>12.0</v>
      </c>
      <c r="D129" s="83">
        <v>672.0</v>
      </c>
      <c r="E129" s="274">
        <v>672.0</v>
      </c>
      <c r="F129" s="282" t="s">
        <v>8902</v>
      </c>
    </row>
    <row r="130" ht="15.0" customHeight="1">
      <c r="A130" s="82" t="s">
        <v>9311</v>
      </c>
      <c r="B130" s="82" t="s">
        <v>147</v>
      </c>
      <c r="C130" s="82" t="s">
        <v>9359</v>
      </c>
      <c r="D130" s="83">
        <v>896.0</v>
      </c>
      <c r="E130" s="274">
        <v>896.0</v>
      </c>
      <c r="F130" s="282" t="s">
        <v>9312</v>
      </c>
    </row>
    <row r="131" ht="15.0" customHeight="1">
      <c r="A131" s="82" t="s">
        <v>9313</v>
      </c>
      <c r="B131" s="82" t="s">
        <v>5753</v>
      </c>
      <c r="C131" s="82" t="s">
        <v>9314</v>
      </c>
      <c r="D131" s="83" t="s">
        <v>9328</v>
      </c>
      <c r="E131" s="274">
        <v>672.0</v>
      </c>
      <c r="F131" s="282" t="s">
        <v>174</v>
      </c>
    </row>
    <row r="132" ht="15.75" customHeight="1">
      <c r="A132" s="110"/>
      <c r="B132" s="285"/>
      <c r="C132" s="285"/>
      <c r="D132" s="476"/>
      <c r="E132" s="476">
        <f>SUM(E9:E131)</f>
        <v>68388.32</v>
      </c>
    </row>
    <row r="133" ht="15.75" customHeight="1">
      <c r="A133" s="104"/>
      <c r="B133" s="104"/>
      <c r="C133" s="61"/>
      <c r="D133" s="61"/>
      <c r="E133" s="61"/>
      <c r="F133" s="1"/>
      <c r="G133" s="1"/>
      <c r="H133" s="1"/>
    </row>
    <row r="134" ht="14.25" customHeight="1">
      <c r="A134" s="144" t="s">
        <v>1169</v>
      </c>
      <c r="B134" s="103"/>
      <c r="C134" s="103"/>
      <c r="D134" s="103"/>
      <c r="E134" s="103"/>
      <c r="F134" s="3"/>
      <c r="G134" s="3"/>
      <c r="H134" s="3"/>
      <c r="I134" s="104"/>
      <c r="J134" s="104"/>
      <c r="K134" s="104"/>
      <c r="L134" s="104"/>
      <c r="M134" s="104"/>
      <c r="N134" s="104"/>
      <c r="O134" s="104"/>
      <c r="P134" s="104"/>
      <c r="Q134" s="104"/>
      <c r="R134" s="104"/>
      <c r="S134" s="104"/>
      <c r="T134" s="104"/>
      <c r="U134" s="104"/>
      <c r="V134" s="104"/>
      <c r="W134" s="104"/>
      <c r="X134" s="104"/>
      <c r="Y134" s="104"/>
    </row>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34:E134"/>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7.71"/>
    <col customWidth="1" min="7" max="8" width="13.71"/>
    <col customWidth="1" min="9" max="25" width="8.0"/>
  </cols>
  <sheetData>
    <row r="1">
      <c r="A1" s="104"/>
      <c r="B1" s="104"/>
      <c r="C1" s="61"/>
      <c r="D1" s="61"/>
      <c r="E1" s="61"/>
      <c r="F1" s="1"/>
      <c r="G1" s="1"/>
      <c r="H1" s="1"/>
    </row>
    <row r="2" ht="15.75" customHeight="1">
      <c r="A2" s="105" t="s">
        <v>9360</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4.25" customHeight="1">
      <c r="A4" s="128" t="s">
        <v>9361</v>
      </c>
      <c r="B4" s="64"/>
      <c r="C4" s="64"/>
      <c r="D4" s="64"/>
      <c r="E4" s="65"/>
      <c r="F4" s="474"/>
      <c r="G4" s="474"/>
      <c r="H4" s="474"/>
      <c r="I4" s="107"/>
      <c r="J4" s="107"/>
      <c r="K4" s="107"/>
      <c r="L4" s="107"/>
      <c r="M4" s="107"/>
      <c r="N4" s="107"/>
      <c r="O4" s="107"/>
      <c r="P4" s="107"/>
      <c r="Q4" s="107"/>
      <c r="R4" s="107"/>
      <c r="S4" s="107"/>
      <c r="T4" s="107"/>
      <c r="U4" s="107"/>
      <c r="V4" s="107"/>
      <c r="W4" s="107"/>
      <c r="X4" s="107"/>
      <c r="Y4" s="107"/>
    </row>
    <row r="5" ht="16.5" customHeight="1">
      <c r="A5" s="226" t="s">
        <v>9362</v>
      </c>
      <c r="B5" s="64"/>
      <c r="C5" s="64"/>
      <c r="D5" s="64"/>
      <c r="E5" s="65"/>
      <c r="F5" s="474"/>
      <c r="G5" s="474"/>
      <c r="H5" s="474"/>
      <c r="I5" s="107"/>
      <c r="J5" s="107"/>
      <c r="K5" s="107"/>
      <c r="L5" s="107"/>
      <c r="M5" s="107"/>
      <c r="N5" s="107"/>
      <c r="O5" s="107"/>
      <c r="P5" s="107"/>
      <c r="Q5" s="107"/>
      <c r="R5" s="107"/>
      <c r="S5" s="107"/>
      <c r="T5" s="107"/>
      <c r="U5" s="107"/>
      <c r="V5" s="107"/>
      <c r="W5" s="107"/>
      <c r="X5" s="107"/>
      <c r="Y5" s="107"/>
    </row>
    <row r="6" ht="62.25" customHeight="1">
      <c r="A6" s="477" t="s">
        <v>9363</v>
      </c>
      <c r="B6" s="64"/>
      <c r="C6" s="64"/>
      <c r="D6" s="64"/>
      <c r="E6" s="65"/>
      <c r="F6" s="474"/>
      <c r="G6" s="474"/>
      <c r="H6" s="474"/>
      <c r="I6" s="107"/>
      <c r="J6" s="107"/>
      <c r="K6" s="107"/>
      <c r="L6" s="107"/>
      <c r="M6" s="107"/>
      <c r="N6" s="107"/>
      <c r="O6" s="107"/>
      <c r="P6" s="107"/>
      <c r="Q6" s="107"/>
      <c r="R6" s="107"/>
      <c r="S6" s="107"/>
      <c r="T6" s="107"/>
      <c r="U6" s="107"/>
      <c r="V6" s="107"/>
      <c r="W6" s="107"/>
      <c r="X6" s="107"/>
      <c r="Y6" s="107"/>
    </row>
    <row r="7">
      <c r="A7" s="109"/>
      <c r="B7" s="109"/>
      <c r="C7" s="110"/>
      <c r="D7" s="110"/>
      <c r="E7" s="110"/>
      <c r="F7" s="109"/>
      <c r="G7" s="109"/>
      <c r="H7" s="109"/>
      <c r="I7" s="107"/>
      <c r="J7" s="107"/>
      <c r="K7" s="107"/>
      <c r="L7" s="107"/>
      <c r="M7" s="107"/>
      <c r="N7" s="107"/>
      <c r="O7" s="107"/>
      <c r="P7" s="107"/>
      <c r="Q7" s="107"/>
      <c r="R7" s="107"/>
      <c r="S7" s="107"/>
      <c r="T7" s="107"/>
      <c r="U7" s="107"/>
      <c r="V7" s="107"/>
      <c r="W7" s="107"/>
      <c r="X7" s="107"/>
      <c r="Y7" s="107"/>
    </row>
    <row r="8" ht="61.5" customHeight="1">
      <c r="A8" s="228" t="s">
        <v>5174</v>
      </c>
      <c r="B8" s="132" t="s">
        <v>8</v>
      </c>
      <c r="C8" s="228" t="s">
        <v>9364</v>
      </c>
      <c r="D8" s="131" t="s">
        <v>217</v>
      </c>
      <c r="E8" s="131" t="s">
        <v>221</v>
      </c>
      <c r="F8" s="113" t="s">
        <v>222</v>
      </c>
      <c r="I8" s="107"/>
      <c r="J8" s="107"/>
      <c r="K8" s="107"/>
      <c r="L8" s="107"/>
      <c r="M8" s="107"/>
      <c r="N8" s="107"/>
      <c r="O8" s="107"/>
      <c r="P8" s="107"/>
      <c r="Q8" s="107"/>
      <c r="R8" s="107"/>
      <c r="S8" s="107"/>
      <c r="T8" s="107"/>
      <c r="U8" s="107"/>
      <c r="V8" s="107"/>
      <c r="W8" s="107"/>
      <c r="X8" s="107"/>
      <c r="Y8" s="107"/>
    </row>
    <row r="9" ht="15.0" customHeight="1">
      <c r="A9" s="82" t="s">
        <v>61</v>
      </c>
      <c r="B9" s="82" t="s">
        <v>52</v>
      </c>
      <c r="C9" s="82" t="s">
        <v>9365</v>
      </c>
      <c r="D9" s="83">
        <v>20.0</v>
      </c>
      <c r="E9" s="274">
        <v>20.0</v>
      </c>
      <c r="F9" s="288" t="s">
        <v>61</v>
      </c>
    </row>
    <row r="10" ht="15.0" customHeight="1">
      <c r="A10" s="82" t="s">
        <v>79</v>
      </c>
      <c r="B10" s="82" t="s">
        <v>52</v>
      </c>
      <c r="C10" s="82" t="s">
        <v>9366</v>
      </c>
      <c r="D10" s="83">
        <v>20.0</v>
      </c>
      <c r="E10" s="274">
        <v>20.0</v>
      </c>
      <c r="F10" s="288" t="s">
        <v>79</v>
      </c>
    </row>
    <row r="11" ht="15.0" customHeight="1">
      <c r="A11" s="82" t="s">
        <v>79</v>
      </c>
      <c r="B11" s="82" t="s">
        <v>52</v>
      </c>
      <c r="C11" s="82" t="s">
        <v>9367</v>
      </c>
      <c r="D11" s="83">
        <v>20.0</v>
      </c>
      <c r="E11" s="274">
        <v>20.0</v>
      </c>
      <c r="F11" s="288" t="s">
        <v>79</v>
      </c>
    </row>
    <row r="12" ht="15.0" customHeight="1">
      <c r="A12" s="82" t="s">
        <v>79</v>
      </c>
      <c r="B12" s="82" t="s">
        <v>9236</v>
      </c>
      <c r="C12" s="82" t="s">
        <v>9368</v>
      </c>
      <c r="D12" s="83">
        <v>20.0</v>
      </c>
      <c r="E12" s="274">
        <v>20.0</v>
      </c>
      <c r="F12" s="288" t="s">
        <v>79</v>
      </c>
    </row>
    <row r="13" ht="15.0" customHeight="1">
      <c r="A13" s="82" t="s">
        <v>79</v>
      </c>
      <c r="B13" s="82" t="s">
        <v>9238</v>
      </c>
      <c r="C13" s="82" t="s">
        <v>9369</v>
      </c>
      <c r="D13" s="83">
        <v>30.0</v>
      </c>
      <c r="E13" s="274">
        <v>30.0</v>
      </c>
      <c r="F13" s="288" t="s">
        <v>79</v>
      </c>
    </row>
    <row r="14" ht="15.0" customHeight="1">
      <c r="A14" s="82" t="s">
        <v>7526</v>
      </c>
      <c r="B14" s="82" t="s">
        <v>52</v>
      </c>
      <c r="C14" s="82" t="s">
        <v>9370</v>
      </c>
      <c r="D14" s="83">
        <v>20.0</v>
      </c>
      <c r="E14" s="274">
        <v>20.0</v>
      </c>
      <c r="F14" s="288" t="s">
        <v>51</v>
      </c>
    </row>
    <row r="15" ht="15.0" customHeight="1">
      <c r="A15" s="82" t="s">
        <v>7526</v>
      </c>
      <c r="B15" s="82" t="s">
        <v>52</v>
      </c>
      <c r="C15" s="82" t="s">
        <v>9371</v>
      </c>
      <c r="D15" s="83">
        <v>20.0</v>
      </c>
      <c r="E15" s="274">
        <v>20.0</v>
      </c>
      <c r="F15" s="288" t="s">
        <v>51</v>
      </c>
    </row>
    <row r="16" ht="15.0" customHeight="1">
      <c r="A16" s="82" t="s">
        <v>7526</v>
      </c>
      <c r="B16" s="82" t="s">
        <v>52</v>
      </c>
      <c r="C16" s="82" t="s">
        <v>9372</v>
      </c>
      <c r="D16" s="83">
        <v>20.0</v>
      </c>
      <c r="E16" s="274">
        <v>20.0</v>
      </c>
      <c r="F16" s="288" t="s">
        <v>51</v>
      </c>
    </row>
    <row r="17" ht="15.0" customHeight="1">
      <c r="A17" s="82" t="s">
        <v>7526</v>
      </c>
      <c r="B17" s="82" t="s">
        <v>52</v>
      </c>
      <c r="C17" s="82" t="s">
        <v>9373</v>
      </c>
      <c r="D17" s="83">
        <v>20.0</v>
      </c>
      <c r="E17" s="274">
        <v>20.0</v>
      </c>
      <c r="F17" s="288" t="s">
        <v>51</v>
      </c>
    </row>
    <row r="18" ht="15.0" customHeight="1">
      <c r="A18" s="82" t="s">
        <v>7526</v>
      </c>
      <c r="B18" s="82" t="s">
        <v>52</v>
      </c>
      <c r="C18" s="82" t="s">
        <v>9374</v>
      </c>
      <c r="D18" s="83">
        <v>20.0</v>
      </c>
      <c r="E18" s="274">
        <v>20.0</v>
      </c>
      <c r="F18" s="288" t="s">
        <v>51</v>
      </c>
    </row>
    <row r="19" ht="15.0" customHeight="1">
      <c r="A19" s="82" t="s">
        <v>7526</v>
      </c>
      <c r="B19" s="82" t="s">
        <v>52</v>
      </c>
      <c r="C19" s="82" t="s">
        <v>9375</v>
      </c>
      <c r="D19" s="83">
        <v>20.0</v>
      </c>
      <c r="E19" s="274">
        <v>20.0</v>
      </c>
      <c r="F19" s="288" t="s">
        <v>51</v>
      </c>
    </row>
    <row r="20" ht="15.0" customHeight="1">
      <c r="A20" s="82" t="s">
        <v>7526</v>
      </c>
      <c r="B20" s="82" t="s">
        <v>52</v>
      </c>
      <c r="C20" s="82" t="s">
        <v>9376</v>
      </c>
      <c r="D20" s="83">
        <v>20.0</v>
      </c>
      <c r="E20" s="274">
        <v>20.0</v>
      </c>
      <c r="F20" s="288" t="s">
        <v>51</v>
      </c>
    </row>
    <row r="21" ht="15.0" customHeight="1">
      <c r="A21" s="82" t="s">
        <v>7526</v>
      </c>
      <c r="B21" s="82" t="s">
        <v>52</v>
      </c>
      <c r="C21" s="82" t="s">
        <v>9377</v>
      </c>
      <c r="D21" s="83">
        <v>20.0</v>
      </c>
      <c r="E21" s="274">
        <v>20.0</v>
      </c>
      <c r="F21" s="288" t="s">
        <v>51</v>
      </c>
    </row>
    <row r="22" ht="15.0" customHeight="1">
      <c r="A22" s="82" t="s">
        <v>7526</v>
      </c>
      <c r="B22" s="82" t="s">
        <v>52</v>
      </c>
      <c r="C22" s="82" t="s">
        <v>9378</v>
      </c>
      <c r="D22" s="83">
        <v>20.0</v>
      </c>
      <c r="E22" s="274">
        <v>20.0</v>
      </c>
      <c r="F22" s="288" t="s">
        <v>51</v>
      </c>
    </row>
    <row r="23" ht="15.0" customHeight="1">
      <c r="A23" s="82" t="s">
        <v>7526</v>
      </c>
      <c r="B23" s="82" t="s">
        <v>52</v>
      </c>
      <c r="C23" s="82" t="s">
        <v>9379</v>
      </c>
      <c r="D23" s="83">
        <v>20.0</v>
      </c>
      <c r="E23" s="274">
        <v>20.0</v>
      </c>
      <c r="F23" s="288" t="s">
        <v>51</v>
      </c>
    </row>
    <row r="24" ht="15.0" customHeight="1">
      <c r="A24" s="82" t="s">
        <v>7526</v>
      </c>
      <c r="B24" s="82" t="s">
        <v>52</v>
      </c>
      <c r="C24" s="82" t="s">
        <v>9380</v>
      </c>
      <c r="D24" s="83">
        <v>20.0</v>
      </c>
      <c r="E24" s="274">
        <v>20.0</v>
      </c>
      <c r="F24" s="288" t="s">
        <v>51</v>
      </c>
    </row>
    <row r="25" ht="15.0" customHeight="1">
      <c r="A25" s="82" t="s">
        <v>7526</v>
      </c>
      <c r="B25" s="82" t="s">
        <v>52</v>
      </c>
      <c r="C25" s="82" t="s">
        <v>9381</v>
      </c>
      <c r="D25" s="83">
        <v>30.0</v>
      </c>
      <c r="E25" s="274">
        <v>30.0</v>
      </c>
      <c r="F25" s="288" t="s">
        <v>51</v>
      </c>
    </row>
    <row r="26" ht="15.75" customHeight="1">
      <c r="A26" s="82" t="s">
        <v>7526</v>
      </c>
      <c r="B26" s="82" t="s">
        <v>52</v>
      </c>
      <c r="C26" s="352" t="s">
        <v>9382</v>
      </c>
      <c r="D26" s="83">
        <v>30.0</v>
      </c>
      <c r="E26" s="274">
        <v>30.0</v>
      </c>
      <c r="F26" s="288" t="s">
        <v>51</v>
      </c>
    </row>
    <row r="27" ht="15.75" customHeight="1">
      <c r="A27" s="82" t="s">
        <v>9383</v>
      </c>
      <c r="B27" s="326" t="s">
        <v>52</v>
      </c>
      <c r="C27" s="148" t="s">
        <v>9384</v>
      </c>
      <c r="D27" s="493">
        <v>30.0</v>
      </c>
      <c r="E27" s="274">
        <v>30.0</v>
      </c>
      <c r="F27" s="288" t="s">
        <v>73</v>
      </c>
    </row>
    <row r="28" ht="15.75" customHeight="1">
      <c r="A28" s="82" t="s">
        <v>9383</v>
      </c>
      <c r="B28" s="326" t="s">
        <v>52</v>
      </c>
      <c r="C28" s="148" t="s">
        <v>9385</v>
      </c>
      <c r="D28" s="493">
        <v>30.0</v>
      </c>
      <c r="E28" s="274">
        <v>30.0</v>
      </c>
      <c r="F28" s="288" t="s">
        <v>73</v>
      </c>
    </row>
    <row r="29" ht="15.0" customHeight="1">
      <c r="A29" s="82" t="s">
        <v>9383</v>
      </c>
      <c r="B29" s="82" t="s">
        <v>52</v>
      </c>
      <c r="C29" s="442" t="s">
        <v>9386</v>
      </c>
      <c r="D29" s="83">
        <v>30.0</v>
      </c>
      <c r="E29" s="274">
        <v>30.0</v>
      </c>
      <c r="F29" s="288" t="s">
        <v>73</v>
      </c>
    </row>
    <row r="30" ht="15.0" customHeight="1">
      <c r="A30" s="82" t="s">
        <v>9383</v>
      </c>
      <c r="B30" s="82" t="s">
        <v>52</v>
      </c>
      <c r="C30" s="82" t="s">
        <v>9387</v>
      </c>
      <c r="D30" s="83">
        <v>30.0</v>
      </c>
      <c r="E30" s="274">
        <v>30.0</v>
      </c>
      <c r="F30" s="288" t="s">
        <v>73</v>
      </c>
    </row>
    <row r="31" ht="15.0" customHeight="1">
      <c r="A31" s="82" t="s">
        <v>9383</v>
      </c>
      <c r="B31" s="82" t="s">
        <v>52</v>
      </c>
      <c r="C31" s="82" t="s">
        <v>9388</v>
      </c>
      <c r="D31" s="83">
        <v>20.0</v>
      </c>
      <c r="E31" s="274">
        <v>20.0</v>
      </c>
      <c r="F31" s="288" t="s">
        <v>73</v>
      </c>
    </row>
    <row r="32" ht="15.0" customHeight="1">
      <c r="A32" s="82" t="s">
        <v>9383</v>
      </c>
      <c r="B32" s="82" t="s">
        <v>52</v>
      </c>
      <c r="C32" s="82" t="s">
        <v>9389</v>
      </c>
      <c r="D32" s="83">
        <v>20.0</v>
      </c>
      <c r="E32" s="274">
        <v>20.0</v>
      </c>
      <c r="F32" s="288" t="s">
        <v>73</v>
      </c>
    </row>
    <row r="33" ht="15.0" customHeight="1">
      <c r="A33" s="82" t="s">
        <v>9383</v>
      </c>
      <c r="B33" s="82" t="s">
        <v>52</v>
      </c>
      <c r="C33" s="82" t="s">
        <v>9390</v>
      </c>
      <c r="D33" s="83">
        <v>20.0</v>
      </c>
      <c r="E33" s="274">
        <v>20.0</v>
      </c>
      <c r="F33" s="288" t="s">
        <v>73</v>
      </c>
    </row>
    <row r="34" ht="15.0" customHeight="1">
      <c r="A34" s="82" t="s">
        <v>9383</v>
      </c>
      <c r="B34" s="82" t="s">
        <v>52</v>
      </c>
      <c r="C34" s="82" t="s">
        <v>9391</v>
      </c>
      <c r="D34" s="83">
        <v>20.0</v>
      </c>
      <c r="E34" s="274">
        <v>20.0</v>
      </c>
      <c r="F34" s="288" t="s">
        <v>73</v>
      </c>
    </row>
    <row r="35" ht="15.0" customHeight="1">
      <c r="A35" s="82" t="s">
        <v>9383</v>
      </c>
      <c r="B35" s="82" t="s">
        <v>52</v>
      </c>
      <c r="C35" s="82" t="s">
        <v>9392</v>
      </c>
      <c r="D35" s="83">
        <v>20.0</v>
      </c>
      <c r="E35" s="274">
        <v>20.0</v>
      </c>
      <c r="F35" s="288" t="s">
        <v>73</v>
      </c>
    </row>
    <row r="36" ht="15.0" customHeight="1">
      <c r="A36" s="82" t="s">
        <v>9383</v>
      </c>
      <c r="B36" s="82" t="s">
        <v>52</v>
      </c>
      <c r="C36" s="82" t="s">
        <v>9393</v>
      </c>
      <c r="D36" s="83">
        <v>20.0</v>
      </c>
      <c r="E36" s="274">
        <v>20.0</v>
      </c>
      <c r="F36" s="288" t="s">
        <v>73</v>
      </c>
    </row>
    <row r="37" ht="15.0" customHeight="1">
      <c r="A37" s="82" t="s">
        <v>9383</v>
      </c>
      <c r="B37" s="82" t="s">
        <v>52</v>
      </c>
      <c r="C37" s="82" t="s">
        <v>9394</v>
      </c>
      <c r="D37" s="83">
        <v>20.0</v>
      </c>
      <c r="E37" s="274">
        <v>20.0</v>
      </c>
      <c r="F37" s="288" t="s">
        <v>73</v>
      </c>
    </row>
    <row r="38" ht="15.0" customHeight="1">
      <c r="A38" s="82" t="s">
        <v>9383</v>
      </c>
      <c r="B38" s="82" t="s">
        <v>52</v>
      </c>
      <c r="C38" s="82" t="s">
        <v>9395</v>
      </c>
      <c r="D38" s="83">
        <v>20.0</v>
      </c>
      <c r="E38" s="274">
        <v>20.0</v>
      </c>
      <c r="F38" s="288" t="s">
        <v>73</v>
      </c>
    </row>
    <row r="39" ht="15.0" customHeight="1">
      <c r="A39" s="82" t="s">
        <v>9383</v>
      </c>
      <c r="B39" s="82" t="s">
        <v>52</v>
      </c>
      <c r="C39" s="82" t="s">
        <v>9396</v>
      </c>
      <c r="D39" s="83">
        <v>20.0</v>
      </c>
      <c r="E39" s="274">
        <v>20.0</v>
      </c>
      <c r="F39" s="288" t="s">
        <v>73</v>
      </c>
    </row>
    <row r="40" ht="15.0" customHeight="1">
      <c r="A40" s="82" t="s">
        <v>9383</v>
      </c>
      <c r="B40" s="82" t="s">
        <v>52</v>
      </c>
      <c r="C40" s="82" t="s">
        <v>9397</v>
      </c>
      <c r="D40" s="83">
        <v>20.0</v>
      </c>
      <c r="E40" s="274">
        <v>20.0</v>
      </c>
      <c r="F40" s="288" t="s">
        <v>73</v>
      </c>
    </row>
    <row r="41" ht="15.0" customHeight="1">
      <c r="A41" s="82" t="s">
        <v>9383</v>
      </c>
      <c r="B41" s="82" t="s">
        <v>52</v>
      </c>
      <c r="C41" s="82" t="s">
        <v>9398</v>
      </c>
      <c r="D41" s="83">
        <v>20.0</v>
      </c>
      <c r="E41" s="274">
        <v>20.0</v>
      </c>
      <c r="F41" s="288" t="s">
        <v>73</v>
      </c>
    </row>
    <row r="42" ht="15.0" customHeight="1">
      <c r="A42" s="82" t="s">
        <v>9383</v>
      </c>
      <c r="B42" s="82" t="s">
        <v>52</v>
      </c>
      <c r="C42" s="82" t="s">
        <v>9399</v>
      </c>
      <c r="D42" s="83">
        <v>20.0</v>
      </c>
      <c r="E42" s="274">
        <v>20.0</v>
      </c>
      <c r="F42" s="288" t="s">
        <v>73</v>
      </c>
    </row>
    <row r="43" ht="15.0" customHeight="1">
      <c r="A43" s="82" t="s">
        <v>9383</v>
      </c>
      <c r="B43" s="82" t="s">
        <v>52</v>
      </c>
      <c r="C43" s="82" t="s">
        <v>9400</v>
      </c>
      <c r="D43" s="83">
        <v>20.0</v>
      </c>
      <c r="E43" s="274">
        <v>20.0</v>
      </c>
      <c r="F43" s="288" t="s">
        <v>73</v>
      </c>
    </row>
    <row r="44" ht="15.0" customHeight="1">
      <c r="A44" s="82" t="s">
        <v>9383</v>
      </c>
      <c r="B44" s="82" t="s">
        <v>52</v>
      </c>
      <c r="C44" s="82" t="s">
        <v>9401</v>
      </c>
      <c r="D44" s="83">
        <v>20.0</v>
      </c>
      <c r="E44" s="274">
        <v>20.0</v>
      </c>
      <c r="F44" s="288" t="s">
        <v>73</v>
      </c>
    </row>
    <row r="45" ht="15.0" customHeight="1">
      <c r="A45" s="82" t="s">
        <v>9383</v>
      </c>
      <c r="B45" s="82" t="s">
        <v>52</v>
      </c>
      <c r="C45" s="82" t="s">
        <v>9402</v>
      </c>
      <c r="D45" s="83">
        <v>20.0</v>
      </c>
      <c r="E45" s="274">
        <v>20.0</v>
      </c>
      <c r="F45" s="288" t="s">
        <v>73</v>
      </c>
    </row>
    <row r="46" ht="15.0" customHeight="1">
      <c r="A46" s="82" t="s">
        <v>9383</v>
      </c>
      <c r="B46" s="82" t="s">
        <v>52</v>
      </c>
      <c r="C46" s="82" t="s">
        <v>9403</v>
      </c>
      <c r="D46" s="83">
        <v>20.0</v>
      </c>
      <c r="E46" s="274">
        <v>20.0</v>
      </c>
      <c r="F46" s="288" t="s">
        <v>73</v>
      </c>
    </row>
    <row r="47" ht="15.0" customHeight="1">
      <c r="A47" s="82" t="s">
        <v>9383</v>
      </c>
      <c r="B47" s="82" t="s">
        <v>52</v>
      </c>
      <c r="C47" s="82" t="s">
        <v>9404</v>
      </c>
      <c r="D47" s="83">
        <v>20.0</v>
      </c>
      <c r="E47" s="274">
        <v>20.0</v>
      </c>
      <c r="F47" s="288" t="s">
        <v>73</v>
      </c>
    </row>
    <row r="48" ht="15.0" customHeight="1">
      <c r="A48" s="100" t="s">
        <v>58</v>
      </c>
      <c r="B48" s="100" t="s">
        <v>52</v>
      </c>
      <c r="C48" s="100" t="s">
        <v>9405</v>
      </c>
      <c r="D48" s="156">
        <v>20.0</v>
      </c>
      <c r="E48" s="494">
        <v>10.0</v>
      </c>
      <c r="F48" s="288" t="s">
        <v>58</v>
      </c>
    </row>
    <row r="49" ht="15.0" customHeight="1">
      <c r="A49" s="100" t="s">
        <v>58</v>
      </c>
      <c r="B49" s="100" t="s">
        <v>52</v>
      </c>
      <c r="C49" s="100" t="s">
        <v>9406</v>
      </c>
      <c r="D49" s="156">
        <v>20.0</v>
      </c>
      <c r="E49" s="494">
        <v>10.0</v>
      </c>
      <c r="F49" s="288" t="s">
        <v>58</v>
      </c>
    </row>
    <row r="50" ht="15.0" customHeight="1">
      <c r="A50" s="100" t="s">
        <v>58</v>
      </c>
      <c r="B50" s="100" t="s">
        <v>52</v>
      </c>
      <c r="C50" s="100" t="s">
        <v>9407</v>
      </c>
      <c r="D50" s="156">
        <v>20.0</v>
      </c>
      <c r="E50" s="494">
        <v>10.0</v>
      </c>
      <c r="F50" s="288" t="s">
        <v>58</v>
      </c>
    </row>
    <row r="51" ht="15.0" customHeight="1">
      <c r="A51" s="100" t="s">
        <v>58</v>
      </c>
      <c r="B51" s="100" t="s">
        <v>52</v>
      </c>
      <c r="C51" s="100" t="s">
        <v>9408</v>
      </c>
      <c r="D51" s="156">
        <v>20.0</v>
      </c>
      <c r="E51" s="494">
        <v>20.0</v>
      </c>
      <c r="F51" s="288" t="s">
        <v>58</v>
      </c>
    </row>
    <row r="52" ht="15.0" customHeight="1">
      <c r="A52" s="100" t="s">
        <v>58</v>
      </c>
      <c r="B52" s="100" t="s">
        <v>52</v>
      </c>
      <c r="C52" s="495" t="s">
        <v>9409</v>
      </c>
      <c r="D52" s="156">
        <v>20.0</v>
      </c>
      <c r="E52" s="494">
        <v>20.0</v>
      </c>
      <c r="F52" s="288" t="s">
        <v>58</v>
      </c>
    </row>
    <row r="53" ht="15.0" customHeight="1">
      <c r="A53" s="100" t="s">
        <v>58</v>
      </c>
      <c r="B53" s="100" t="s">
        <v>52</v>
      </c>
      <c r="C53" s="495" t="s">
        <v>9410</v>
      </c>
      <c r="D53" s="156">
        <v>20.0</v>
      </c>
      <c r="E53" s="494">
        <v>10.0</v>
      </c>
      <c r="F53" s="288" t="s">
        <v>58</v>
      </c>
    </row>
    <row r="54" ht="15.0" customHeight="1">
      <c r="A54" s="100" t="s">
        <v>58</v>
      </c>
      <c r="B54" s="100" t="s">
        <v>52</v>
      </c>
      <c r="C54" s="495" t="s">
        <v>9411</v>
      </c>
      <c r="D54" s="156">
        <v>20.0</v>
      </c>
      <c r="E54" s="494">
        <v>10.0</v>
      </c>
      <c r="F54" s="288" t="s">
        <v>58</v>
      </c>
    </row>
    <row r="55" ht="15.0" customHeight="1">
      <c r="A55" s="100" t="s">
        <v>58</v>
      </c>
      <c r="B55" s="100" t="s">
        <v>52</v>
      </c>
      <c r="C55" s="495" t="s">
        <v>9412</v>
      </c>
      <c r="D55" s="496">
        <v>30.0</v>
      </c>
      <c r="E55" s="497">
        <v>30.0</v>
      </c>
      <c r="F55" s="288" t="s">
        <v>58</v>
      </c>
    </row>
    <row r="56" ht="15.0" customHeight="1">
      <c r="A56" s="100" t="s">
        <v>58</v>
      </c>
      <c r="B56" s="100" t="s">
        <v>52</v>
      </c>
      <c r="C56" s="495" t="s">
        <v>9413</v>
      </c>
      <c r="D56" s="496">
        <v>30.0</v>
      </c>
      <c r="E56" s="497">
        <v>30.0</v>
      </c>
      <c r="F56" s="288" t="s">
        <v>58</v>
      </c>
    </row>
    <row r="57" ht="15.0" customHeight="1">
      <c r="A57" s="100" t="s">
        <v>58</v>
      </c>
      <c r="B57" s="100" t="s">
        <v>52</v>
      </c>
      <c r="C57" s="495" t="s">
        <v>9414</v>
      </c>
      <c r="D57" s="496">
        <v>30.0</v>
      </c>
      <c r="E57" s="497">
        <v>30.0</v>
      </c>
      <c r="F57" s="288" t="s">
        <v>58</v>
      </c>
    </row>
    <row r="58" ht="15.0" customHeight="1">
      <c r="A58" s="100" t="s">
        <v>58</v>
      </c>
      <c r="B58" s="100" t="s">
        <v>52</v>
      </c>
      <c r="C58" s="495" t="s">
        <v>9415</v>
      </c>
      <c r="D58" s="496">
        <v>30.0</v>
      </c>
      <c r="E58" s="497">
        <v>30.0</v>
      </c>
      <c r="F58" s="288" t="s">
        <v>58</v>
      </c>
    </row>
    <row r="59" ht="15.0" customHeight="1">
      <c r="A59" s="100" t="s">
        <v>58</v>
      </c>
      <c r="B59" s="100" t="s">
        <v>52</v>
      </c>
      <c r="C59" s="495" t="s">
        <v>9416</v>
      </c>
      <c r="D59" s="496">
        <v>30.0</v>
      </c>
      <c r="E59" s="497">
        <v>30.0</v>
      </c>
      <c r="F59" s="288" t="s">
        <v>58</v>
      </c>
    </row>
    <row r="60" ht="15.0" customHeight="1">
      <c r="A60" s="100" t="s">
        <v>58</v>
      </c>
      <c r="B60" s="100" t="s">
        <v>52</v>
      </c>
      <c r="C60" s="495" t="s">
        <v>9417</v>
      </c>
      <c r="D60" s="496">
        <v>30.0</v>
      </c>
      <c r="E60" s="497">
        <v>30.0</v>
      </c>
      <c r="F60" s="288" t="s">
        <v>58</v>
      </c>
    </row>
    <row r="61" ht="15.0" customHeight="1">
      <c r="A61" s="100" t="s">
        <v>58</v>
      </c>
      <c r="B61" s="100" t="s">
        <v>52</v>
      </c>
      <c r="C61" s="495" t="s">
        <v>9418</v>
      </c>
      <c r="D61" s="496">
        <v>30.0</v>
      </c>
      <c r="E61" s="497">
        <v>30.0</v>
      </c>
      <c r="F61" s="288" t="s">
        <v>58</v>
      </c>
    </row>
    <row r="62" ht="15.0" customHeight="1">
      <c r="A62" s="100" t="s">
        <v>58</v>
      </c>
      <c r="B62" s="100" t="s">
        <v>52</v>
      </c>
      <c r="C62" s="495" t="s">
        <v>9419</v>
      </c>
      <c r="D62" s="496">
        <v>30.0</v>
      </c>
      <c r="E62" s="497">
        <v>30.0</v>
      </c>
      <c r="F62" s="288" t="s">
        <v>58</v>
      </c>
    </row>
    <row r="63" ht="15.0" customHeight="1">
      <c r="A63" s="100" t="s">
        <v>58</v>
      </c>
      <c r="B63" s="100" t="s">
        <v>52</v>
      </c>
      <c r="C63" s="495" t="s">
        <v>9420</v>
      </c>
      <c r="D63" s="496">
        <v>30.0</v>
      </c>
      <c r="E63" s="497">
        <v>30.0</v>
      </c>
      <c r="F63" s="288" t="s">
        <v>58</v>
      </c>
    </row>
    <row r="64" ht="15.0" customHeight="1">
      <c r="A64" s="100" t="s">
        <v>58</v>
      </c>
      <c r="B64" s="100" t="s">
        <v>52</v>
      </c>
      <c r="C64" s="100" t="s">
        <v>9421</v>
      </c>
      <c r="D64" s="496">
        <v>30.0</v>
      </c>
      <c r="E64" s="497">
        <v>30.0</v>
      </c>
      <c r="F64" s="288" t="s">
        <v>58</v>
      </c>
    </row>
    <row r="65" ht="15.0" customHeight="1">
      <c r="A65" s="100" t="s">
        <v>58</v>
      </c>
      <c r="B65" s="100" t="s">
        <v>52</v>
      </c>
      <c r="C65" s="100" t="s">
        <v>9422</v>
      </c>
      <c r="D65" s="496">
        <v>30.0</v>
      </c>
      <c r="E65" s="497">
        <v>30.0</v>
      </c>
      <c r="F65" s="288" t="s">
        <v>58</v>
      </c>
    </row>
    <row r="66" ht="15.0" customHeight="1">
      <c r="A66" s="100" t="s">
        <v>58</v>
      </c>
      <c r="B66" s="100" t="s">
        <v>52</v>
      </c>
      <c r="C66" s="100" t="s">
        <v>9423</v>
      </c>
      <c r="D66" s="496">
        <v>30.0</v>
      </c>
      <c r="E66" s="497">
        <v>30.0</v>
      </c>
      <c r="F66" s="288" t="s">
        <v>58</v>
      </c>
    </row>
    <row r="67" ht="15.0" customHeight="1">
      <c r="A67" s="100" t="s">
        <v>58</v>
      </c>
      <c r="B67" s="100" t="s">
        <v>52</v>
      </c>
      <c r="C67" s="82" t="s">
        <v>9424</v>
      </c>
      <c r="D67" s="496">
        <v>30.0</v>
      </c>
      <c r="E67" s="497">
        <v>30.0</v>
      </c>
      <c r="F67" s="288" t="s">
        <v>58</v>
      </c>
    </row>
    <row r="68" ht="15.0" customHeight="1">
      <c r="A68" s="82" t="s">
        <v>75</v>
      </c>
      <c r="B68" s="82" t="s">
        <v>52</v>
      </c>
      <c r="C68" s="82" t="s">
        <v>9425</v>
      </c>
      <c r="D68" s="83">
        <v>20.0</v>
      </c>
      <c r="E68" s="274">
        <v>10.0</v>
      </c>
      <c r="F68" s="288" t="s">
        <v>75</v>
      </c>
    </row>
    <row r="69" ht="15.0" customHeight="1">
      <c r="A69" s="82" t="s">
        <v>75</v>
      </c>
      <c r="B69" s="82" t="s">
        <v>52</v>
      </c>
      <c r="C69" s="82" t="s">
        <v>9426</v>
      </c>
      <c r="D69" s="83">
        <v>20.0</v>
      </c>
      <c r="E69" s="274">
        <v>10.0</v>
      </c>
      <c r="F69" s="288" t="s">
        <v>75</v>
      </c>
    </row>
    <row r="70" ht="15.0" customHeight="1">
      <c r="A70" s="82" t="s">
        <v>9203</v>
      </c>
      <c r="B70" s="82" t="s">
        <v>52</v>
      </c>
      <c r="C70" s="82" t="s">
        <v>9427</v>
      </c>
      <c r="D70" s="83">
        <v>20.0</v>
      </c>
      <c r="E70" s="274">
        <v>20.0</v>
      </c>
      <c r="F70" s="288" t="s">
        <v>1764</v>
      </c>
    </row>
    <row r="71" ht="15.0" customHeight="1">
      <c r="A71" s="82" t="s">
        <v>9203</v>
      </c>
      <c r="B71" s="82" t="s">
        <v>52</v>
      </c>
      <c r="C71" s="82" t="s">
        <v>9428</v>
      </c>
      <c r="D71" s="83">
        <v>20.0</v>
      </c>
      <c r="E71" s="274">
        <v>20.0</v>
      </c>
      <c r="F71" s="288" t="s">
        <v>1764</v>
      </c>
    </row>
    <row r="72" ht="15.0" customHeight="1">
      <c r="A72" s="100" t="s">
        <v>8503</v>
      </c>
      <c r="B72" s="100" t="s">
        <v>52</v>
      </c>
      <c r="C72" s="100" t="s">
        <v>9429</v>
      </c>
      <c r="D72" s="156">
        <v>20.0</v>
      </c>
      <c r="E72" s="494">
        <v>20.0</v>
      </c>
      <c r="F72" s="288" t="s">
        <v>72</v>
      </c>
    </row>
    <row r="73" ht="15.0" customHeight="1">
      <c r="A73" s="100" t="s">
        <v>8503</v>
      </c>
      <c r="B73" s="100" t="s">
        <v>52</v>
      </c>
      <c r="C73" s="100" t="s">
        <v>9430</v>
      </c>
      <c r="D73" s="156">
        <v>20.0</v>
      </c>
      <c r="E73" s="494">
        <v>20.0</v>
      </c>
      <c r="F73" s="288" t="s">
        <v>72</v>
      </c>
    </row>
    <row r="74" ht="15.0" customHeight="1">
      <c r="A74" s="82" t="s">
        <v>9211</v>
      </c>
      <c r="B74" s="82" t="s">
        <v>52</v>
      </c>
      <c r="C74" s="82" t="s">
        <v>9431</v>
      </c>
      <c r="D74" s="83">
        <v>20.0</v>
      </c>
      <c r="E74" s="275">
        <v>20.0</v>
      </c>
      <c r="F74" s="288" t="s">
        <v>76</v>
      </c>
    </row>
    <row r="75" ht="15.0" customHeight="1">
      <c r="A75" s="82" t="s">
        <v>9211</v>
      </c>
      <c r="B75" s="82" t="s">
        <v>52</v>
      </c>
      <c r="C75" s="82" t="s">
        <v>9432</v>
      </c>
      <c r="D75" s="83">
        <v>20.0</v>
      </c>
      <c r="E75" s="275">
        <v>20.0</v>
      </c>
      <c r="F75" s="288" t="s">
        <v>76</v>
      </c>
    </row>
    <row r="76" ht="15.0" customHeight="1">
      <c r="A76" s="82" t="s">
        <v>9211</v>
      </c>
      <c r="B76" s="82" t="s">
        <v>52</v>
      </c>
      <c r="C76" s="82" t="s">
        <v>9433</v>
      </c>
      <c r="D76" s="83">
        <v>20.0</v>
      </c>
      <c r="E76" s="275">
        <v>20.0</v>
      </c>
      <c r="F76" s="288" t="s">
        <v>76</v>
      </c>
    </row>
    <row r="77" ht="15.0" customHeight="1">
      <c r="A77" s="82" t="s">
        <v>9211</v>
      </c>
      <c r="B77" s="82" t="s">
        <v>52</v>
      </c>
      <c r="C77" s="82" t="s">
        <v>9434</v>
      </c>
      <c r="D77" s="83">
        <v>20.0</v>
      </c>
      <c r="E77" s="275">
        <v>10.0</v>
      </c>
      <c r="F77" s="288" t="s">
        <v>76</v>
      </c>
    </row>
    <row r="78" ht="15.0" customHeight="1">
      <c r="A78" s="82" t="s">
        <v>9211</v>
      </c>
      <c r="B78" s="82" t="s">
        <v>52</v>
      </c>
      <c r="C78" s="82" t="s">
        <v>9435</v>
      </c>
      <c r="D78" s="83">
        <v>20.0</v>
      </c>
      <c r="E78" s="275">
        <v>10.0</v>
      </c>
      <c r="F78" s="288" t="s">
        <v>76</v>
      </c>
    </row>
    <row r="79" ht="15.0" customHeight="1">
      <c r="A79" s="82" t="s">
        <v>9211</v>
      </c>
      <c r="B79" s="82" t="s">
        <v>52</v>
      </c>
      <c r="C79" s="82" t="s">
        <v>9436</v>
      </c>
      <c r="D79" s="83">
        <v>20.0</v>
      </c>
      <c r="E79" s="275">
        <v>10.0</v>
      </c>
      <c r="F79" s="288" t="s">
        <v>76</v>
      </c>
    </row>
    <row r="80" ht="15.0" customHeight="1">
      <c r="A80" s="82" t="s">
        <v>9211</v>
      </c>
      <c r="B80" s="82" t="s">
        <v>52</v>
      </c>
      <c r="C80" s="82" t="s">
        <v>9437</v>
      </c>
      <c r="D80" s="83">
        <v>20.0</v>
      </c>
      <c r="E80" s="275">
        <v>10.0</v>
      </c>
      <c r="F80" s="288" t="s">
        <v>76</v>
      </c>
    </row>
    <row r="81" ht="15.0" customHeight="1">
      <c r="A81" s="82" t="s">
        <v>9211</v>
      </c>
      <c r="B81" s="82" t="s">
        <v>52</v>
      </c>
      <c r="C81" s="82" t="s">
        <v>9438</v>
      </c>
      <c r="D81" s="83">
        <v>20.0</v>
      </c>
      <c r="E81" s="275">
        <v>10.0</v>
      </c>
      <c r="F81" s="288" t="s">
        <v>76</v>
      </c>
    </row>
    <row r="82" ht="15.0" customHeight="1">
      <c r="A82" s="82" t="s">
        <v>9211</v>
      </c>
      <c r="B82" s="82" t="s">
        <v>52</v>
      </c>
      <c r="C82" s="82" t="s">
        <v>9439</v>
      </c>
      <c r="D82" s="83">
        <v>30.0</v>
      </c>
      <c r="E82" s="275">
        <v>30.0</v>
      </c>
      <c r="F82" s="288" t="s">
        <v>76</v>
      </c>
    </row>
    <row r="83" ht="15.0" customHeight="1">
      <c r="A83" s="82" t="s">
        <v>57</v>
      </c>
      <c r="B83" s="82" t="s">
        <v>52</v>
      </c>
      <c r="C83" s="82" t="s">
        <v>9440</v>
      </c>
      <c r="D83" s="83">
        <v>30.0</v>
      </c>
      <c r="E83" s="274">
        <f>D83/2</f>
        <v>15</v>
      </c>
      <c r="F83" s="288" t="s">
        <v>57</v>
      </c>
    </row>
    <row r="84" ht="15.0" customHeight="1">
      <c r="A84" s="82" t="s">
        <v>7659</v>
      </c>
      <c r="B84" s="82" t="s">
        <v>52</v>
      </c>
      <c r="C84" s="82" t="s">
        <v>9441</v>
      </c>
      <c r="D84" s="83">
        <v>20.0</v>
      </c>
      <c r="E84" s="274">
        <f t="shared" ref="E84:E92" si="1">D84</f>
        <v>20</v>
      </c>
      <c r="F84" s="288" t="s">
        <v>60</v>
      </c>
    </row>
    <row r="85" ht="15.0" customHeight="1">
      <c r="A85" s="82" t="s">
        <v>7659</v>
      </c>
      <c r="B85" s="82" t="s">
        <v>52</v>
      </c>
      <c r="C85" s="498" t="s">
        <v>9442</v>
      </c>
      <c r="D85" s="83">
        <v>20.0</v>
      </c>
      <c r="E85" s="274">
        <f t="shared" si="1"/>
        <v>20</v>
      </c>
      <c r="F85" s="288" t="s">
        <v>60</v>
      </c>
    </row>
    <row r="86" ht="15.0" customHeight="1">
      <c r="A86" s="82" t="s">
        <v>7659</v>
      </c>
      <c r="B86" s="82" t="s">
        <v>52</v>
      </c>
      <c r="C86" s="82" t="s">
        <v>9443</v>
      </c>
      <c r="D86" s="83">
        <v>20.0</v>
      </c>
      <c r="E86" s="274">
        <f t="shared" si="1"/>
        <v>20</v>
      </c>
      <c r="F86" s="288" t="s">
        <v>60</v>
      </c>
    </row>
    <row r="87" ht="15.0" customHeight="1">
      <c r="A87" s="82" t="s">
        <v>7659</v>
      </c>
      <c r="B87" s="82" t="s">
        <v>52</v>
      </c>
      <c r="C87" s="82" t="s">
        <v>9444</v>
      </c>
      <c r="D87" s="83">
        <v>20.0</v>
      </c>
      <c r="E87" s="274">
        <f t="shared" si="1"/>
        <v>20</v>
      </c>
      <c r="F87" s="288" t="s">
        <v>60</v>
      </c>
    </row>
    <row r="88" ht="15.0" customHeight="1">
      <c r="A88" s="82" t="s">
        <v>7659</v>
      </c>
      <c r="B88" s="82" t="s">
        <v>52</v>
      </c>
      <c r="C88" s="82" t="s">
        <v>9445</v>
      </c>
      <c r="D88" s="83">
        <v>20.0</v>
      </c>
      <c r="E88" s="274">
        <f t="shared" si="1"/>
        <v>20</v>
      </c>
      <c r="F88" s="288" t="s">
        <v>60</v>
      </c>
    </row>
    <row r="89" ht="15.0" customHeight="1">
      <c r="A89" s="82" t="s">
        <v>7659</v>
      </c>
      <c r="B89" s="82" t="s">
        <v>52</v>
      </c>
      <c r="C89" s="82" t="s">
        <v>9446</v>
      </c>
      <c r="D89" s="83">
        <v>20.0</v>
      </c>
      <c r="E89" s="274">
        <f t="shared" si="1"/>
        <v>20</v>
      </c>
      <c r="F89" s="288" t="s">
        <v>60</v>
      </c>
    </row>
    <row r="90" ht="15.0" customHeight="1">
      <c r="A90" s="82" t="s">
        <v>7659</v>
      </c>
      <c r="B90" s="82" t="s">
        <v>52</v>
      </c>
      <c r="C90" s="82" t="s">
        <v>9447</v>
      </c>
      <c r="D90" s="83">
        <v>30.0</v>
      </c>
      <c r="E90" s="274">
        <f t="shared" si="1"/>
        <v>30</v>
      </c>
      <c r="F90" s="288" t="s">
        <v>60</v>
      </c>
    </row>
    <row r="91" ht="15.0" customHeight="1">
      <c r="A91" s="82" t="s">
        <v>7659</v>
      </c>
      <c r="B91" s="82" t="s">
        <v>52</v>
      </c>
      <c r="C91" s="82" t="s">
        <v>9448</v>
      </c>
      <c r="D91" s="83">
        <v>30.0</v>
      </c>
      <c r="E91" s="274">
        <f t="shared" si="1"/>
        <v>30</v>
      </c>
      <c r="F91" s="288" t="s">
        <v>60</v>
      </c>
    </row>
    <row r="92" ht="15.0" customHeight="1">
      <c r="A92" s="82" t="s">
        <v>7659</v>
      </c>
      <c r="B92" s="82" t="s">
        <v>52</v>
      </c>
      <c r="C92" s="82" t="s">
        <v>9449</v>
      </c>
      <c r="D92" s="83">
        <v>30.0</v>
      </c>
      <c r="E92" s="274">
        <f t="shared" si="1"/>
        <v>30</v>
      </c>
      <c r="F92" s="288" t="s">
        <v>60</v>
      </c>
    </row>
    <row r="93" ht="15.0" customHeight="1">
      <c r="A93" s="82" t="s">
        <v>80</v>
      </c>
      <c r="B93" s="82" t="s">
        <v>52</v>
      </c>
      <c r="C93" s="82" t="s">
        <v>9450</v>
      </c>
      <c r="D93" s="83">
        <v>20.0</v>
      </c>
      <c r="E93" s="275">
        <v>10.0</v>
      </c>
      <c r="F93" s="288" t="s">
        <v>80</v>
      </c>
    </row>
    <row r="94" ht="15.0" customHeight="1">
      <c r="A94" s="82" t="s">
        <v>80</v>
      </c>
      <c r="B94" s="82" t="s">
        <v>52</v>
      </c>
      <c r="C94" s="82" t="s">
        <v>9451</v>
      </c>
      <c r="D94" s="83">
        <v>20.0</v>
      </c>
      <c r="E94" s="275">
        <v>10.0</v>
      </c>
      <c r="F94" s="288" t="s">
        <v>80</v>
      </c>
    </row>
    <row r="95" ht="15.0" customHeight="1">
      <c r="A95" s="82" t="s">
        <v>80</v>
      </c>
      <c r="B95" s="82" t="s">
        <v>52</v>
      </c>
      <c r="C95" s="82" t="s">
        <v>9452</v>
      </c>
      <c r="D95" s="83">
        <v>20.0</v>
      </c>
      <c r="E95" s="275">
        <v>10.0</v>
      </c>
      <c r="F95" s="288" t="s">
        <v>80</v>
      </c>
    </row>
    <row r="96" ht="15.0" customHeight="1">
      <c r="A96" s="82" t="s">
        <v>80</v>
      </c>
      <c r="B96" s="82" t="s">
        <v>52</v>
      </c>
      <c r="C96" s="82" t="s">
        <v>9453</v>
      </c>
      <c r="D96" s="83">
        <v>20.0</v>
      </c>
      <c r="E96" s="275">
        <v>10.0</v>
      </c>
      <c r="F96" s="288" t="s">
        <v>80</v>
      </c>
    </row>
    <row r="97" ht="15.0" customHeight="1">
      <c r="A97" s="82" t="s">
        <v>80</v>
      </c>
      <c r="B97" s="82" t="s">
        <v>52</v>
      </c>
      <c r="C97" s="82" t="s">
        <v>9454</v>
      </c>
      <c r="D97" s="83">
        <v>20.0</v>
      </c>
      <c r="E97" s="275">
        <v>10.0</v>
      </c>
      <c r="F97" s="288" t="s">
        <v>80</v>
      </c>
    </row>
    <row r="98" ht="15.0" customHeight="1">
      <c r="A98" s="82" t="s">
        <v>80</v>
      </c>
      <c r="B98" s="352" t="s">
        <v>52</v>
      </c>
      <c r="C98" s="352" t="s">
        <v>9455</v>
      </c>
      <c r="D98" s="83">
        <v>20.0</v>
      </c>
      <c r="E98" s="275">
        <v>10.0</v>
      </c>
      <c r="F98" s="288" t="s">
        <v>80</v>
      </c>
    </row>
    <row r="99" ht="15.0" customHeight="1">
      <c r="A99" s="326" t="s">
        <v>80</v>
      </c>
      <c r="B99" s="82" t="s">
        <v>52</v>
      </c>
      <c r="C99" s="155" t="s">
        <v>9456</v>
      </c>
      <c r="D99" s="493">
        <v>20.0</v>
      </c>
      <c r="E99" s="499">
        <v>20.0</v>
      </c>
      <c r="F99" s="288" t="s">
        <v>80</v>
      </c>
    </row>
    <row r="100" ht="15.0" customHeight="1">
      <c r="A100" s="326" t="s">
        <v>80</v>
      </c>
      <c r="B100" s="82" t="s">
        <v>52</v>
      </c>
      <c r="C100" s="155" t="s">
        <v>9457</v>
      </c>
      <c r="D100" s="493">
        <v>20.0</v>
      </c>
      <c r="E100" s="499">
        <v>10.0</v>
      </c>
      <c r="F100" s="288" t="s">
        <v>80</v>
      </c>
    </row>
    <row r="101" ht="15.0" customHeight="1">
      <c r="A101" s="82" t="s">
        <v>67</v>
      </c>
      <c r="B101" s="82" t="s">
        <v>52</v>
      </c>
      <c r="C101" s="82" t="s">
        <v>9458</v>
      </c>
      <c r="D101" s="83">
        <v>20.0</v>
      </c>
      <c r="E101" s="274">
        <v>20.0</v>
      </c>
      <c r="F101" s="288" t="s">
        <v>67</v>
      </c>
    </row>
    <row r="102" ht="15.0" customHeight="1">
      <c r="A102" s="82" t="s">
        <v>67</v>
      </c>
      <c r="B102" s="82" t="s">
        <v>52</v>
      </c>
      <c r="C102" s="82" t="s">
        <v>9459</v>
      </c>
      <c r="D102" s="83">
        <v>30.0</v>
      </c>
      <c r="E102" s="274">
        <v>30.0</v>
      </c>
      <c r="F102" s="288" t="s">
        <v>67</v>
      </c>
    </row>
    <row r="103" ht="15.0" customHeight="1">
      <c r="A103" s="82" t="s">
        <v>67</v>
      </c>
      <c r="B103" s="82" t="s">
        <v>52</v>
      </c>
      <c r="C103" s="82" t="s">
        <v>9460</v>
      </c>
      <c r="D103" s="83">
        <v>20.0</v>
      </c>
      <c r="E103" s="274">
        <v>20.0</v>
      </c>
      <c r="F103" s="288" t="s">
        <v>67</v>
      </c>
    </row>
    <row r="104" ht="15.0" customHeight="1">
      <c r="A104" s="82" t="s">
        <v>67</v>
      </c>
      <c r="B104" s="82" t="s">
        <v>52</v>
      </c>
      <c r="C104" s="82" t="s">
        <v>9461</v>
      </c>
      <c r="D104" s="83">
        <v>20.0</v>
      </c>
      <c r="E104" s="274">
        <v>20.0</v>
      </c>
      <c r="F104" s="288" t="s">
        <v>67</v>
      </c>
    </row>
    <row r="105" ht="15.0" customHeight="1">
      <c r="A105" s="82" t="s">
        <v>67</v>
      </c>
      <c r="B105" s="82" t="s">
        <v>52</v>
      </c>
      <c r="C105" s="82" t="s">
        <v>9462</v>
      </c>
      <c r="D105" s="83">
        <v>20.0</v>
      </c>
      <c r="E105" s="274">
        <v>20.0</v>
      </c>
      <c r="F105" s="288" t="s">
        <v>67</v>
      </c>
    </row>
    <row r="106" ht="15.0" customHeight="1">
      <c r="A106" s="82" t="s">
        <v>67</v>
      </c>
      <c r="B106" s="82" t="s">
        <v>52</v>
      </c>
      <c r="C106" s="82" t="s">
        <v>9463</v>
      </c>
      <c r="D106" s="83">
        <v>20.0</v>
      </c>
      <c r="E106" s="274">
        <v>20.0</v>
      </c>
      <c r="F106" s="288" t="s">
        <v>67</v>
      </c>
    </row>
    <row r="107" ht="15.0" customHeight="1">
      <c r="A107" s="82" t="s">
        <v>67</v>
      </c>
      <c r="B107" s="82" t="s">
        <v>52</v>
      </c>
      <c r="C107" s="82" t="s">
        <v>9464</v>
      </c>
      <c r="D107" s="83">
        <v>20.0</v>
      </c>
      <c r="E107" s="274">
        <v>20.0</v>
      </c>
      <c r="F107" s="288" t="s">
        <v>67</v>
      </c>
    </row>
    <row r="108" ht="15.0" customHeight="1">
      <c r="A108" s="82" t="s">
        <v>67</v>
      </c>
      <c r="B108" s="82" t="s">
        <v>52</v>
      </c>
      <c r="C108" s="82" t="s">
        <v>9465</v>
      </c>
      <c r="D108" s="83">
        <v>20.0</v>
      </c>
      <c r="E108" s="274">
        <v>20.0</v>
      </c>
      <c r="F108" s="288" t="s">
        <v>67</v>
      </c>
    </row>
    <row r="109" ht="15.75" customHeight="1">
      <c r="A109" s="148" t="s">
        <v>9219</v>
      </c>
      <c r="B109" s="148" t="s">
        <v>9238</v>
      </c>
      <c r="C109" s="148" t="s">
        <v>9466</v>
      </c>
      <c r="D109" s="191">
        <v>20.0</v>
      </c>
      <c r="E109" s="461">
        <f t="shared" ref="E109:E145" si="2">D109</f>
        <v>20</v>
      </c>
      <c r="F109" s="288" t="s">
        <v>59</v>
      </c>
    </row>
    <row r="110" ht="15.75" customHeight="1">
      <c r="A110" s="148" t="s">
        <v>9219</v>
      </c>
      <c r="B110" s="148" t="s">
        <v>9238</v>
      </c>
      <c r="C110" s="148" t="s">
        <v>9467</v>
      </c>
      <c r="D110" s="191">
        <v>20.0</v>
      </c>
      <c r="E110" s="461">
        <f t="shared" si="2"/>
        <v>20</v>
      </c>
      <c r="F110" s="288" t="s">
        <v>59</v>
      </c>
    </row>
    <row r="111" ht="15.75" customHeight="1">
      <c r="A111" s="82" t="s">
        <v>515</v>
      </c>
      <c r="B111" s="82" t="s">
        <v>52</v>
      </c>
      <c r="C111" s="148" t="s">
        <v>9468</v>
      </c>
      <c r="D111" s="83">
        <v>20.0</v>
      </c>
      <c r="E111" s="274">
        <f t="shared" si="2"/>
        <v>20</v>
      </c>
      <c r="F111" s="288" t="s">
        <v>515</v>
      </c>
    </row>
    <row r="112" ht="15.0" customHeight="1">
      <c r="A112" s="82" t="s">
        <v>515</v>
      </c>
      <c r="B112" s="82" t="s">
        <v>52</v>
      </c>
      <c r="C112" s="155" t="s">
        <v>9469</v>
      </c>
      <c r="D112" s="83">
        <v>20.0</v>
      </c>
      <c r="E112" s="274">
        <f t="shared" si="2"/>
        <v>20</v>
      </c>
      <c r="F112" s="288" t="s">
        <v>515</v>
      </c>
    </row>
    <row r="113" ht="15.0" customHeight="1">
      <c r="A113" s="82" t="s">
        <v>515</v>
      </c>
      <c r="B113" s="82" t="s">
        <v>52</v>
      </c>
      <c r="C113" s="82" t="s">
        <v>9470</v>
      </c>
      <c r="D113" s="83">
        <v>20.0</v>
      </c>
      <c r="E113" s="274">
        <f t="shared" si="2"/>
        <v>20</v>
      </c>
      <c r="F113" s="288" t="s">
        <v>515</v>
      </c>
    </row>
    <row r="114" ht="15.0" customHeight="1">
      <c r="A114" s="82" t="s">
        <v>515</v>
      </c>
      <c r="B114" s="82" t="s">
        <v>52</v>
      </c>
      <c r="C114" s="82" t="s">
        <v>9471</v>
      </c>
      <c r="D114" s="83">
        <v>20.0</v>
      </c>
      <c r="E114" s="274">
        <f t="shared" si="2"/>
        <v>20</v>
      </c>
      <c r="F114" s="288" t="s">
        <v>515</v>
      </c>
    </row>
    <row r="115" ht="15.0" customHeight="1">
      <c r="A115" s="82" t="s">
        <v>515</v>
      </c>
      <c r="B115" s="82" t="s">
        <v>52</v>
      </c>
      <c r="C115" s="82" t="s">
        <v>9472</v>
      </c>
      <c r="D115" s="83">
        <v>20.0</v>
      </c>
      <c r="E115" s="274">
        <f t="shared" si="2"/>
        <v>20</v>
      </c>
      <c r="F115" s="288" t="s">
        <v>515</v>
      </c>
    </row>
    <row r="116" ht="15.0" customHeight="1">
      <c r="A116" s="82" t="s">
        <v>515</v>
      </c>
      <c r="B116" s="82" t="s">
        <v>52</v>
      </c>
      <c r="C116" s="82" t="s">
        <v>9473</v>
      </c>
      <c r="D116" s="83">
        <v>20.0</v>
      </c>
      <c r="E116" s="274">
        <f t="shared" si="2"/>
        <v>20</v>
      </c>
      <c r="F116" s="288" t="s">
        <v>515</v>
      </c>
    </row>
    <row r="117" ht="15.0" customHeight="1">
      <c r="A117" s="82" t="s">
        <v>515</v>
      </c>
      <c r="B117" s="82" t="s">
        <v>52</v>
      </c>
      <c r="C117" s="82" t="s">
        <v>9474</v>
      </c>
      <c r="D117" s="83">
        <v>20.0</v>
      </c>
      <c r="E117" s="274">
        <f t="shared" si="2"/>
        <v>20</v>
      </c>
      <c r="F117" s="288" t="s">
        <v>515</v>
      </c>
    </row>
    <row r="118" ht="15.0" customHeight="1">
      <c r="A118" s="82" t="s">
        <v>515</v>
      </c>
      <c r="B118" s="82" t="s">
        <v>52</v>
      </c>
      <c r="C118" s="82" t="s">
        <v>9475</v>
      </c>
      <c r="D118" s="83">
        <v>20.0</v>
      </c>
      <c r="E118" s="274">
        <f t="shared" si="2"/>
        <v>20</v>
      </c>
      <c r="F118" s="288" t="s">
        <v>515</v>
      </c>
    </row>
    <row r="119" ht="15.75" customHeight="1">
      <c r="A119" s="82" t="s">
        <v>515</v>
      </c>
      <c r="B119" s="82" t="s">
        <v>52</v>
      </c>
      <c r="C119" s="82" t="s">
        <v>9476</v>
      </c>
      <c r="D119" s="83">
        <v>30.0</v>
      </c>
      <c r="E119" s="274">
        <f t="shared" si="2"/>
        <v>30</v>
      </c>
      <c r="F119" s="288" t="s">
        <v>515</v>
      </c>
    </row>
    <row r="120" ht="15.75" customHeight="1">
      <c r="A120" s="82" t="s">
        <v>515</v>
      </c>
      <c r="B120" s="82" t="s">
        <v>52</v>
      </c>
      <c r="C120" s="148" t="s">
        <v>9477</v>
      </c>
      <c r="D120" s="83">
        <v>30.0</v>
      </c>
      <c r="E120" s="274">
        <f t="shared" si="2"/>
        <v>30</v>
      </c>
      <c r="F120" s="288" t="s">
        <v>515</v>
      </c>
    </row>
    <row r="121" ht="15.0" customHeight="1">
      <c r="A121" s="82" t="s">
        <v>515</v>
      </c>
      <c r="B121" s="82" t="s">
        <v>52</v>
      </c>
      <c r="C121" s="82" t="s">
        <v>9478</v>
      </c>
      <c r="D121" s="83">
        <v>30.0</v>
      </c>
      <c r="E121" s="274">
        <f t="shared" si="2"/>
        <v>30</v>
      </c>
      <c r="F121" s="288" t="s">
        <v>515</v>
      </c>
    </row>
    <row r="122" ht="15.0" customHeight="1">
      <c r="A122" s="82" t="s">
        <v>515</v>
      </c>
      <c r="B122" s="82" t="s">
        <v>52</v>
      </c>
      <c r="C122" s="82" t="s">
        <v>9479</v>
      </c>
      <c r="D122" s="83">
        <v>30.0</v>
      </c>
      <c r="E122" s="274">
        <f t="shared" si="2"/>
        <v>30</v>
      </c>
      <c r="F122" s="288" t="s">
        <v>515</v>
      </c>
    </row>
    <row r="123" ht="15.0" customHeight="1">
      <c r="A123" s="82" t="s">
        <v>515</v>
      </c>
      <c r="B123" s="82" t="s">
        <v>52</v>
      </c>
      <c r="C123" s="352" t="s">
        <v>9480</v>
      </c>
      <c r="D123" s="83">
        <v>30.0</v>
      </c>
      <c r="E123" s="274">
        <f t="shared" si="2"/>
        <v>30</v>
      </c>
      <c r="F123" s="288" t="s">
        <v>515</v>
      </c>
    </row>
    <row r="124" ht="15.75" customHeight="1">
      <c r="A124" s="82" t="s">
        <v>515</v>
      </c>
      <c r="B124" s="326" t="s">
        <v>52</v>
      </c>
      <c r="C124" s="148" t="s">
        <v>9481</v>
      </c>
      <c r="D124" s="493">
        <v>30.0</v>
      </c>
      <c r="E124" s="274">
        <f t="shared" si="2"/>
        <v>30</v>
      </c>
      <c r="F124" s="288" t="s">
        <v>515</v>
      </c>
    </row>
    <row r="125" ht="15.75" customHeight="1">
      <c r="A125" s="82" t="s">
        <v>515</v>
      </c>
      <c r="B125" s="326" t="s">
        <v>52</v>
      </c>
      <c r="C125" s="148" t="s">
        <v>9482</v>
      </c>
      <c r="D125" s="493">
        <v>30.0</v>
      </c>
      <c r="E125" s="274">
        <f t="shared" si="2"/>
        <v>30</v>
      </c>
      <c r="F125" s="288" t="s">
        <v>515</v>
      </c>
    </row>
    <row r="126" ht="15.75" customHeight="1">
      <c r="A126" s="82" t="s">
        <v>515</v>
      </c>
      <c r="B126" s="326" t="s">
        <v>52</v>
      </c>
      <c r="C126" s="148" t="s">
        <v>9483</v>
      </c>
      <c r="D126" s="493">
        <v>30.0</v>
      </c>
      <c r="E126" s="274">
        <f t="shared" si="2"/>
        <v>30</v>
      </c>
      <c r="F126" s="288" t="s">
        <v>515</v>
      </c>
    </row>
    <row r="127" ht="15.75" customHeight="1">
      <c r="A127" s="82" t="s">
        <v>515</v>
      </c>
      <c r="B127" s="326" t="s">
        <v>52</v>
      </c>
      <c r="C127" s="148" t="s">
        <v>9484</v>
      </c>
      <c r="D127" s="493">
        <v>30.0</v>
      </c>
      <c r="E127" s="274">
        <f t="shared" si="2"/>
        <v>30</v>
      </c>
      <c r="F127" s="288" t="s">
        <v>515</v>
      </c>
    </row>
    <row r="128" ht="15.75" customHeight="1">
      <c r="A128" s="82" t="s">
        <v>515</v>
      </c>
      <c r="B128" s="326" t="s">
        <v>52</v>
      </c>
      <c r="C128" s="148" t="s">
        <v>9485</v>
      </c>
      <c r="D128" s="493">
        <v>30.0</v>
      </c>
      <c r="E128" s="274">
        <f t="shared" si="2"/>
        <v>30</v>
      </c>
      <c r="F128" s="288" t="s">
        <v>515</v>
      </c>
    </row>
    <row r="129" ht="15.75" customHeight="1">
      <c r="A129" s="82" t="s">
        <v>515</v>
      </c>
      <c r="B129" s="326" t="s">
        <v>52</v>
      </c>
      <c r="C129" s="148" t="s">
        <v>9486</v>
      </c>
      <c r="D129" s="493">
        <v>30.0</v>
      </c>
      <c r="E129" s="274">
        <f t="shared" si="2"/>
        <v>30</v>
      </c>
      <c r="F129" s="288" t="s">
        <v>515</v>
      </c>
    </row>
    <row r="130" ht="15.0" customHeight="1">
      <c r="A130" s="82" t="s">
        <v>8558</v>
      </c>
      <c r="B130" s="82" t="s">
        <v>52</v>
      </c>
      <c r="C130" s="500" t="s">
        <v>9487</v>
      </c>
      <c r="D130" s="83">
        <v>20.0</v>
      </c>
      <c r="E130" s="274">
        <f t="shared" si="2"/>
        <v>20</v>
      </c>
      <c r="F130" s="288" t="s">
        <v>533</v>
      </c>
    </row>
    <row r="131" ht="15.0" customHeight="1">
      <c r="A131" s="82" t="s">
        <v>8558</v>
      </c>
      <c r="B131" s="82" t="s">
        <v>52</v>
      </c>
      <c r="C131" s="155" t="s">
        <v>9488</v>
      </c>
      <c r="D131" s="83">
        <v>20.0</v>
      </c>
      <c r="E131" s="274">
        <f t="shared" si="2"/>
        <v>20</v>
      </c>
      <c r="F131" s="288" t="s">
        <v>533</v>
      </c>
    </row>
    <row r="132" ht="15.0" customHeight="1">
      <c r="A132" s="82" t="s">
        <v>8558</v>
      </c>
      <c r="B132" s="82" t="s">
        <v>52</v>
      </c>
      <c r="C132" s="82" t="s">
        <v>9489</v>
      </c>
      <c r="D132" s="83">
        <v>20.0</v>
      </c>
      <c r="E132" s="274">
        <f t="shared" si="2"/>
        <v>20</v>
      </c>
      <c r="F132" s="288" t="s">
        <v>533</v>
      </c>
    </row>
    <row r="133" ht="15.0" customHeight="1">
      <c r="A133" s="82" t="s">
        <v>8558</v>
      </c>
      <c r="B133" s="82" t="s">
        <v>52</v>
      </c>
      <c r="C133" s="82" t="s">
        <v>9490</v>
      </c>
      <c r="D133" s="83">
        <v>20.0</v>
      </c>
      <c r="E133" s="274">
        <f t="shared" si="2"/>
        <v>20</v>
      </c>
      <c r="F133" s="288" t="s">
        <v>533</v>
      </c>
    </row>
    <row r="134" ht="15.0" customHeight="1">
      <c r="A134" s="82" t="s">
        <v>8558</v>
      </c>
      <c r="B134" s="82" t="s">
        <v>52</v>
      </c>
      <c r="C134" s="82" t="s">
        <v>9491</v>
      </c>
      <c r="D134" s="83">
        <v>20.0</v>
      </c>
      <c r="E134" s="274">
        <f t="shared" si="2"/>
        <v>20</v>
      </c>
      <c r="F134" s="288" t="s">
        <v>533</v>
      </c>
    </row>
    <row r="135" ht="15.0" customHeight="1">
      <c r="A135" s="82" t="s">
        <v>8558</v>
      </c>
      <c r="B135" s="82" t="s">
        <v>52</v>
      </c>
      <c r="C135" s="82" t="s">
        <v>9492</v>
      </c>
      <c r="D135" s="83">
        <v>20.0</v>
      </c>
      <c r="E135" s="274">
        <f t="shared" si="2"/>
        <v>20</v>
      </c>
      <c r="F135" s="288" t="s">
        <v>533</v>
      </c>
    </row>
    <row r="136" ht="15.0" customHeight="1">
      <c r="A136" s="82" t="s">
        <v>8558</v>
      </c>
      <c r="B136" s="82" t="s">
        <v>52</v>
      </c>
      <c r="C136" s="82" t="s">
        <v>9493</v>
      </c>
      <c r="D136" s="83">
        <v>20.0</v>
      </c>
      <c r="E136" s="274">
        <f t="shared" si="2"/>
        <v>20</v>
      </c>
      <c r="F136" s="288" t="s">
        <v>533</v>
      </c>
    </row>
    <row r="137" ht="15.0" customHeight="1">
      <c r="A137" s="82" t="s">
        <v>8558</v>
      </c>
      <c r="B137" s="82" t="s">
        <v>52</v>
      </c>
      <c r="C137" s="82" t="s">
        <v>9494</v>
      </c>
      <c r="D137" s="83">
        <v>20.0</v>
      </c>
      <c r="E137" s="274">
        <f t="shared" si="2"/>
        <v>20</v>
      </c>
      <c r="F137" s="288" t="s">
        <v>533</v>
      </c>
    </row>
    <row r="138" ht="15.0" customHeight="1">
      <c r="A138" s="82" t="s">
        <v>8558</v>
      </c>
      <c r="B138" s="82" t="s">
        <v>52</v>
      </c>
      <c r="C138" s="82" t="s">
        <v>9495</v>
      </c>
      <c r="D138" s="83">
        <v>20.0</v>
      </c>
      <c r="E138" s="274">
        <f t="shared" si="2"/>
        <v>20</v>
      </c>
      <c r="F138" s="288" t="s">
        <v>533</v>
      </c>
    </row>
    <row r="139" ht="15.0" customHeight="1">
      <c r="A139" s="82" t="s">
        <v>8558</v>
      </c>
      <c r="B139" s="82" t="s">
        <v>52</v>
      </c>
      <c r="C139" s="82" t="s">
        <v>9496</v>
      </c>
      <c r="D139" s="83">
        <v>20.0</v>
      </c>
      <c r="E139" s="274">
        <f t="shared" si="2"/>
        <v>20</v>
      </c>
      <c r="F139" s="288" t="s">
        <v>533</v>
      </c>
    </row>
    <row r="140" ht="15.0" customHeight="1">
      <c r="A140" s="82" t="s">
        <v>8558</v>
      </c>
      <c r="B140" s="82" t="s">
        <v>52</v>
      </c>
      <c r="C140" s="82" t="s">
        <v>9497</v>
      </c>
      <c r="D140" s="83">
        <v>20.0</v>
      </c>
      <c r="E140" s="274">
        <f t="shared" si="2"/>
        <v>20</v>
      </c>
      <c r="F140" s="288" t="s">
        <v>533</v>
      </c>
    </row>
    <row r="141" ht="15.0" customHeight="1">
      <c r="A141" s="82" t="s">
        <v>8558</v>
      </c>
      <c r="B141" s="82" t="s">
        <v>52</v>
      </c>
      <c r="C141" s="82" t="s">
        <v>9498</v>
      </c>
      <c r="D141" s="83">
        <v>20.0</v>
      </c>
      <c r="E141" s="274">
        <f t="shared" si="2"/>
        <v>20</v>
      </c>
      <c r="F141" s="288" t="s">
        <v>533</v>
      </c>
    </row>
    <row r="142" ht="15.0" customHeight="1">
      <c r="A142" s="82" t="s">
        <v>8558</v>
      </c>
      <c r="B142" s="82" t="s">
        <v>52</v>
      </c>
      <c r="C142" s="82" t="s">
        <v>9499</v>
      </c>
      <c r="D142" s="83">
        <v>30.0</v>
      </c>
      <c r="E142" s="274">
        <f t="shared" si="2"/>
        <v>30</v>
      </c>
      <c r="F142" s="288" t="s">
        <v>533</v>
      </c>
    </row>
    <row r="143" ht="15.75" customHeight="1">
      <c r="A143" s="82" t="s">
        <v>8558</v>
      </c>
      <c r="B143" s="82" t="s">
        <v>52</v>
      </c>
      <c r="C143" s="148" t="s">
        <v>9500</v>
      </c>
      <c r="D143" s="83">
        <v>30.0</v>
      </c>
      <c r="E143" s="274">
        <f t="shared" si="2"/>
        <v>30</v>
      </c>
      <c r="F143" s="288" t="s">
        <v>533</v>
      </c>
    </row>
    <row r="144" ht="15.75" customHeight="1">
      <c r="A144" s="82" t="s">
        <v>8558</v>
      </c>
      <c r="B144" s="82" t="s">
        <v>52</v>
      </c>
      <c r="C144" s="82" t="s">
        <v>9501</v>
      </c>
      <c r="D144" s="83">
        <v>30.0</v>
      </c>
      <c r="E144" s="274">
        <f t="shared" si="2"/>
        <v>30</v>
      </c>
      <c r="F144" s="288" t="s">
        <v>533</v>
      </c>
    </row>
    <row r="145" ht="15.0" customHeight="1">
      <c r="A145" s="82" t="s">
        <v>8558</v>
      </c>
      <c r="B145" s="82" t="s">
        <v>52</v>
      </c>
      <c r="C145" s="82" t="s">
        <v>9502</v>
      </c>
      <c r="D145" s="83">
        <v>30.0</v>
      </c>
      <c r="E145" s="274">
        <f t="shared" si="2"/>
        <v>30</v>
      </c>
      <c r="F145" s="288" t="s">
        <v>533</v>
      </c>
    </row>
    <row r="146" ht="15.0" customHeight="1">
      <c r="A146" s="82" t="s">
        <v>9503</v>
      </c>
      <c r="B146" s="82" t="s">
        <v>1783</v>
      </c>
      <c r="C146" s="82" t="s">
        <v>9504</v>
      </c>
      <c r="D146" s="83">
        <v>20.0</v>
      </c>
      <c r="E146" s="274">
        <v>10.0</v>
      </c>
      <c r="F146" s="288" t="s">
        <v>74</v>
      </c>
    </row>
    <row r="147" ht="15.0" customHeight="1">
      <c r="A147" s="82" t="s">
        <v>65</v>
      </c>
      <c r="B147" s="82" t="s">
        <v>52</v>
      </c>
      <c r="C147" s="82" t="s">
        <v>9505</v>
      </c>
      <c r="D147" s="83">
        <v>20.0</v>
      </c>
      <c r="E147" s="274">
        <v>20.0</v>
      </c>
      <c r="F147" s="288" t="s">
        <v>65</v>
      </c>
    </row>
    <row r="148" ht="15.0" customHeight="1">
      <c r="A148" s="82" t="s">
        <v>65</v>
      </c>
      <c r="B148" s="82" t="s">
        <v>52</v>
      </c>
      <c r="C148" s="82" t="s">
        <v>9506</v>
      </c>
      <c r="D148" s="83">
        <v>20.0</v>
      </c>
      <c r="E148" s="274">
        <v>20.0</v>
      </c>
      <c r="F148" s="288" t="s">
        <v>65</v>
      </c>
    </row>
    <row r="149" ht="15.0" customHeight="1">
      <c r="A149" s="82" t="s">
        <v>65</v>
      </c>
      <c r="B149" s="82" t="s">
        <v>52</v>
      </c>
      <c r="C149" s="82" t="s">
        <v>9507</v>
      </c>
      <c r="D149" s="83">
        <v>20.0</v>
      </c>
      <c r="E149" s="274">
        <v>20.0</v>
      </c>
      <c r="F149" s="288" t="s">
        <v>65</v>
      </c>
    </row>
    <row r="150" ht="15.0" customHeight="1">
      <c r="A150" s="82" t="s">
        <v>65</v>
      </c>
      <c r="B150" s="82" t="s">
        <v>52</v>
      </c>
      <c r="C150" s="82" t="s">
        <v>9508</v>
      </c>
      <c r="D150" s="83">
        <v>20.0</v>
      </c>
      <c r="E150" s="274">
        <v>10.0</v>
      </c>
      <c r="F150" s="288" t="s">
        <v>65</v>
      </c>
    </row>
    <row r="151" ht="15.0" customHeight="1">
      <c r="A151" s="82" t="s">
        <v>65</v>
      </c>
      <c r="B151" s="82" t="s">
        <v>52</v>
      </c>
      <c r="C151" s="82" t="s">
        <v>9509</v>
      </c>
      <c r="D151" s="83">
        <v>20.0</v>
      </c>
      <c r="E151" s="274">
        <v>10.0</v>
      </c>
      <c r="F151" s="288" t="s">
        <v>65</v>
      </c>
    </row>
    <row r="152" ht="15.0" customHeight="1">
      <c r="A152" s="82" t="s">
        <v>65</v>
      </c>
      <c r="B152" s="82" t="s">
        <v>52</v>
      </c>
      <c r="C152" s="82" t="s">
        <v>9510</v>
      </c>
      <c r="D152" s="83">
        <v>20.0</v>
      </c>
      <c r="E152" s="274">
        <v>10.0</v>
      </c>
      <c r="F152" s="288" t="s">
        <v>65</v>
      </c>
    </row>
    <row r="153" ht="15.0" customHeight="1">
      <c r="A153" s="82" t="s">
        <v>9228</v>
      </c>
      <c r="B153" s="82" t="s">
        <v>94</v>
      </c>
      <c r="C153" s="82" t="s">
        <v>9511</v>
      </c>
      <c r="D153" s="83">
        <v>20.0</v>
      </c>
      <c r="E153" s="274">
        <v>20.0</v>
      </c>
      <c r="F153" s="288" t="s">
        <v>5258</v>
      </c>
    </row>
    <row r="154" ht="15.0" customHeight="1">
      <c r="A154" s="82" t="s">
        <v>9228</v>
      </c>
      <c r="B154" s="82" t="s">
        <v>94</v>
      </c>
      <c r="C154" s="82" t="s">
        <v>9512</v>
      </c>
      <c r="D154" s="83">
        <v>20.0</v>
      </c>
      <c r="E154" s="274">
        <v>20.0</v>
      </c>
      <c r="F154" s="288" t="s">
        <v>5258</v>
      </c>
    </row>
    <row r="155" ht="15.0" customHeight="1">
      <c r="A155" s="82" t="s">
        <v>9228</v>
      </c>
      <c r="B155" s="82" t="s">
        <v>94</v>
      </c>
      <c r="C155" s="82" t="s">
        <v>9513</v>
      </c>
      <c r="D155" s="83">
        <v>20.0</v>
      </c>
      <c r="E155" s="274">
        <v>20.0</v>
      </c>
      <c r="F155" s="288" t="s">
        <v>5258</v>
      </c>
    </row>
    <row r="156" ht="15.0" customHeight="1">
      <c r="A156" s="82" t="s">
        <v>9228</v>
      </c>
      <c r="B156" s="82" t="s">
        <v>94</v>
      </c>
      <c r="C156" s="82" t="s">
        <v>9514</v>
      </c>
      <c r="D156" s="83">
        <v>20.0</v>
      </c>
      <c r="E156" s="274">
        <v>20.0</v>
      </c>
      <c r="F156" s="288" t="s">
        <v>5258</v>
      </c>
    </row>
    <row r="157" ht="15.0" customHeight="1">
      <c r="A157" s="82" t="s">
        <v>9228</v>
      </c>
      <c r="B157" s="82" t="s">
        <v>94</v>
      </c>
      <c r="C157" s="82" t="s">
        <v>9515</v>
      </c>
      <c r="D157" s="83">
        <v>30.0</v>
      </c>
      <c r="E157" s="274">
        <v>30.0</v>
      </c>
      <c r="F157" s="288" t="s">
        <v>5258</v>
      </c>
    </row>
    <row r="158" ht="15.75" customHeight="1">
      <c r="A158" s="82" t="s">
        <v>8566</v>
      </c>
      <c r="B158" s="148" t="s">
        <v>94</v>
      </c>
      <c r="C158" s="148" t="s">
        <v>9516</v>
      </c>
      <c r="D158" s="83">
        <v>30.0</v>
      </c>
      <c r="E158" s="274">
        <f t="shared" ref="E158:E163" si="3">D158</f>
        <v>30</v>
      </c>
      <c r="F158" s="288" t="s">
        <v>5698</v>
      </c>
    </row>
    <row r="159" ht="15.75" customHeight="1">
      <c r="A159" s="82" t="s">
        <v>8566</v>
      </c>
      <c r="B159" s="148" t="s">
        <v>94</v>
      </c>
      <c r="C159" s="148" t="s">
        <v>9517</v>
      </c>
      <c r="D159" s="83">
        <v>30.0</v>
      </c>
      <c r="E159" s="274">
        <f t="shared" si="3"/>
        <v>30</v>
      </c>
      <c r="F159" s="288" t="s">
        <v>5698</v>
      </c>
    </row>
    <row r="160" ht="15.75" customHeight="1">
      <c r="A160" s="82" t="s">
        <v>8566</v>
      </c>
      <c r="B160" s="148" t="s">
        <v>94</v>
      </c>
      <c r="C160" s="148" t="s">
        <v>9518</v>
      </c>
      <c r="D160" s="83">
        <v>30.0</v>
      </c>
      <c r="E160" s="274">
        <f t="shared" si="3"/>
        <v>30</v>
      </c>
      <c r="F160" s="288" t="s">
        <v>5698</v>
      </c>
    </row>
    <row r="161" ht="15.75" customHeight="1">
      <c r="A161" s="82" t="s">
        <v>9519</v>
      </c>
      <c r="B161" s="148" t="s">
        <v>94</v>
      </c>
      <c r="C161" s="148" t="s">
        <v>9520</v>
      </c>
      <c r="D161" s="83">
        <v>15.0</v>
      </c>
      <c r="E161" s="274">
        <f t="shared" si="3"/>
        <v>15</v>
      </c>
      <c r="F161" s="288" t="s">
        <v>5698</v>
      </c>
    </row>
    <row r="162" ht="15.0" customHeight="1">
      <c r="A162" s="82" t="s">
        <v>8566</v>
      </c>
      <c r="B162" s="148" t="s">
        <v>94</v>
      </c>
      <c r="C162" s="82" t="s">
        <v>9521</v>
      </c>
      <c r="D162" s="83">
        <v>20.0</v>
      </c>
      <c r="E162" s="274">
        <f t="shared" si="3"/>
        <v>20</v>
      </c>
      <c r="F162" s="288" t="s">
        <v>5698</v>
      </c>
    </row>
    <row r="163" ht="15.0" customHeight="1">
      <c r="A163" s="82" t="s">
        <v>9522</v>
      </c>
      <c r="B163" s="148" t="s">
        <v>94</v>
      </c>
      <c r="C163" s="82" t="s">
        <v>9523</v>
      </c>
      <c r="D163" s="83">
        <v>10.0</v>
      </c>
      <c r="E163" s="274">
        <f t="shared" si="3"/>
        <v>10</v>
      </c>
      <c r="F163" s="288" t="s">
        <v>5698</v>
      </c>
    </row>
    <row r="164" ht="15.0" customHeight="1">
      <c r="A164" s="82" t="s">
        <v>8961</v>
      </c>
      <c r="B164" s="82" t="s">
        <v>94</v>
      </c>
      <c r="C164" s="82" t="s">
        <v>9524</v>
      </c>
      <c r="D164" s="83">
        <v>20.0</v>
      </c>
      <c r="E164" s="274">
        <v>20.0</v>
      </c>
      <c r="F164" s="288" t="s">
        <v>8578</v>
      </c>
    </row>
    <row r="165" ht="15.0" customHeight="1">
      <c r="A165" s="82" t="s">
        <v>8961</v>
      </c>
      <c r="B165" s="82" t="s">
        <v>94</v>
      </c>
      <c r="C165" s="82" t="s">
        <v>9525</v>
      </c>
      <c r="D165" s="83">
        <v>20.0</v>
      </c>
      <c r="E165" s="274">
        <v>20.0</v>
      </c>
      <c r="F165" s="288" t="s">
        <v>8578</v>
      </c>
    </row>
    <row r="166" ht="15.0" customHeight="1">
      <c r="A166" s="82" t="s">
        <v>8961</v>
      </c>
      <c r="B166" s="82" t="s">
        <v>94</v>
      </c>
      <c r="C166" s="82" t="s">
        <v>9526</v>
      </c>
      <c r="D166" s="83">
        <v>20.0</v>
      </c>
      <c r="E166" s="274">
        <v>20.0</v>
      </c>
      <c r="F166" s="288" t="s">
        <v>8578</v>
      </c>
    </row>
    <row r="167" ht="15.0" customHeight="1">
      <c r="A167" s="82" t="s">
        <v>9527</v>
      </c>
      <c r="B167" s="82" t="s">
        <v>182</v>
      </c>
      <c r="C167" s="82" t="s">
        <v>9528</v>
      </c>
      <c r="D167" s="83">
        <v>20.0</v>
      </c>
      <c r="E167" s="275">
        <v>20.0</v>
      </c>
      <c r="F167" s="288" t="s">
        <v>566</v>
      </c>
    </row>
    <row r="168" ht="15.0" customHeight="1">
      <c r="A168" s="82" t="s">
        <v>9527</v>
      </c>
      <c r="B168" s="82" t="s">
        <v>182</v>
      </c>
      <c r="C168" s="82" t="s">
        <v>9529</v>
      </c>
      <c r="D168" s="83">
        <v>20.0</v>
      </c>
      <c r="E168" s="275">
        <v>20.0</v>
      </c>
      <c r="F168" s="288" t="s">
        <v>566</v>
      </c>
    </row>
    <row r="169" ht="15.0" customHeight="1">
      <c r="A169" s="82" t="s">
        <v>9527</v>
      </c>
      <c r="B169" s="82" t="s">
        <v>182</v>
      </c>
      <c r="C169" s="82" t="s">
        <v>9530</v>
      </c>
      <c r="D169" s="83">
        <v>30.0</v>
      </c>
      <c r="E169" s="275">
        <v>30.0</v>
      </c>
      <c r="F169" s="288" t="s">
        <v>566</v>
      </c>
    </row>
    <row r="170" ht="15.0" customHeight="1">
      <c r="A170" s="82" t="s">
        <v>9527</v>
      </c>
      <c r="B170" s="82" t="s">
        <v>182</v>
      </c>
      <c r="C170" s="82" t="s">
        <v>9531</v>
      </c>
      <c r="D170" s="83">
        <v>30.0</v>
      </c>
      <c r="E170" s="275">
        <v>30.0</v>
      </c>
      <c r="F170" s="288" t="s">
        <v>566</v>
      </c>
    </row>
    <row r="171" ht="15.0" customHeight="1">
      <c r="A171" s="82" t="s">
        <v>9527</v>
      </c>
      <c r="B171" s="82" t="s">
        <v>182</v>
      </c>
      <c r="C171" s="82" t="s">
        <v>9532</v>
      </c>
      <c r="D171" s="83">
        <v>30.0</v>
      </c>
      <c r="E171" s="275">
        <v>30.0</v>
      </c>
      <c r="F171" s="288" t="s">
        <v>566</v>
      </c>
    </row>
    <row r="172" ht="15.0" customHeight="1">
      <c r="A172" s="82" t="s">
        <v>9527</v>
      </c>
      <c r="B172" s="352" t="s">
        <v>182</v>
      </c>
      <c r="C172" s="352" t="s">
        <v>9533</v>
      </c>
      <c r="D172" s="489">
        <v>30.0</v>
      </c>
      <c r="E172" s="501">
        <v>30.0</v>
      </c>
      <c r="F172" s="288" t="s">
        <v>566</v>
      </c>
    </row>
    <row r="173" ht="15.0" customHeight="1">
      <c r="A173" s="82" t="s">
        <v>9527</v>
      </c>
      <c r="B173" s="82" t="s">
        <v>182</v>
      </c>
      <c r="C173" s="82" t="s">
        <v>9534</v>
      </c>
      <c r="D173" s="83">
        <v>30.0</v>
      </c>
      <c r="E173" s="275">
        <v>30.0</v>
      </c>
      <c r="F173" s="288" t="s">
        <v>566</v>
      </c>
    </row>
    <row r="174" ht="15.0" customHeight="1">
      <c r="A174" s="82" t="s">
        <v>9527</v>
      </c>
      <c r="B174" s="82" t="s">
        <v>182</v>
      </c>
      <c r="C174" s="82" t="s">
        <v>9535</v>
      </c>
      <c r="D174" s="83">
        <v>20.0</v>
      </c>
      <c r="E174" s="275">
        <v>20.0</v>
      </c>
      <c r="F174" s="288" t="s">
        <v>566</v>
      </c>
    </row>
    <row r="175" ht="15.0" customHeight="1">
      <c r="A175" s="82" t="s">
        <v>9527</v>
      </c>
      <c r="B175" s="288" t="s">
        <v>182</v>
      </c>
      <c r="C175" s="82" t="s">
        <v>9536</v>
      </c>
      <c r="D175" s="83">
        <v>20.0</v>
      </c>
      <c r="E175" s="275">
        <v>20.0</v>
      </c>
      <c r="F175" s="288" t="s">
        <v>566</v>
      </c>
    </row>
    <row r="176" ht="15.0" customHeight="1">
      <c r="A176" s="82" t="s">
        <v>9527</v>
      </c>
      <c r="B176" s="82" t="s">
        <v>182</v>
      </c>
      <c r="C176" s="82" t="s">
        <v>9537</v>
      </c>
      <c r="D176" s="83">
        <v>20.0</v>
      </c>
      <c r="E176" s="275">
        <v>20.0</v>
      </c>
      <c r="F176" s="288" t="s">
        <v>566</v>
      </c>
    </row>
    <row r="177" ht="15.0" customHeight="1">
      <c r="A177" s="82" t="s">
        <v>9527</v>
      </c>
      <c r="B177" s="82" t="s">
        <v>182</v>
      </c>
      <c r="C177" s="82" t="s">
        <v>9538</v>
      </c>
      <c r="D177" s="83">
        <v>30.0</v>
      </c>
      <c r="E177" s="275">
        <v>30.0</v>
      </c>
      <c r="F177" s="288" t="s">
        <v>566</v>
      </c>
    </row>
    <row r="178" ht="15.0" customHeight="1">
      <c r="A178" s="82" t="s">
        <v>9527</v>
      </c>
      <c r="B178" s="82" t="s">
        <v>182</v>
      </c>
      <c r="C178" s="352" t="s">
        <v>9539</v>
      </c>
      <c r="D178" s="83">
        <v>30.0</v>
      </c>
      <c r="E178" s="274">
        <v>30.0</v>
      </c>
      <c r="F178" s="288" t="s">
        <v>566</v>
      </c>
    </row>
    <row r="179" ht="15.0" customHeight="1">
      <c r="A179" s="82" t="s">
        <v>2704</v>
      </c>
      <c r="B179" s="326" t="s">
        <v>94</v>
      </c>
      <c r="C179" s="502" t="s">
        <v>9540</v>
      </c>
      <c r="D179" s="493">
        <v>20.0</v>
      </c>
      <c r="E179" s="274">
        <v>20.0</v>
      </c>
      <c r="F179" s="288" t="s">
        <v>2704</v>
      </c>
    </row>
    <row r="180" ht="15.0" customHeight="1">
      <c r="A180" s="82" t="s">
        <v>2704</v>
      </c>
      <c r="B180" s="326" t="s">
        <v>94</v>
      </c>
      <c r="C180" s="78" t="s">
        <v>9541</v>
      </c>
      <c r="D180" s="493">
        <v>20.0</v>
      </c>
      <c r="E180" s="274">
        <v>20.0</v>
      </c>
      <c r="F180" s="288" t="s">
        <v>2704</v>
      </c>
    </row>
    <row r="181" ht="15.0" customHeight="1">
      <c r="A181" s="82" t="s">
        <v>2704</v>
      </c>
      <c r="B181" s="326" t="s">
        <v>94</v>
      </c>
      <c r="C181" s="78" t="s">
        <v>9542</v>
      </c>
      <c r="D181" s="493">
        <v>20.0</v>
      </c>
      <c r="E181" s="274">
        <v>20.0</v>
      </c>
      <c r="F181" s="288" t="s">
        <v>2704</v>
      </c>
    </row>
    <row r="182" ht="15.0" customHeight="1">
      <c r="A182" s="82" t="s">
        <v>2704</v>
      </c>
      <c r="B182" s="326" t="s">
        <v>94</v>
      </c>
      <c r="C182" s="78" t="s">
        <v>9543</v>
      </c>
      <c r="D182" s="493">
        <v>20.0</v>
      </c>
      <c r="E182" s="274">
        <v>20.0</v>
      </c>
      <c r="F182" s="288" t="s">
        <v>2704</v>
      </c>
    </row>
    <row r="183" ht="15.0" customHeight="1">
      <c r="A183" s="82" t="s">
        <v>2704</v>
      </c>
      <c r="B183" s="326" t="s">
        <v>94</v>
      </c>
      <c r="C183" s="78" t="s">
        <v>9544</v>
      </c>
      <c r="D183" s="493">
        <v>20.0</v>
      </c>
      <c r="E183" s="274">
        <v>20.0</v>
      </c>
      <c r="F183" s="288" t="s">
        <v>2704</v>
      </c>
    </row>
    <row r="184" ht="15.0" customHeight="1">
      <c r="A184" s="82" t="s">
        <v>2704</v>
      </c>
      <c r="B184" s="326" t="s">
        <v>94</v>
      </c>
      <c r="C184" s="78" t="s">
        <v>9545</v>
      </c>
      <c r="D184" s="493">
        <v>20.0</v>
      </c>
      <c r="E184" s="274">
        <v>20.0</v>
      </c>
      <c r="F184" s="288" t="s">
        <v>2704</v>
      </c>
    </row>
    <row r="185" ht="15.0" customHeight="1">
      <c r="A185" s="352" t="s">
        <v>2704</v>
      </c>
      <c r="B185" s="422" t="s">
        <v>94</v>
      </c>
      <c r="C185" s="353" t="s">
        <v>9546</v>
      </c>
      <c r="D185" s="503">
        <v>20.0</v>
      </c>
      <c r="E185" s="504">
        <f>D185/2</f>
        <v>10</v>
      </c>
      <c r="F185" s="288" t="s">
        <v>2704</v>
      </c>
    </row>
    <row r="186" ht="15.0" customHeight="1">
      <c r="A186" s="82" t="s">
        <v>2704</v>
      </c>
      <c r="B186" s="82" t="s">
        <v>94</v>
      </c>
      <c r="C186" s="82" t="s">
        <v>9547</v>
      </c>
      <c r="D186" s="83">
        <v>20.0</v>
      </c>
      <c r="E186" s="274">
        <v>10.0</v>
      </c>
      <c r="F186" s="288" t="s">
        <v>2704</v>
      </c>
    </row>
    <row r="187" ht="15.0" customHeight="1">
      <c r="A187" s="82" t="s">
        <v>2704</v>
      </c>
      <c r="B187" s="82" t="s">
        <v>94</v>
      </c>
      <c r="C187" s="155" t="s">
        <v>9548</v>
      </c>
      <c r="D187" s="83">
        <v>20.0</v>
      </c>
      <c r="E187" s="274">
        <v>10.0</v>
      </c>
      <c r="F187" s="288" t="s">
        <v>2704</v>
      </c>
    </row>
    <row r="188" ht="15.0" customHeight="1">
      <c r="A188" s="82" t="s">
        <v>2704</v>
      </c>
      <c r="B188" s="82" t="s">
        <v>94</v>
      </c>
      <c r="C188" s="155" t="s">
        <v>9549</v>
      </c>
      <c r="D188" s="83">
        <v>20.0</v>
      </c>
      <c r="E188" s="274">
        <v>10.0</v>
      </c>
      <c r="F188" s="288" t="s">
        <v>2704</v>
      </c>
    </row>
    <row r="189" ht="15.0" customHeight="1">
      <c r="A189" s="82" t="s">
        <v>2704</v>
      </c>
      <c r="B189" s="82" t="s">
        <v>94</v>
      </c>
      <c r="C189" s="155" t="s">
        <v>9550</v>
      </c>
      <c r="D189" s="83">
        <v>20.0</v>
      </c>
      <c r="E189" s="274">
        <v>10.0</v>
      </c>
      <c r="F189" s="288" t="s">
        <v>2704</v>
      </c>
    </row>
    <row r="190" ht="15.0" customHeight="1">
      <c r="A190" s="82" t="s">
        <v>2704</v>
      </c>
      <c r="B190" s="82" t="s">
        <v>94</v>
      </c>
      <c r="C190" s="155" t="s">
        <v>9551</v>
      </c>
      <c r="D190" s="83">
        <v>20.0</v>
      </c>
      <c r="E190" s="274">
        <v>10.0</v>
      </c>
      <c r="F190" s="288" t="s">
        <v>2704</v>
      </c>
    </row>
    <row r="191" ht="15.0" customHeight="1">
      <c r="A191" s="82" t="s">
        <v>2704</v>
      </c>
      <c r="B191" s="82" t="s">
        <v>94</v>
      </c>
      <c r="C191" s="155" t="s">
        <v>9552</v>
      </c>
      <c r="D191" s="83">
        <v>20.0</v>
      </c>
      <c r="E191" s="274">
        <v>10.0</v>
      </c>
      <c r="F191" s="288" t="s">
        <v>2704</v>
      </c>
    </row>
    <row r="192" ht="15.0" customHeight="1">
      <c r="A192" s="82" t="s">
        <v>2704</v>
      </c>
      <c r="B192" s="82" t="s">
        <v>94</v>
      </c>
      <c r="C192" s="155" t="s">
        <v>9553</v>
      </c>
      <c r="D192" s="83">
        <v>20.0</v>
      </c>
      <c r="E192" s="274">
        <v>10.0</v>
      </c>
      <c r="F192" s="288" t="s">
        <v>2704</v>
      </c>
    </row>
    <row r="193" ht="15.0" customHeight="1">
      <c r="A193" s="82" t="s">
        <v>2704</v>
      </c>
      <c r="B193" s="82" t="s">
        <v>94</v>
      </c>
      <c r="C193" s="155" t="s">
        <v>9554</v>
      </c>
      <c r="D193" s="83">
        <v>20.0</v>
      </c>
      <c r="E193" s="274">
        <v>10.0</v>
      </c>
      <c r="F193" s="288" t="s">
        <v>2704</v>
      </c>
    </row>
    <row r="194" ht="15.0" customHeight="1">
      <c r="A194" s="82" t="s">
        <v>2704</v>
      </c>
      <c r="B194" s="82" t="s">
        <v>94</v>
      </c>
      <c r="C194" s="155" t="s">
        <v>9555</v>
      </c>
      <c r="D194" s="83">
        <v>20.0</v>
      </c>
      <c r="E194" s="274">
        <v>10.0</v>
      </c>
      <c r="F194" s="288" t="s">
        <v>2704</v>
      </c>
    </row>
    <row r="195" ht="15.0" customHeight="1">
      <c r="A195" s="82" t="s">
        <v>7901</v>
      </c>
      <c r="B195" s="82" t="s">
        <v>94</v>
      </c>
      <c r="C195" s="82" t="s">
        <v>9556</v>
      </c>
      <c r="D195" s="83">
        <v>30.0</v>
      </c>
      <c r="E195" s="275">
        <v>30.0</v>
      </c>
      <c r="F195" s="288" t="s">
        <v>590</v>
      </c>
    </row>
    <row r="196" ht="15.0" customHeight="1">
      <c r="A196" s="82" t="s">
        <v>7901</v>
      </c>
      <c r="B196" s="82" t="s">
        <v>94</v>
      </c>
      <c r="C196" s="82" t="s">
        <v>9557</v>
      </c>
      <c r="D196" s="83">
        <v>30.0</v>
      </c>
      <c r="E196" s="275">
        <v>30.0</v>
      </c>
      <c r="F196" s="288" t="s">
        <v>590</v>
      </c>
    </row>
    <row r="197" ht="15.0" customHeight="1">
      <c r="A197" s="82" t="s">
        <v>8608</v>
      </c>
      <c r="B197" s="148" t="s">
        <v>94</v>
      </c>
      <c r="C197" s="82" t="s">
        <v>9558</v>
      </c>
      <c r="D197" s="83">
        <v>20.0</v>
      </c>
      <c r="E197" s="274">
        <v>20.0</v>
      </c>
      <c r="F197" s="288" t="s">
        <v>616</v>
      </c>
    </row>
    <row r="198" ht="15.0" customHeight="1">
      <c r="A198" s="82" t="s">
        <v>8608</v>
      </c>
      <c r="B198" s="148" t="s">
        <v>94</v>
      </c>
      <c r="C198" s="82" t="s">
        <v>9559</v>
      </c>
      <c r="D198" s="83">
        <v>20.0</v>
      </c>
      <c r="E198" s="274">
        <v>20.0</v>
      </c>
      <c r="F198" s="288" t="s">
        <v>616</v>
      </c>
    </row>
    <row r="199" ht="15.0" customHeight="1">
      <c r="A199" s="82" t="s">
        <v>8608</v>
      </c>
      <c r="B199" s="148" t="s">
        <v>94</v>
      </c>
      <c r="C199" s="82" t="s">
        <v>9560</v>
      </c>
      <c r="D199" s="83">
        <v>20.0</v>
      </c>
      <c r="E199" s="274">
        <v>20.0</v>
      </c>
      <c r="F199" s="288" t="s">
        <v>616</v>
      </c>
    </row>
    <row r="200" ht="15.0" customHeight="1">
      <c r="A200" s="82" t="s">
        <v>8608</v>
      </c>
      <c r="B200" s="148" t="s">
        <v>94</v>
      </c>
      <c r="C200" s="82" t="s">
        <v>9561</v>
      </c>
      <c r="D200" s="83">
        <v>30.0</v>
      </c>
      <c r="E200" s="274">
        <v>30.0</v>
      </c>
      <c r="F200" s="288" t="s">
        <v>616</v>
      </c>
    </row>
    <row r="201" ht="15.0" customHeight="1">
      <c r="A201" s="82" t="s">
        <v>8608</v>
      </c>
      <c r="B201" s="148" t="s">
        <v>94</v>
      </c>
      <c r="C201" s="82" t="s">
        <v>9562</v>
      </c>
      <c r="D201" s="83">
        <v>30.0</v>
      </c>
      <c r="E201" s="274">
        <v>30.0</v>
      </c>
      <c r="F201" s="288" t="s">
        <v>616</v>
      </c>
    </row>
    <row r="202" ht="15.0" customHeight="1">
      <c r="A202" s="82" t="s">
        <v>8608</v>
      </c>
      <c r="B202" s="148" t="s">
        <v>94</v>
      </c>
      <c r="C202" s="82" t="s">
        <v>9563</v>
      </c>
      <c r="D202" s="83">
        <v>30.0</v>
      </c>
      <c r="E202" s="274">
        <v>30.0</v>
      </c>
      <c r="F202" s="288" t="s">
        <v>616</v>
      </c>
    </row>
    <row r="203" ht="15.0" customHeight="1">
      <c r="A203" s="82" t="s">
        <v>8608</v>
      </c>
      <c r="B203" s="148" t="s">
        <v>94</v>
      </c>
      <c r="C203" s="82" t="s">
        <v>9564</v>
      </c>
      <c r="D203" s="83">
        <v>30.0</v>
      </c>
      <c r="E203" s="274">
        <v>30.0</v>
      </c>
      <c r="F203" s="288" t="s">
        <v>616</v>
      </c>
    </row>
    <row r="204" ht="15.0" customHeight="1">
      <c r="A204" s="82" t="s">
        <v>8608</v>
      </c>
      <c r="B204" s="148" t="s">
        <v>94</v>
      </c>
      <c r="C204" s="82" t="s">
        <v>9565</v>
      </c>
      <c r="D204" s="83">
        <v>30.0</v>
      </c>
      <c r="E204" s="274">
        <v>30.0</v>
      </c>
      <c r="F204" s="288" t="s">
        <v>616</v>
      </c>
    </row>
    <row r="205" ht="15.0" customHeight="1">
      <c r="A205" s="82" t="s">
        <v>8608</v>
      </c>
      <c r="B205" s="148" t="s">
        <v>94</v>
      </c>
      <c r="C205" s="82" t="s">
        <v>9566</v>
      </c>
      <c r="D205" s="83">
        <v>30.0</v>
      </c>
      <c r="E205" s="274">
        <v>30.0</v>
      </c>
      <c r="F205" s="288" t="s">
        <v>616</v>
      </c>
    </row>
    <row r="206" ht="15.0" customHeight="1">
      <c r="A206" s="82" t="s">
        <v>8608</v>
      </c>
      <c r="B206" s="148" t="s">
        <v>94</v>
      </c>
      <c r="C206" s="82" t="s">
        <v>9567</v>
      </c>
      <c r="D206" s="83">
        <v>30.0</v>
      </c>
      <c r="E206" s="274">
        <v>30.0</v>
      </c>
      <c r="F206" s="288" t="s">
        <v>616</v>
      </c>
    </row>
    <row r="207" ht="15.0" customHeight="1">
      <c r="A207" s="82" t="s">
        <v>8608</v>
      </c>
      <c r="B207" s="148" t="s">
        <v>94</v>
      </c>
      <c r="C207" s="82" t="s">
        <v>9568</v>
      </c>
      <c r="D207" s="83">
        <v>20.0</v>
      </c>
      <c r="E207" s="274">
        <v>20.0</v>
      </c>
      <c r="F207" s="288" t="s">
        <v>616</v>
      </c>
    </row>
    <row r="208" ht="15.0" customHeight="1">
      <c r="A208" s="82" t="s">
        <v>8608</v>
      </c>
      <c r="B208" s="148" t="s">
        <v>94</v>
      </c>
      <c r="C208" s="82" t="s">
        <v>9569</v>
      </c>
      <c r="D208" s="83">
        <v>20.0</v>
      </c>
      <c r="E208" s="274">
        <v>20.0</v>
      </c>
      <c r="F208" s="288" t="s">
        <v>616</v>
      </c>
    </row>
    <row r="209" ht="15.0" customHeight="1">
      <c r="A209" s="82" t="s">
        <v>8608</v>
      </c>
      <c r="B209" s="148" t="s">
        <v>94</v>
      </c>
      <c r="C209" s="82" t="s">
        <v>9570</v>
      </c>
      <c r="D209" s="83">
        <v>20.0</v>
      </c>
      <c r="E209" s="274">
        <v>20.0</v>
      </c>
      <c r="F209" s="288" t="s">
        <v>616</v>
      </c>
    </row>
    <row r="210" ht="15.0" customHeight="1">
      <c r="A210" s="82" t="s">
        <v>8608</v>
      </c>
      <c r="B210" s="148" t="s">
        <v>94</v>
      </c>
      <c r="C210" s="82" t="s">
        <v>9571</v>
      </c>
      <c r="D210" s="83">
        <v>20.0</v>
      </c>
      <c r="E210" s="274">
        <v>20.0</v>
      </c>
      <c r="F210" s="288" t="s">
        <v>616</v>
      </c>
    </row>
    <row r="211" ht="15.0" customHeight="1">
      <c r="A211" s="82" t="s">
        <v>2853</v>
      </c>
      <c r="B211" s="82" t="s">
        <v>94</v>
      </c>
      <c r="C211" s="347" t="s">
        <v>9572</v>
      </c>
      <c r="D211" s="83">
        <v>30.0</v>
      </c>
      <c r="E211" s="274">
        <v>30.0</v>
      </c>
      <c r="F211" s="288" t="s">
        <v>2853</v>
      </c>
    </row>
    <row r="212" ht="15.0" customHeight="1">
      <c r="A212" s="82" t="s">
        <v>2853</v>
      </c>
      <c r="B212" s="82" t="s">
        <v>94</v>
      </c>
      <c r="C212" s="70" t="s">
        <v>9573</v>
      </c>
      <c r="D212" s="83">
        <v>30.0</v>
      </c>
      <c r="E212" s="274">
        <v>30.0</v>
      </c>
      <c r="F212" s="288" t="s">
        <v>2853</v>
      </c>
    </row>
    <row r="213" ht="15.0" customHeight="1">
      <c r="A213" s="82" t="s">
        <v>2853</v>
      </c>
      <c r="B213" s="82" t="s">
        <v>94</v>
      </c>
      <c r="C213" s="70" t="s">
        <v>9574</v>
      </c>
      <c r="D213" s="83">
        <v>30.0</v>
      </c>
      <c r="E213" s="274">
        <v>30.0</v>
      </c>
      <c r="F213" s="288" t="s">
        <v>2853</v>
      </c>
    </row>
    <row r="214" ht="15.0" customHeight="1">
      <c r="A214" s="82" t="s">
        <v>2853</v>
      </c>
      <c r="B214" s="82" t="s">
        <v>94</v>
      </c>
      <c r="C214" s="505" t="s">
        <v>9575</v>
      </c>
      <c r="D214" s="83">
        <v>30.0</v>
      </c>
      <c r="E214" s="274">
        <v>30.0</v>
      </c>
      <c r="F214" s="288" t="s">
        <v>2853</v>
      </c>
    </row>
    <row r="215" ht="15.0" customHeight="1">
      <c r="A215" s="82" t="s">
        <v>2853</v>
      </c>
      <c r="B215" s="82" t="s">
        <v>94</v>
      </c>
      <c r="C215" s="70" t="s">
        <v>9576</v>
      </c>
      <c r="D215" s="83">
        <v>20.0</v>
      </c>
      <c r="E215" s="274">
        <v>20.0</v>
      </c>
      <c r="F215" s="288" t="s">
        <v>2853</v>
      </c>
    </row>
    <row r="216" ht="15.0" customHeight="1">
      <c r="A216" s="82" t="s">
        <v>2853</v>
      </c>
      <c r="B216" s="82" t="s">
        <v>94</v>
      </c>
      <c r="C216" s="70" t="s">
        <v>9577</v>
      </c>
      <c r="D216" s="83">
        <v>20.0</v>
      </c>
      <c r="E216" s="274">
        <v>20.0</v>
      </c>
      <c r="F216" s="288" t="s">
        <v>2853</v>
      </c>
    </row>
    <row r="217" ht="15.0" customHeight="1">
      <c r="A217" s="82" t="s">
        <v>2853</v>
      </c>
      <c r="B217" s="82" t="s">
        <v>94</v>
      </c>
      <c r="C217" s="70" t="s">
        <v>9578</v>
      </c>
      <c r="D217" s="83">
        <v>20.0</v>
      </c>
      <c r="E217" s="274">
        <v>20.0</v>
      </c>
      <c r="F217" s="288" t="s">
        <v>2853</v>
      </c>
    </row>
    <row r="218" ht="15.0" customHeight="1">
      <c r="A218" s="82" t="s">
        <v>2853</v>
      </c>
      <c r="B218" s="82" t="s">
        <v>94</v>
      </c>
      <c r="C218" s="70" t="s">
        <v>9579</v>
      </c>
      <c r="D218" s="83">
        <v>20.0</v>
      </c>
      <c r="E218" s="274">
        <v>20.0</v>
      </c>
      <c r="F218" s="288" t="s">
        <v>2853</v>
      </c>
    </row>
    <row r="219" ht="15.0" customHeight="1">
      <c r="A219" s="82" t="s">
        <v>2853</v>
      </c>
      <c r="B219" s="82" t="s">
        <v>94</v>
      </c>
      <c r="C219" s="70" t="s">
        <v>9580</v>
      </c>
      <c r="D219" s="83">
        <v>20.0</v>
      </c>
      <c r="E219" s="274">
        <v>20.0</v>
      </c>
      <c r="F219" s="288" t="s">
        <v>2853</v>
      </c>
    </row>
    <row r="220" ht="15.0" customHeight="1">
      <c r="A220" s="82" t="s">
        <v>626</v>
      </c>
      <c r="B220" s="82" t="s">
        <v>94</v>
      </c>
      <c r="C220" s="82" t="s">
        <v>9581</v>
      </c>
      <c r="D220" s="83">
        <v>20.0</v>
      </c>
      <c r="E220" s="275">
        <f t="shared" ref="E220:E222" si="4">D220/2</f>
        <v>10</v>
      </c>
      <c r="F220" s="288" t="s">
        <v>626</v>
      </c>
    </row>
    <row r="221" ht="15.0" customHeight="1">
      <c r="A221" s="82" t="s">
        <v>626</v>
      </c>
      <c r="B221" s="82" t="s">
        <v>94</v>
      </c>
      <c r="C221" s="82" t="s">
        <v>9582</v>
      </c>
      <c r="D221" s="83">
        <v>20.0</v>
      </c>
      <c r="E221" s="275">
        <f t="shared" si="4"/>
        <v>10</v>
      </c>
      <c r="F221" s="288" t="s">
        <v>626</v>
      </c>
    </row>
    <row r="222" ht="15.0" customHeight="1">
      <c r="A222" s="82" t="s">
        <v>626</v>
      </c>
      <c r="B222" s="82" t="s">
        <v>94</v>
      </c>
      <c r="C222" s="82" t="s">
        <v>9583</v>
      </c>
      <c r="D222" s="83">
        <v>20.0</v>
      </c>
      <c r="E222" s="275">
        <f t="shared" si="4"/>
        <v>10</v>
      </c>
      <c r="F222" s="288" t="s">
        <v>626</v>
      </c>
    </row>
    <row r="223" ht="15.0" customHeight="1">
      <c r="A223" s="82" t="s">
        <v>626</v>
      </c>
      <c r="B223" s="82" t="s">
        <v>94</v>
      </c>
      <c r="C223" s="82" t="s">
        <v>9584</v>
      </c>
      <c r="D223" s="83">
        <v>30.0</v>
      </c>
      <c r="E223" s="275">
        <v>30.0</v>
      </c>
      <c r="F223" s="288" t="s">
        <v>626</v>
      </c>
    </row>
    <row r="224" ht="15.0" customHeight="1">
      <c r="A224" s="82" t="s">
        <v>626</v>
      </c>
      <c r="B224" s="82" t="s">
        <v>94</v>
      </c>
      <c r="C224" s="82" t="s">
        <v>9585</v>
      </c>
      <c r="D224" s="83">
        <v>30.0</v>
      </c>
      <c r="E224" s="275">
        <v>30.0</v>
      </c>
      <c r="F224" s="288" t="s">
        <v>626</v>
      </c>
    </row>
    <row r="225" ht="15.0" customHeight="1">
      <c r="A225" s="82" t="s">
        <v>626</v>
      </c>
      <c r="B225" s="82" t="s">
        <v>94</v>
      </c>
      <c r="C225" s="82" t="s">
        <v>9586</v>
      </c>
      <c r="D225" s="83">
        <v>30.0</v>
      </c>
      <c r="E225" s="275">
        <v>30.0</v>
      </c>
      <c r="F225" s="288" t="s">
        <v>626</v>
      </c>
    </row>
    <row r="226" ht="15.0" customHeight="1">
      <c r="A226" s="82" t="s">
        <v>9249</v>
      </c>
      <c r="B226" s="82" t="s">
        <v>5327</v>
      </c>
      <c r="C226" s="82" t="s">
        <v>9587</v>
      </c>
      <c r="D226" s="83">
        <v>10.0</v>
      </c>
      <c r="E226" s="274">
        <v>10.0</v>
      </c>
      <c r="F226" s="288" t="s">
        <v>5331</v>
      </c>
    </row>
    <row r="227" ht="15.0" customHeight="1">
      <c r="A227" s="82" t="s">
        <v>9249</v>
      </c>
      <c r="B227" s="82" t="s">
        <v>5327</v>
      </c>
      <c r="C227" s="82" t="s">
        <v>9588</v>
      </c>
      <c r="D227" s="83">
        <v>10.0</v>
      </c>
      <c r="E227" s="274">
        <v>10.0</v>
      </c>
      <c r="F227" s="288" t="s">
        <v>5331</v>
      </c>
    </row>
    <row r="228" ht="15.0" customHeight="1">
      <c r="A228" s="82" t="s">
        <v>9249</v>
      </c>
      <c r="B228" s="82" t="s">
        <v>5327</v>
      </c>
      <c r="C228" s="82" t="s">
        <v>9589</v>
      </c>
      <c r="D228" s="83">
        <v>10.0</v>
      </c>
      <c r="E228" s="274">
        <v>10.0</v>
      </c>
      <c r="F228" s="288" t="s">
        <v>5331</v>
      </c>
    </row>
    <row r="229" ht="15.0" customHeight="1">
      <c r="A229" s="82" t="s">
        <v>9011</v>
      </c>
      <c r="B229" s="82" t="s">
        <v>94</v>
      </c>
      <c r="C229" s="82" t="s">
        <v>9590</v>
      </c>
      <c r="D229" s="83">
        <v>20.0</v>
      </c>
      <c r="E229" s="274">
        <v>10.0</v>
      </c>
      <c r="F229" s="288" t="s">
        <v>646</v>
      </c>
    </row>
    <row r="230" ht="15.0" customHeight="1">
      <c r="A230" s="82" t="s">
        <v>9011</v>
      </c>
      <c r="B230" s="82" t="s">
        <v>94</v>
      </c>
      <c r="C230" s="82" t="s">
        <v>9591</v>
      </c>
      <c r="D230" s="83">
        <v>20.0</v>
      </c>
      <c r="E230" s="274">
        <v>10.0</v>
      </c>
      <c r="F230" s="288" t="s">
        <v>646</v>
      </c>
    </row>
    <row r="231" ht="15.0" customHeight="1">
      <c r="A231" s="82" t="s">
        <v>9011</v>
      </c>
      <c r="B231" s="82" t="s">
        <v>94</v>
      </c>
      <c r="C231" s="82" t="s">
        <v>9592</v>
      </c>
      <c r="D231" s="83">
        <v>20.0</v>
      </c>
      <c r="E231" s="274">
        <v>10.0</v>
      </c>
      <c r="F231" s="288" t="s">
        <v>646</v>
      </c>
    </row>
    <row r="232" ht="15.0" customHeight="1">
      <c r="A232" s="82" t="s">
        <v>9011</v>
      </c>
      <c r="B232" s="82" t="s">
        <v>94</v>
      </c>
      <c r="C232" s="82" t="s">
        <v>9593</v>
      </c>
      <c r="D232" s="83">
        <v>20.0</v>
      </c>
      <c r="E232" s="274">
        <f t="shared" ref="E232:E238" si="5">D232</f>
        <v>20</v>
      </c>
      <c r="F232" s="288" t="s">
        <v>646</v>
      </c>
    </row>
    <row r="233" ht="15.0" customHeight="1">
      <c r="A233" s="82" t="s">
        <v>9011</v>
      </c>
      <c r="B233" s="82" t="s">
        <v>94</v>
      </c>
      <c r="C233" s="82" t="s">
        <v>9594</v>
      </c>
      <c r="D233" s="83">
        <v>20.0</v>
      </c>
      <c r="E233" s="274">
        <f t="shared" si="5"/>
        <v>20</v>
      </c>
      <c r="F233" s="288" t="s">
        <v>646</v>
      </c>
    </row>
    <row r="234" ht="15.0" customHeight="1">
      <c r="A234" s="82" t="s">
        <v>9011</v>
      </c>
      <c r="B234" s="82" t="s">
        <v>94</v>
      </c>
      <c r="C234" s="82" t="s">
        <v>9595</v>
      </c>
      <c r="D234" s="83">
        <v>20.0</v>
      </c>
      <c r="E234" s="274">
        <f t="shared" si="5"/>
        <v>20</v>
      </c>
      <c r="F234" s="288" t="s">
        <v>646</v>
      </c>
    </row>
    <row r="235" ht="15.0" customHeight="1">
      <c r="A235" s="82" t="s">
        <v>9011</v>
      </c>
      <c r="B235" s="82" t="s">
        <v>94</v>
      </c>
      <c r="C235" s="82" t="s">
        <v>9596</v>
      </c>
      <c r="D235" s="83">
        <v>20.0</v>
      </c>
      <c r="E235" s="274">
        <f t="shared" si="5"/>
        <v>20</v>
      </c>
      <c r="F235" s="288" t="s">
        <v>646</v>
      </c>
    </row>
    <row r="236" ht="15.0" customHeight="1">
      <c r="A236" s="82" t="s">
        <v>9011</v>
      </c>
      <c r="B236" s="82" t="s">
        <v>94</v>
      </c>
      <c r="C236" s="82" t="s">
        <v>9597</v>
      </c>
      <c r="D236" s="83">
        <v>30.0</v>
      </c>
      <c r="E236" s="274">
        <f t="shared" si="5"/>
        <v>30</v>
      </c>
      <c r="F236" s="288" t="s">
        <v>646</v>
      </c>
    </row>
    <row r="237" ht="15.0" customHeight="1">
      <c r="A237" s="82" t="s">
        <v>9011</v>
      </c>
      <c r="B237" s="82" t="s">
        <v>94</v>
      </c>
      <c r="C237" s="82" t="s">
        <v>9598</v>
      </c>
      <c r="D237" s="83">
        <v>30.0</v>
      </c>
      <c r="E237" s="274">
        <f t="shared" si="5"/>
        <v>30</v>
      </c>
      <c r="F237" s="288" t="s">
        <v>646</v>
      </c>
    </row>
    <row r="238" ht="15.0" customHeight="1">
      <c r="A238" s="82" t="s">
        <v>9011</v>
      </c>
      <c r="B238" s="82" t="s">
        <v>94</v>
      </c>
      <c r="C238" s="85" t="s">
        <v>9599</v>
      </c>
      <c r="D238" s="83">
        <v>30.0</v>
      </c>
      <c r="E238" s="274">
        <f t="shared" si="5"/>
        <v>30</v>
      </c>
      <c r="F238" s="288" t="s">
        <v>646</v>
      </c>
    </row>
    <row r="239" ht="15.0" customHeight="1">
      <c r="A239" s="82" t="s">
        <v>8632</v>
      </c>
      <c r="B239" s="82" t="s">
        <v>94</v>
      </c>
      <c r="C239" s="82" t="s">
        <v>9600</v>
      </c>
      <c r="D239" s="83">
        <v>20.0</v>
      </c>
      <c r="E239" s="274">
        <v>20.0</v>
      </c>
      <c r="F239" s="288" t="s">
        <v>8632</v>
      </c>
    </row>
    <row r="240" ht="15.0" customHeight="1">
      <c r="A240" s="82" t="s">
        <v>8632</v>
      </c>
      <c r="B240" s="82" t="s">
        <v>94</v>
      </c>
      <c r="C240" s="82" t="s">
        <v>9601</v>
      </c>
      <c r="D240" s="83">
        <v>20.0</v>
      </c>
      <c r="E240" s="274">
        <v>20.0</v>
      </c>
      <c r="F240" s="288" t="s">
        <v>8632</v>
      </c>
    </row>
    <row r="241" ht="15.0" customHeight="1">
      <c r="A241" s="82" t="s">
        <v>8632</v>
      </c>
      <c r="B241" s="82" t="s">
        <v>94</v>
      </c>
      <c r="C241" s="82" t="s">
        <v>9602</v>
      </c>
      <c r="D241" s="83">
        <v>20.0</v>
      </c>
      <c r="E241" s="274">
        <v>20.0</v>
      </c>
      <c r="F241" s="288" t="s">
        <v>8632</v>
      </c>
    </row>
    <row r="242" ht="15.0" customHeight="1">
      <c r="A242" s="82" t="s">
        <v>8632</v>
      </c>
      <c r="B242" s="82" t="s">
        <v>94</v>
      </c>
      <c r="C242" s="82" t="s">
        <v>9603</v>
      </c>
      <c r="D242" s="83">
        <v>30.0</v>
      </c>
      <c r="E242" s="274">
        <v>30.0</v>
      </c>
      <c r="F242" s="288" t="s">
        <v>8632</v>
      </c>
    </row>
    <row r="243" ht="15.0" customHeight="1">
      <c r="A243" s="82" t="s">
        <v>8632</v>
      </c>
      <c r="B243" s="82" t="s">
        <v>94</v>
      </c>
      <c r="C243" s="82"/>
      <c r="D243" s="83"/>
      <c r="E243" s="274"/>
      <c r="F243" s="288" t="s">
        <v>8632</v>
      </c>
    </row>
    <row r="244" ht="15.0" customHeight="1">
      <c r="A244" s="82" t="s">
        <v>8632</v>
      </c>
      <c r="B244" s="82" t="s">
        <v>94</v>
      </c>
      <c r="C244" s="82"/>
      <c r="D244" s="83"/>
      <c r="E244" s="274"/>
      <c r="F244" s="288" t="s">
        <v>8632</v>
      </c>
    </row>
    <row r="245" ht="15.0" customHeight="1">
      <c r="A245" s="82" t="s">
        <v>8632</v>
      </c>
      <c r="B245" s="82" t="s">
        <v>94</v>
      </c>
      <c r="C245" s="82"/>
      <c r="D245" s="83"/>
      <c r="E245" s="274"/>
      <c r="F245" s="288" t="s">
        <v>8632</v>
      </c>
    </row>
    <row r="246" ht="15.0" customHeight="1">
      <c r="A246" s="82" t="s">
        <v>8632</v>
      </c>
      <c r="B246" s="82" t="s">
        <v>94</v>
      </c>
      <c r="C246" s="82"/>
      <c r="D246" s="83"/>
      <c r="E246" s="274"/>
      <c r="F246" s="288" t="s">
        <v>8632</v>
      </c>
    </row>
    <row r="247" ht="15.0" customHeight="1">
      <c r="A247" s="82" t="s">
        <v>9604</v>
      </c>
      <c r="B247" s="82" t="s">
        <v>94</v>
      </c>
      <c r="C247" s="82" t="s">
        <v>9605</v>
      </c>
      <c r="D247" s="83">
        <v>20.0</v>
      </c>
      <c r="E247" s="275">
        <v>20.0</v>
      </c>
      <c r="F247" s="288" t="s">
        <v>3018</v>
      </c>
    </row>
    <row r="248" ht="15.0" customHeight="1">
      <c r="A248" s="82" t="s">
        <v>9604</v>
      </c>
      <c r="B248" s="82" t="s">
        <v>94</v>
      </c>
      <c r="C248" s="82" t="s">
        <v>9606</v>
      </c>
      <c r="D248" s="83">
        <v>20.0</v>
      </c>
      <c r="E248" s="275">
        <v>20.0</v>
      </c>
      <c r="F248" s="288" t="s">
        <v>3018</v>
      </c>
    </row>
    <row r="249" ht="15.0" customHeight="1">
      <c r="A249" s="82" t="s">
        <v>9607</v>
      </c>
      <c r="B249" s="82" t="s">
        <v>94</v>
      </c>
      <c r="C249" s="82" t="s">
        <v>9608</v>
      </c>
      <c r="D249" s="83">
        <v>20.0</v>
      </c>
      <c r="E249" s="275">
        <v>20.0</v>
      </c>
      <c r="F249" s="288" t="s">
        <v>3018</v>
      </c>
    </row>
    <row r="250" ht="15.0" customHeight="1">
      <c r="A250" s="82" t="s">
        <v>9604</v>
      </c>
      <c r="B250" s="82" t="s">
        <v>94</v>
      </c>
      <c r="C250" s="82" t="s">
        <v>9609</v>
      </c>
      <c r="D250" s="83">
        <v>20.0</v>
      </c>
      <c r="E250" s="275">
        <v>20.0</v>
      </c>
      <c r="F250" s="288" t="s">
        <v>3018</v>
      </c>
    </row>
    <row r="251" ht="15.0" customHeight="1">
      <c r="A251" s="82" t="s">
        <v>9604</v>
      </c>
      <c r="B251" s="82" t="s">
        <v>94</v>
      </c>
      <c r="C251" s="82" t="s">
        <v>9610</v>
      </c>
      <c r="D251" s="83">
        <v>30.0</v>
      </c>
      <c r="E251" s="275">
        <v>30.0</v>
      </c>
      <c r="F251" s="288" t="s">
        <v>3018</v>
      </c>
    </row>
    <row r="252" ht="15.0" customHeight="1">
      <c r="A252" s="82" t="s">
        <v>9604</v>
      </c>
      <c r="B252" s="82" t="s">
        <v>94</v>
      </c>
      <c r="C252" s="82" t="s">
        <v>9611</v>
      </c>
      <c r="D252" s="83">
        <v>30.0</v>
      </c>
      <c r="E252" s="275">
        <v>30.0</v>
      </c>
      <c r="F252" s="288" t="s">
        <v>3018</v>
      </c>
    </row>
    <row r="253" ht="15.0" customHeight="1">
      <c r="A253" s="82" t="s">
        <v>9604</v>
      </c>
      <c r="B253" s="82" t="s">
        <v>94</v>
      </c>
      <c r="C253" s="82" t="s">
        <v>9612</v>
      </c>
      <c r="D253" s="83">
        <v>30.0</v>
      </c>
      <c r="E253" s="275">
        <v>30.0</v>
      </c>
      <c r="F253" s="288" t="s">
        <v>3018</v>
      </c>
    </row>
    <row r="254" ht="15.0" customHeight="1">
      <c r="A254" s="82" t="s">
        <v>9604</v>
      </c>
      <c r="B254" s="82" t="s">
        <v>94</v>
      </c>
      <c r="C254" s="82" t="s">
        <v>9613</v>
      </c>
      <c r="D254" s="83">
        <v>30.0</v>
      </c>
      <c r="E254" s="275">
        <v>30.0</v>
      </c>
      <c r="F254" s="288" t="s">
        <v>3018</v>
      </c>
    </row>
    <row r="255" ht="15.0" customHeight="1">
      <c r="A255" s="82" t="s">
        <v>9604</v>
      </c>
      <c r="B255" s="82" t="s">
        <v>94</v>
      </c>
      <c r="C255" s="82" t="s">
        <v>9614</v>
      </c>
      <c r="D255" s="83">
        <v>30.0</v>
      </c>
      <c r="E255" s="275">
        <v>30.0</v>
      </c>
      <c r="F255" s="288" t="s">
        <v>3018</v>
      </c>
    </row>
    <row r="256" ht="15.0" customHeight="1">
      <c r="A256" s="82" t="s">
        <v>9604</v>
      </c>
      <c r="B256" s="82" t="s">
        <v>94</v>
      </c>
      <c r="C256" s="82" t="s">
        <v>9615</v>
      </c>
      <c r="D256" s="83">
        <v>30.0</v>
      </c>
      <c r="E256" s="275">
        <v>30.0</v>
      </c>
      <c r="F256" s="288" t="s">
        <v>3018</v>
      </c>
    </row>
    <row r="257" ht="15.0" customHeight="1">
      <c r="A257" s="100" t="s">
        <v>5706</v>
      </c>
      <c r="B257" s="100" t="s">
        <v>94</v>
      </c>
      <c r="C257" s="100" t="s">
        <v>9616</v>
      </c>
      <c r="D257" s="156">
        <v>20.0</v>
      </c>
      <c r="E257" s="494">
        <v>0.0</v>
      </c>
      <c r="F257" s="288" t="s">
        <v>5709</v>
      </c>
    </row>
    <row r="258" ht="15.0" customHeight="1">
      <c r="A258" s="82" t="s">
        <v>5706</v>
      </c>
      <c r="B258" s="82" t="s">
        <v>94</v>
      </c>
      <c r="C258" s="82" t="s">
        <v>9617</v>
      </c>
      <c r="D258" s="83">
        <v>20.0</v>
      </c>
      <c r="E258" s="494">
        <v>10.0</v>
      </c>
      <c r="F258" s="288" t="s">
        <v>5709</v>
      </c>
    </row>
    <row r="259" ht="15.75" customHeight="1">
      <c r="A259" s="148" t="s">
        <v>3050</v>
      </c>
      <c r="B259" s="148" t="s">
        <v>94</v>
      </c>
      <c r="C259" s="148" t="s">
        <v>9618</v>
      </c>
      <c r="D259" s="191">
        <v>20.0</v>
      </c>
      <c r="E259" s="461">
        <v>20.0</v>
      </c>
      <c r="F259" s="288" t="s">
        <v>3050</v>
      </c>
    </row>
    <row r="260" ht="15.75" customHeight="1">
      <c r="A260" s="148" t="s">
        <v>3050</v>
      </c>
      <c r="B260" s="148" t="s">
        <v>94</v>
      </c>
      <c r="C260" s="148" t="s">
        <v>9619</v>
      </c>
      <c r="D260" s="191">
        <v>20.0</v>
      </c>
      <c r="E260" s="461">
        <v>20.0</v>
      </c>
      <c r="F260" s="288" t="s">
        <v>3050</v>
      </c>
    </row>
    <row r="261" ht="15.75" customHeight="1">
      <c r="A261" s="148" t="s">
        <v>3050</v>
      </c>
      <c r="B261" s="148" t="s">
        <v>94</v>
      </c>
      <c r="C261" s="148" t="s">
        <v>9620</v>
      </c>
      <c r="D261" s="191">
        <v>20.0</v>
      </c>
      <c r="E261" s="461">
        <v>20.0</v>
      </c>
      <c r="F261" s="288" t="s">
        <v>3050</v>
      </c>
    </row>
    <row r="262" ht="15.75" customHeight="1">
      <c r="A262" s="148" t="s">
        <v>3050</v>
      </c>
      <c r="B262" s="148" t="s">
        <v>94</v>
      </c>
      <c r="C262" s="148" t="s">
        <v>9621</v>
      </c>
      <c r="D262" s="191">
        <v>20.0</v>
      </c>
      <c r="E262" s="461">
        <v>20.0</v>
      </c>
      <c r="F262" s="288" t="s">
        <v>3050</v>
      </c>
    </row>
    <row r="263" ht="15.75" customHeight="1">
      <c r="A263" s="148" t="s">
        <v>3050</v>
      </c>
      <c r="B263" s="148" t="s">
        <v>94</v>
      </c>
      <c r="C263" s="148" t="s">
        <v>9622</v>
      </c>
      <c r="D263" s="191">
        <v>20.0</v>
      </c>
      <c r="E263" s="461">
        <v>20.0</v>
      </c>
      <c r="F263" s="288" t="s">
        <v>3050</v>
      </c>
    </row>
    <row r="264" ht="15.0" customHeight="1">
      <c r="A264" s="82" t="s">
        <v>7972</v>
      </c>
      <c r="B264" s="82" t="s">
        <v>94</v>
      </c>
      <c r="C264" s="82" t="s">
        <v>9623</v>
      </c>
      <c r="D264" s="83">
        <v>20.0</v>
      </c>
      <c r="E264" s="274">
        <v>20.0</v>
      </c>
      <c r="F264" s="288" t="s">
        <v>5354</v>
      </c>
    </row>
    <row r="265" ht="15.0" customHeight="1">
      <c r="A265" s="82" t="s">
        <v>7972</v>
      </c>
      <c r="B265" s="82" t="s">
        <v>94</v>
      </c>
      <c r="C265" s="82" t="s">
        <v>9624</v>
      </c>
      <c r="D265" s="83">
        <v>20.0</v>
      </c>
      <c r="E265" s="274">
        <v>20.0</v>
      </c>
      <c r="F265" s="288" t="s">
        <v>5354</v>
      </c>
    </row>
    <row r="266" ht="15.0" customHeight="1">
      <c r="A266" s="82" t="s">
        <v>7972</v>
      </c>
      <c r="B266" s="82" t="s">
        <v>94</v>
      </c>
      <c r="C266" s="82" t="s">
        <v>9625</v>
      </c>
      <c r="D266" s="83">
        <v>20.0</v>
      </c>
      <c r="E266" s="274">
        <v>20.0</v>
      </c>
      <c r="F266" s="288" t="s">
        <v>5354</v>
      </c>
    </row>
    <row r="267" ht="15.0" customHeight="1">
      <c r="A267" s="82" t="s">
        <v>7972</v>
      </c>
      <c r="B267" s="82" t="s">
        <v>94</v>
      </c>
      <c r="C267" s="82" t="s">
        <v>9626</v>
      </c>
      <c r="D267" s="83">
        <v>20.0</v>
      </c>
      <c r="E267" s="274">
        <v>20.0</v>
      </c>
      <c r="F267" s="288" t="s">
        <v>5354</v>
      </c>
    </row>
    <row r="268" ht="15.0" customHeight="1">
      <c r="A268" s="82" t="s">
        <v>7972</v>
      </c>
      <c r="B268" s="82" t="s">
        <v>94</v>
      </c>
      <c r="C268" s="82" t="s">
        <v>9627</v>
      </c>
      <c r="D268" s="83">
        <v>20.0</v>
      </c>
      <c r="E268" s="274">
        <v>20.0</v>
      </c>
      <c r="F268" s="288" t="s">
        <v>5354</v>
      </c>
    </row>
    <row r="269" ht="15.0" customHeight="1">
      <c r="A269" s="82" t="s">
        <v>7972</v>
      </c>
      <c r="B269" s="82" t="s">
        <v>94</v>
      </c>
      <c r="C269" s="82" t="s">
        <v>9628</v>
      </c>
      <c r="D269" s="83">
        <v>30.0</v>
      </c>
      <c r="E269" s="274">
        <v>30.0</v>
      </c>
      <c r="F269" s="288" t="s">
        <v>5354</v>
      </c>
    </row>
    <row r="270" ht="15.0" customHeight="1">
      <c r="A270" s="82" t="s">
        <v>7972</v>
      </c>
      <c r="B270" s="82" t="s">
        <v>94</v>
      </c>
      <c r="C270" s="82" t="s">
        <v>9629</v>
      </c>
      <c r="D270" s="83">
        <v>30.0</v>
      </c>
      <c r="E270" s="274">
        <v>30.0</v>
      </c>
      <c r="F270" s="288" t="s">
        <v>5354</v>
      </c>
    </row>
    <row r="271" ht="15.0" customHeight="1">
      <c r="A271" s="82" t="s">
        <v>7972</v>
      </c>
      <c r="B271" s="82" t="s">
        <v>94</v>
      </c>
      <c r="C271" s="82" t="s">
        <v>9630</v>
      </c>
      <c r="D271" s="83">
        <v>30.0</v>
      </c>
      <c r="E271" s="274">
        <v>30.0</v>
      </c>
      <c r="F271" s="288" t="s">
        <v>5354</v>
      </c>
    </row>
    <row r="272" ht="15.0" customHeight="1">
      <c r="A272" s="82" t="s">
        <v>8639</v>
      </c>
      <c r="B272" s="82" t="s">
        <v>94</v>
      </c>
      <c r="C272" s="82" t="s">
        <v>9631</v>
      </c>
      <c r="D272" s="83">
        <v>20.0</v>
      </c>
      <c r="E272" s="274">
        <f t="shared" ref="E272:E276" si="6">D272</f>
        <v>20</v>
      </c>
      <c r="F272" s="288" t="s">
        <v>3078</v>
      </c>
    </row>
    <row r="273" ht="15.0" customHeight="1">
      <c r="A273" s="82" t="s">
        <v>8639</v>
      </c>
      <c r="B273" s="82" t="s">
        <v>94</v>
      </c>
      <c r="C273" s="82" t="s">
        <v>9632</v>
      </c>
      <c r="D273" s="83">
        <v>20.0</v>
      </c>
      <c r="E273" s="274">
        <f t="shared" si="6"/>
        <v>20</v>
      </c>
      <c r="F273" s="288" t="s">
        <v>3078</v>
      </c>
    </row>
    <row r="274" ht="15.0" customHeight="1">
      <c r="A274" s="82" t="s">
        <v>8639</v>
      </c>
      <c r="B274" s="82" t="s">
        <v>94</v>
      </c>
      <c r="C274" s="82" t="s">
        <v>9633</v>
      </c>
      <c r="D274" s="83">
        <v>20.0</v>
      </c>
      <c r="E274" s="274">
        <f t="shared" si="6"/>
        <v>20</v>
      </c>
      <c r="F274" s="288" t="s">
        <v>3078</v>
      </c>
    </row>
    <row r="275" ht="15.0" customHeight="1">
      <c r="A275" s="82" t="s">
        <v>8639</v>
      </c>
      <c r="B275" s="82" t="s">
        <v>94</v>
      </c>
      <c r="C275" s="82" t="s">
        <v>9634</v>
      </c>
      <c r="D275" s="83">
        <v>20.0</v>
      </c>
      <c r="E275" s="274">
        <f t="shared" si="6"/>
        <v>20</v>
      </c>
      <c r="F275" s="288" t="s">
        <v>3078</v>
      </c>
    </row>
    <row r="276" ht="15.0" customHeight="1">
      <c r="A276" s="82" t="s">
        <v>8639</v>
      </c>
      <c r="B276" s="82" t="s">
        <v>94</v>
      </c>
      <c r="C276" s="82" t="s">
        <v>9635</v>
      </c>
      <c r="D276" s="83">
        <v>20.0</v>
      </c>
      <c r="E276" s="274">
        <f t="shared" si="6"/>
        <v>20</v>
      </c>
      <c r="F276" s="288" t="s">
        <v>3078</v>
      </c>
    </row>
    <row r="277" ht="15.0" customHeight="1">
      <c r="A277" s="148" t="s">
        <v>9636</v>
      </c>
      <c r="B277" s="148" t="s">
        <v>9637</v>
      </c>
      <c r="C277" s="82" t="s">
        <v>9638</v>
      </c>
      <c r="D277" s="83">
        <v>20.0</v>
      </c>
      <c r="E277" s="274">
        <f t="shared" ref="E277:E279" si="7">D277/2</f>
        <v>10</v>
      </c>
      <c r="F277" s="288" t="s">
        <v>3078</v>
      </c>
    </row>
    <row r="278" ht="15.0" customHeight="1">
      <c r="A278" s="148" t="s">
        <v>9636</v>
      </c>
      <c r="B278" s="148" t="s">
        <v>9637</v>
      </c>
      <c r="C278" s="82" t="s">
        <v>9639</v>
      </c>
      <c r="D278" s="83">
        <v>20.0</v>
      </c>
      <c r="E278" s="274">
        <f t="shared" si="7"/>
        <v>10</v>
      </c>
      <c r="F278" s="288" t="s">
        <v>3078</v>
      </c>
    </row>
    <row r="279" ht="15.0" customHeight="1">
      <c r="A279" s="148" t="s">
        <v>9640</v>
      </c>
      <c r="B279" s="148" t="s">
        <v>9637</v>
      </c>
      <c r="C279" s="82" t="s">
        <v>9641</v>
      </c>
      <c r="D279" s="83">
        <v>20.0</v>
      </c>
      <c r="E279" s="274">
        <f t="shared" si="7"/>
        <v>10</v>
      </c>
      <c r="F279" s="288" t="s">
        <v>3078</v>
      </c>
    </row>
    <row r="280" ht="15.0" customHeight="1">
      <c r="A280" s="82" t="s">
        <v>8639</v>
      </c>
      <c r="B280" s="82" t="s">
        <v>94</v>
      </c>
      <c r="C280" s="82" t="s">
        <v>9642</v>
      </c>
      <c r="D280" s="83">
        <v>30.0</v>
      </c>
      <c r="E280" s="274">
        <f t="shared" ref="E280:E291" si="8">D280</f>
        <v>30</v>
      </c>
      <c r="F280" s="288" t="s">
        <v>3078</v>
      </c>
    </row>
    <row r="281" ht="15.0" customHeight="1">
      <c r="A281" s="82" t="s">
        <v>8639</v>
      </c>
      <c r="B281" s="82" t="s">
        <v>94</v>
      </c>
      <c r="C281" s="82" t="s">
        <v>9643</v>
      </c>
      <c r="D281" s="83">
        <v>30.0</v>
      </c>
      <c r="E281" s="274">
        <f t="shared" si="8"/>
        <v>30</v>
      </c>
      <c r="F281" s="288" t="s">
        <v>3078</v>
      </c>
    </row>
    <row r="282" ht="15.0" customHeight="1">
      <c r="A282" s="82" t="s">
        <v>8639</v>
      </c>
      <c r="B282" s="82" t="s">
        <v>94</v>
      </c>
      <c r="C282" s="82" t="s">
        <v>9644</v>
      </c>
      <c r="D282" s="83">
        <v>30.0</v>
      </c>
      <c r="E282" s="274">
        <f t="shared" si="8"/>
        <v>30</v>
      </c>
      <c r="F282" s="288" t="s">
        <v>3078</v>
      </c>
    </row>
    <row r="283" ht="15.0" customHeight="1">
      <c r="A283" s="82" t="s">
        <v>8639</v>
      </c>
      <c r="B283" s="82" t="s">
        <v>94</v>
      </c>
      <c r="C283" s="82" t="s">
        <v>9645</v>
      </c>
      <c r="D283" s="83">
        <v>30.0</v>
      </c>
      <c r="E283" s="274">
        <f t="shared" si="8"/>
        <v>30</v>
      </c>
      <c r="F283" s="288" t="s">
        <v>3078</v>
      </c>
    </row>
    <row r="284" ht="15.0" customHeight="1">
      <c r="A284" s="82" t="s">
        <v>8639</v>
      </c>
      <c r="B284" s="82" t="s">
        <v>94</v>
      </c>
      <c r="C284" s="82" t="s">
        <v>9646</v>
      </c>
      <c r="D284" s="83">
        <v>30.0</v>
      </c>
      <c r="E284" s="274">
        <f t="shared" si="8"/>
        <v>30</v>
      </c>
      <c r="F284" s="288" t="s">
        <v>3078</v>
      </c>
    </row>
    <row r="285" ht="15.0" customHeight="1">
      <c r="A285" s="82" t="s">
        <v>8639</v>
      </c>
      <c r="B285" s="82" t="s">
        <v>94</v>
      </c>
      <c r="C285" s="82" t="s">
        <v>9647</v>
      </c>
      <c r="D285" s="83">
        <v>30.0</v>
      </c>
      <c r="E285" s="274">
        <f t="shared" si="8"/>
        <v>30</v>
      </c>
      <c r="F285" s="288" t="s">
        <v>3078</v>
      </c>
    </row>
    <row r="286" ht="15.0" customHeight="1">
      <c r="A286" s="82" t="s">
        <v>8639</v>
      </c>
      <c r="B286" s="82" t="s">
        <v>94</v>
      </c>
      <c r="C286" s="82" t="s">
        <v>9648</v>
      </c>
      <c r="D286" s="83">
        <v>20.0</v>
      </c>
      <c r="E286" s="274">
        <f t="shared" si="8"/>
        <v>20</v>
      </c>
      <c r="F286" s="288" t="s">
        <v>3078</v>
      </c>
    </row>
    <row r="287" ht="15.0" customHeight="1">
      <c r="A287" s="82" t="s">
        <v>8639</v>
      </c>
      <c r="B287" s="82" t="s">
        <v>94</v>
      </c>
      <c r="C287" s="82" t="s">
        <v>9649</v>
      </c>
      <c r="D287" s="83">
        <v>20.0</v>
      </c>
      <c r="E287" s="274">
        <f t="shared" si="8"/>
        <v>20</v>
      </c>
      <c r="F287" s="288" t="s">
        <v>3078</v>
      </c>
    </row>
    <row r="288" ht="15.0" customHeight="1">
      <c r="A288" s="82" t="s">
        <v>8639</v>
      </c>
      <c r="B288" s="82" t="s">
        <v>94</v>
      </c>
      <c r="C288" s="82" t="s">
        <v>9650</v>
      </c>
      <c r="D288" s="83">
        <v>20.0</v>
      </c>
      <c r="E288" s="274">
        <f t="shared" si="8"/>
        <v>20</v>
      </c>
      <c r="F288" s="288" t="s">
        <v>3078</v>
      </c>
    </row>
    <row r="289" ht="15.0" customHeight="1">
      <c r="A289" s="82" t="s">
        <v>8639</v>
      </c>
      <c r="B289" s="82" t="s">
        <v>94</v>
      </c>
      <c r="C289" s="82" t="s">
        <v>9651</v>
      </c>
      <c r="D289" s="83">
        <v>20.0</v>
      </c>
      <c r="E289" s="274">
        <f t="shared" si="8"/>
        <v>20</v>
      </c>
      <c r="F289" s="288" t="s">
        <v>3078</v>
      </c>
    </row>
    <row r="290" ht="15.0" customHeight="1">
      <c r="A290" s="82" t="s">
        <v>8639</v>
      </c>
      <c r="B290" s="82" t="s">
        <v>94</v>
      </c>
      <c r="C290" s="82" t="s">
        <v>9652</v>
      </c>
      <c r="D290" s="83">
        <v>20.0</v>
      </c>
      <c r="E290" s="274">
        <f t="shared" si="8"/>
        <v>20</v>
      </c>
      <c r="F290" s="288" t="s">
        <v>3078</v>
      </c>
    </row>
    <row r="291" ht="15.0" customHeight="1">
      <c r="A291" s="82" t="s">
        <v>8639</v>
      </c>
      <c r="B291" s="82" t="s">
        <v>94</v>
      </c>
      <c r="C291" s="82" t="s">
        <v>9653</v>
      </c>
      <c r="D291" s="83">
        <v>20.0</v>
      </c>
      <c r="E291" s="274">
        <f t="shared" si="8"/>
        <v>20</v>
      </c>
      <c r="F291" s="288" t="s">
        <v>3078</v>
      </c>
    </row>
    <row r="292" ht="15.0" customHeight="1">
      <c r="A292" s="82" t="s">
        <v>9654</v>
      </c>
      <c r="B292" s="82" t="s">
        <v>94</v>
      </c>
      <c r="C292" s="82" t="s">
        <v>9655</v>
      </c>
      <c r="D292" s="83">
        <v>20.0</v>
      </c>
      <c r="E292" s="274">
        <v>10.0</v>
      </c>
      <c r="F292" s="288" t="s">
        <v>3198</v>
      </c>
    </row>
    <row r="293" ht="15.0" customHeight="1">
      <c r="A293" s="82" t="s">
        <v>9656</v>
      </c>
      <c r="B293" s="82" t="s">
        <v>94</v>
      </c>
      <c r="C293" s="82" t="s">
        <v>9657</v>
      </c>
      <c r="D293" s="83">
        <v>20.0</v>
      </c>
      <c r="E293" s="274">
        <v>10.0</v>
      </c>
      <c r="F293" s="288" t="s">
        <v>3198</v>
      </c>
    </row>
    <row r="294" ht="15.0" customHeight="1">
      <c r="A294" s="352" t="s">
        <v>3203</v>
      </c>
      <c r="B294" s="352"/>
      <c r="C294" s="352" t="s">
        <v>9658</v>
      </c>
      <c r="D294" s="489">
        <v>20.0</v>
      </c>
      <c r="E294" s="504">
        <v>10.0</v>
      </c>
      <c r="F294" s="288" t="s">
        <v>3203</v>
      </c>
    </row>
    <row r="295" ht="15.0" customHeight="1">
      <c r="A295" s="82" t="s">
        <v>9659</v>
      </c>
      <c r="B295" s="82" t="s">
        <v>94</v>
      </c>
      <c r="C295" s="82" t="s">
        <v>9660</v>
      </c>
      <c r="D295" s="83">
        <v>20.0</v>
      </c>
      <c r="E295" s="274">
        <v>20.0</v>
      </c>
      <c r="F295" s="288" t="s">
        <v>8962</v>
      </c>
    </row>
    <row r="296" ht="15.0" customHeight="1">
      <c r="A296" s="82" t="s">
        <v>9659</v>
      </c>
      <c r="B296" s="82" t="s">
        <v>94</v>
      </c>
      <c r="C296" s="82" t="s">
        <v>9661</v>
      </c>
      <c r="D296" s="83">
        <v>20.0</v>
      </c>
      <c r="E296" s="274">
        <v>20.0</v>
      </c>
      <c r="F296" s="288" t="s">
        <v>8962</v>
      </c>
    </row>
    <row r="297" ht="15.0" customHeight="1">
      <c r="A297" s="82" t="s">
        <v>9659</v>
      </c>
      <c r="B297" s="82" t="s">
        <v>94</v>
      </c>
      <c r="C297" s="82" t="s">
        <v>9662</v>
      </c>
      <c r="D297" s="83">
        <v>20.0</v>
      </c>
      <c r="E297" s="274">
        <v>20.0</v>
      </c>
      <c r="F297" s="288" t="s">
        <v>8962</v>
      </c>
    </row>
    <row r="298" ht="15.0" customHeight="1">
      <c r="A298" s="82" t="s">
        <v>8671</v>
      </c>
      <c r="B298" s="82" t="s">
        <v>94</v>
      </c>
      <c r="C298" s="82" t="s">
        <v>9663</v>
      </c>
      <c r="D298" s="83">
        <v>20.0</v>
      </c>
      <c r="E298" s="274">
        <v>20.0</v>
      </c>
      <c r="F298" s="288" t="s">
        <v>689</v>
      </c>
    </row>
    <row r="299" ht="15.0" customHeight="1">
      <c r="A299" s="82" t="s">
        <v>8671</v>
      </c>
      <c r="B299" s="82" t="s">
        <v>94</v>
      </c>
      <c r="C299" s="82" t="s">
        <v>9664</v>
      </c>
      <c r="D299" s="83">
        <v>20.0</v>
      </c>
      <c r="E299" s="274">
        <v>20.0</v>
      </c>
      <c r="F299" s="288" t="s">
        <v>689</v>
      </c>
    </row>
    <row r="300" ht="15.0" customHeight="1">
      <c r="A300" s="82" t="s">
        <v>8671</v>
      </c>
      <c r="B300" s="82" t="s">
        <v>94</v>
      </c>
      <c r="C300" s="82" t="s">
        <v>9665</v>
      </c>
      <c r="D300" s="83">
        <v>20.0</v>
      </c>
      <c r="E300" s="274">
        <v>20.0</v>
      </c>
      <c r="F300" s="288" t="s">
        <v>689</v>
      </c>
    </row>
    <row r="301" ht="15.0" customHeight="1">
      <c r="A301" s="82" t="s">
        <v>3249</v>
      </c>
      <c r="B301" s="82" t="s">
        <v>94</v>
      </c>
      <c r="C301" s="82" t="s">
        <v>9666</v>
      </c>
      <c r="D301" s="83">
        <v>20.0</v>
      </c>
      <c r="E301" s="274">
        <v>20.0</v>
      </c>
      <c r="F301" s="288" t="s">
        <v>3249</v>
      </c>
    </row>
    <row r="302" ht="15.0" customHeight="1">
      <c r="A302" s="82" t="s">
        <v>9667</v>
      </c>
      <c r="B302" s="82" t="s">
        <v>94</v>
      </c>
      <c r="C302" s="82" t="s">
        <v>9668</v>
      </c>
      <c r="D302" s="83">
        <v>20.0</v>
      </c>
      <c r="E302" s="274">
        <v>20.0</v>
      </c>
      <c r="F302" s="288" t="s">
        <v>3249</v>
      </c>
    </row>
    <row r="303" ht="15.0" customHeight="1">
      <c r="A303" s="82" t="s">
        <v>852</v>
      </c>
      <c r="B303" s="82" t="s">
        <v>94</v>
      </c>
      <c r="C303" s="82" t="s">
        <v>9669</v>
      </c>
      <c r="D303" s="83">
        <v>20.0</v>
      </c>
      <c r="E303" s="274">
        <v>20.0</v>
      </c>
      <c r="F303" s="288" t="s">
        <v>852</v>
      </c>
    </row>
    <row r="304" ht="15.0" customHeight="1">
      <c r="A304" s="82" t="s">
        <v>852</v>
      </c>
      <c r="B304" s="82" t="s">
        <v>94</v>
      </c>
      <c r="C304" s="82" t="s">
        <v>9670</v>
      </c>
      <c r="D304" s="83">
        <v>20.0</v>
      </c>
      <c r="E304" s="274">
        <v>20.0</v>
      </c>
      <c r="F304" s="288" t="s">
        <v>852</v>
      </c>
    </row>
    <row r="305" ht="15.0" customHeight="1">
      <c r="A305" s="82" t="s">
        <v>852</v>
      </c>
      <c r="B305" s="82" t="s">
        <v>94</v>
      </c>
      <c r="C305" s="82" t="s">
        <v>9671</v>
      </c>
      <c r="D305" s="83">
        <v>30.0</v>
      </c>
      <c r="E305" s="274">
        <v>30.0</v>
      </c>
      <c r="F305" s="288" t="s">
        <v>852</v>
      </c>
    </row>
    <row r="306" ht="15.0" customHeight="1">
      <c r="A306" s="82" t="s">
        <v>852</v>
      </c>
      <c r="B306" s="82" t="s">
        <v>94</v>
      </c>
      <c r="C306" s="82" t="s">
        <v>9672</v>
      </c>
      <c r="D306" s="83">
        <v>30.0</v>
      </c>
      <c r="E306" s="274">
        <v>30.0</v>
      </c>
      <c r="F306" s="288" t="s">
        <v>852</v>
      </c>
    </row>
    <row r="307" ht="15.0" customHeight="1">
      <c r="A307" s="82" t="s">
        <v>852</v>
      </c>
      <c r="B307" s="82" t="s">
        <v>94</v>
      </c>
      <c r="C307" s="82" t="s">
        <v>9673</v>
      </c>
      <c r="D307" s="83">
        <v>30.0</v>
      </c>
      <c r="E307" s="274">
        <v>30.0</v>
      </c>
      <c r="F307" s="288" t="s">
        <v>852</v>
      </c>
    </row>
    <row r="308" ht="15.0" customHeight="1">
      <c r="A308" s="82" t="s">
        <v>861</v>
      </c>
      <c r="B308" s="82" t="s">
        <v>94</v>
      </c>
      <c r="C308" s="82" t="s">
        <v>9674</v>
      </c>
      <c r="D308" s="83">
        <v>20.0</v>
      </c>
      <c r="E308" s="274">
        <v>20.0</v>
      </c>
      <c r="F308" s="288" t="s">
        <v>861</v>
      </c>
    </row>
    <row r="309" ht="15.0" customHeight="1">
      <c r="A309" s="82" t="s">
        <v>861</v>
      </c>
      <c r="B309" s="82" t="s">
        <v>94</v>
      </c>
      <c r="C309" s="82" t="s">
        <v>9675</v>
      </c>
      <c r="D309" s="83">
        <v>20.0</v>
      </c>
      <c r="E309" s="274">
        <v>20.0</v>
      </c>
      <c r="F309" s="288" t="s">
        <v>861</v>
      </c>
    </row>
    <row r="310" ht="15.0" customHeight="1">
      <c r="A310" s="82" t="s">
        <v>861</v>
      </c>
      <c r="B310" s="82" t="s">
        <v>94</v>
      </c>
      <c r="C310" s="82" t="s">
        <v>9676</v>
      </c>
      <c r="D310" s="83">
        <v>20.0</v>
      </c>
      <c r="E310" s="274">
        <v>20.0</v>
      </c>
      <c r="F310" s="288" t="s">
        <v>861</v>
      </c>
    </row>
    <row r="311" ht="15.0" customHeight="1">
      <c r="A311" s="82" t="s">
        <v>861</v>
      </c>
      <c r="B311" s="82" t="s">
        <v>94</v>
      </c>
      <c r="C311" s="82" t="s">
        <v>9677</v>
      </c>
      <c r="D311" s="83">
        <v>20.0</v>
      </c>
      <c r="E311" s="274">
        <v>20.0</v>
      </c>
      <c r="F311" s="288" t="s">
        <v>861</v>
      </c>
    </row>
    <row r="312" ht="15.0" customHeight="1">
      <c r="A312" s="82" t="s">
        <v>870</v>
      </c>
      <c r="B312" s="82" t="s">
        <v>182</v>
      </c>
      <c r="C312" s="82" t="s">
        <v>9678</v>
      </c>
      <c r="D312" s="506">
        <v>20.0</v>
      </c>
      <c r="E312" s="274">
        <f>D312/2</f>
        <v>10</v>
      </c>
      <c r="F312" s="288" t="s">
        <v>870</v>
      </c>
    </row>
    <row r="313" ht="15.0" customHeight="1">
      <c r="A313" s="82" t="s">
        <v>870</v>
      </c>
      <c r="B313" s="82" t="s">
        <v>182</v>
      </c>
      <c r="C313" s="82" t="s">
        <v>9679</v>
      </c>
      <c r="D313" s="506">
        <v>20.0</v>
      </c>
      <c r="E313" s="274">
        <f t="shared" ref="E313:E314" si="9">D313</f>
        <v>20</v>
      </c>
      <c r="F313" s="288" t="s">
        <v>870</v>
      </c>
    </row>
    <row r="314" ht="15.0" customHeight="1">
      <c r="A314" s="82" t="s">
        <v>870</v>
      </c>
      <c r="B314" s="82" t="s">
        <v>182</v>
      </c>
      <c r="C314" s="82" t="s">
        <v>9680</v>
      </c>
      <c r="D314" s="506">
        <v>30.0</v>
      </c>
      <c r="E314" s="274">
        <f t="shared" si="9"/>
        <v>30</v>
      </c>
      <c r="F314" s="288" t="s">
        <v>870</v>
      </c>
    </row>
    <row r="315" ht="15.0" customHeight="1">
      <c r="A315" s="82" t="s">
        <v>8069</v>
      </c>
      <c r="B315" s="82" t="s">
        <v>94</v>
      </c>
      <c r="C315" s="82" t="s">
        <v>9681</v>
      </c>
      <c r="D315" s="83">
        <v>30.0</v>
      </c>
      <c r="E315" s="274">
        <v>30.0</v>
      </c>
      <c r="F315" s="288" t="s">
        <v>907</v>
      </c>
    </row>
    <row r="316" ht="15.0" customHeight="1">
      <c r="A316" s="82" t="s">
        <v>8069</v>
      </c>
      <c r="B316" s="82" t="s">
        <v>94</v>
      </c>
      <c r="C316" s="264" t="s">
        <v>9682</v>
      </c>
      <c r="D316" s="83">
        <v>30.0</v>
      </c>
      <c r="E316" s="274">
        <v>30.0</v>
      </c>
      <c r="F316" s="288" t="s">
        <v>907</v>
      </c>
    </row>
    <row r="317" ht="15.0" customHeight="1">
      <c r="A317" s="82" t="s">
        <v>8069</v>
      </c>
      <c r="B317" s="82" t="s">
        <v>94</v>
      </c>
      <c r="C317" s="82" t="s">
        <v>9683</v>
      </c>
      <c r="D317" s="83">
        <v>30.0</v>
      </c>
      <c r="E317" s="274">
        <v>30.0</v>
      </c>
      <c r="F317" s="288" t="s">
        <v>907</v>
      </c>
    </row>
    <row r="318" ht="15.0" customHeight="1">
      <c r="A318" s="82" t="s">
        <v>8069</v>
      </c>
      <c r="B318" s="82" t="s">
        <v>94</v>
      </c>
      <c r="C318" s="82" t="s">
        <v>9684</v>
      </c>
      <c r="D318" s="83">
        <v>30.0</v>
      </c>
      <c r="E318" s="274">
        <v>30.0</v>
      </c>
      <c r="F318" s="288" t="s">
        <v>907</v>
      </c>
    </row>
    <row r="319" ht="15.0" customHeight="1">
      <c r="A319" s="82" t="s">
        <v>9685</v>
      </c>
      <c r="B319" s="82" t="s">
        <v>94</v>
      </c>
      <c r="C319" s="82" t="s">
        <v>9686</v>
      </c>
      <c r="D319" s="83">
        <v>20.0</v>
      </c>
      <c r="E319" s="274">
        <v>10.0</v>
      </c>
      <c r="F319" s="288" t="s">
        <v>954</v>
      </c>
    </row>
    <row r="320" ht="15.0" customHeight="1">
      <c r="A320" s="82" t="s">
        <v>9685</v>
      </c>
      <c r="B320" s="82" t="s">
        <v>94</v>
      </c>
      <c r="C320" s="82" t="s">
        <v>9687</v>
      </c>
      <c r="D320" s="83">
        <v>20.0</v>
      </c>
      <c r="E320" s="274">
        <v>20.0</v>
      </c>
      <c r="F320" s="288" t="s">
        <v>954</v>
      </c>
    </row>
    <row r="321" ht="15.0" customHeight="1">
      <c r="A321" s="148" t="s">
        <v>9139</v>
      </c>
      <c r="B321" s="148" t="s">
        <v>182</v>
      </c>
      <c r="C321" s="82" t="s">
        <v>9688</v>
      </c>
      <c r="D321" s="191">
        <v>20.0</v>
      </c>
      <c r="E321" s="507">
        <v>20.0</v>
      </c>
      <c r="F321" s="288" t="s">
        <v>5513</v>
      </c>
    </row>
    <row r="322" ht="15.0" customHeight="1">
      <c r="A322" s="148" t="s">
        <v>9139</v>
      </c>
      <c r="B322" s="148" t="s">
        <v>182</v>
      </c>
      <c r="C322" s="82" t="s">
        <v>9689</v>
      </c>
      <c r="D322" s="191">
        <v>20.0</v>
      </c>
      <c r="E322" s="507">
        <v>20.0</v>
      </c>
      <c r="F322" s="288" t="s">
        <v>5513</v>
      </c>
    </row>
    <row r="323" ht="15.0" customHeight="1">
      <c r="A323" s="148" t="s">
        <v>9139</v>
      </c>
      <c r="B323" s="148" t="s">
        <v>182</v>
      </c>
      <c r="C323" s="82" t="s">
        <v>9690</v>
      </c>
      <c r="D323" s="191">
        <v>20.0</v>
      </c>
      <c r="E323" s="507">
        <v>20.0</v>
      </c>
      <c r="F323" s="288" t="s">
        <v>5513</v>
      </c>
    </row>
    <row r="324" ht="15.0" customHeight="1">
      <c r="A324" s="148" t="s">
        <v>9139</v>
      </c>
      <c r="B324" s="148" t="s">
        <v>182</v>
      </c>
      <c r="C324" s="82" t="s">
        <v>9691</v>
      </c>
      <c r="D324" s="191">
        <v>20.0</v>
      </c>
      <c r="E324" s="507">
        <v>20.0</v>
      </c>
      <c r="F324" s="288" t="s">
        <v>5513</v>
      </c>
    </row>
    <row r="325" ht="15.0" customHeight="1">
      <c r="A325" s="148" t="s">
        <v>9139</v>
      </c>
      <c r="B325" s="148" t="s">
        <v>182</v>
      </c>
      <c r="C325" s="82" t="s">
        <v>9692</v>
      </c>
      <c r="D325" s="191">
        <v>20.0</v>
      </c>
      <c r="E325" s="507">
        <v>20.0</v>
      </c>
      <c r="F325" s="288" t="s">
        <v>5513</v>
      </c>
    </row>
    <row r="326" ht="15.0" customHeight="1">
      <c r="A326" s="82" t="s">
        <v>9693</v>
      </c>
      <c r="B326" s="82" t="s">
        <v>94</v>
      </c>
      <c r="C326" s="508" t="s">
        <v>9694</v>
      </c>
      <c r="D326" s="83">
        <v>30.0</v>
      </c>
      <c r="E326" s="274">
        <v>30.0</v>
      </c>
      <c r="F326" s="288" t="s">
        <v>9280</v>
      </c>
    </row>
    <row r="327" ht="15.0" customHeight="1">
      <c r="A327" s="82" t="s">
        <v>9693</v>
      </c>
      <c r="B327" s="82" t="s">
        <v>94</v>
      </c>
      <c r="C327" s="82" t="s">
        <v>9695</v>
      </c>
      <c r="D327" s="83">
        <v>30.0</v>
      </c>
      <c r="E327" s="274">
        <v>30.0</v>
      </c>
      <c r="F327" s="288" t="s">
        <v>9280</v>
      </c>
    </row>
    <row r="328" ht="15.0" customHeight="1">
      <c r="A328" s="82" t="s">
        <v>9693</v>
      </c>
      <c r="B328" s="82" t="s">
        <v>94</v>
      </c>
      <c r="C328" s="508" t="s">
        <v>9696</v>
      </c>
      <c r="D328" s="83">
        <v>30.0</v>
      </c>
      <c r="E328" s="274">
        <v>30.0</v>
      </c>
      <c r="F328" s="288" t="s">
        <v>9280</v>
      </c>
    </row>
    <row r="329" ht="15.0" customHeight="1">
      <c r="A329" s="82" t="s">
        <v>9693</v>
      </c>
      <c r="B329" s="82" t="s">
        <v>94</v>
      </c>
      <c r="C329" s="82" t="s">
        <v>9697</v>
      </c>
      <c r="D329" s="83">
        <v>30.0</v>
      </c>
      <c r="E329" s="274">
        <v>30.0</v>
      </c>
      <c r="F329" s="288" t="s">
        <v>9280</v>
      </c>
    </row>
    <row r="330" ht="15.0" customHeight="1">
      <c r="A330" s="82" t="s">
        <v>9693</v>
      </c>
      <c r="B330" s="82" t="s">
        <v>52</v>
      </c>
      <c r="C330" s="352" t="s">
        <v>9698</v>
      </c>
      <c r="D330" s="83">
        <v>30.0</v>
      </c>
      <c r="E330" s="274">
        <v>30.0</v>
      </c>
      <c r="F330" s="288" t="s">
        <v>9280</v>
      </c>
    </row>
    <row r="331" ht="15.0" customHeight="1">
      <c r="A331" s="352" t="s">
        <v>9693</v>
      </c>
      <c r="B331" s="422" t="s">
        <v>94</v>
      </c>
      <c r="C331" s="352" t="s">
        <v>9699</v>
      </c>
      <c r="D331" s="503">
        <v>20.0</v>
      </c>
      <c r="E331" s="504">
        <v>20.0</v>
      </c>
      <c r="F331" s="288" t="s">
        <v>9280</v>
      </c>
    </row>
    <row r="332" ht="15.0" customHeight="1">
      <c r="A332" s="352" t="s">
        <v>9693</v>
      </c>
      <c r="B332" s="422" t="s">
        <v>52</v>
      </c>
      <c r="C332" s="82" t="s">
        <v>9700</v>
      </c>
      <c r="D332" s="83">
        <v>20.0</v>
      </c>
      <c r="E332" s="274">
        <v>20.0</v>
      </c>
      <c r="F332" s="288" t="s">
        <v>9280</v>
      </c>
    </row>
    <row r="333" ht="15.0" customHeight="1">
      <c r="A333" s="82" t="s">
        <v>9693</v>
      </c>
      <c r="B333" s="82" t="s">
        <v>94</v>
      </c>
      <c r="C333" s="82" t="s">
        <v>9701</v>
      </c>
      <c r="D333" s="83">
        <v>20.0</v>
      </c>
      <c r="E333" s="274">
        <v>20.0</v>
      </c>
      <c r="F333" s="288" t="s">
        <v>9280</v>
      </c>
    </row>
    <row r="334" ht="15.0" customHeight="1">
      <c r="A334" s="82" t="s">
        <v>9693</v>
      </c>
      <c r="B334" s="82" t="s">
        <v>52</v>
      </c>
      <c r="C334" s="82" t="s">
        <v>9702</v>
      </c>
      <c r="D334" s="83">
        <v>20.0</v>
      </c>
      <c r="E334" s="274">
        <v>20.0</v>
      </c>
      <c r="F334" s="288" t="s">
        <v>9280</v>
      </c>
    </row>
    <row r="335" ht="15.0" customHeight="1">
      <c r="A335" s="82" t="s">
        <v>9693</v>
      </c>
      <c r="B335" s="82" t="s">
        <v>52</v>
      </c>
      <c r="C335" s="82" t="s">
        <v>9703</v>
      </c>
      <c r="D335" s="83">
        <v>20.0</v>
      </c>
      <c r="E335" s="274">
        <v>20.0</v>
      </c>
      <c r="F335" s="288" t="s">
        <v>9280</v>
      </c>
    </row>
    <row r="336" ht="15.0" customHeight="1">
      <c r="A336" s="82" t="s">
        <v>9693</v>
      </c>
      <c r="B336" s="82" t="s">
        <v>52</v>
      </c>
      <c r="C336" s="82" t="s">
        <v>9704</v>
      </c>
      <c r="D336" s="83">
        <v>20.0</v>
      </c>
      <c r="E336" s="274">
        <v>20.0</v>
      </c>
      <c r="F336" s="288" t="s">
        <v>9280</v>
      </c>
    </row>
    <row r="337" ht="15.75" customHeight="1">
      <c r="A337" s="148" t="s">
        <v>4024</v>
      </c>
      <c r="B337" s="148" t="s">
        <v>94</v>
      </c>
      <c r="C337" s="148" t="s">
        <v>9705</v>
      </c>
      <c r="D337" s="191">
        <v>20.0</v>
      </c>
      <c r="E337" s="461">
        <v>20.0</v>
      </c>
      <c r="F337" s="288" t="s">
        <v>4024</v>
      </c>
    </row>
    <row r="338" ht="15.75" customHeight="1">
      <c r="A338" s="148" t="s">
        <v>4024</v>
      </c>
      <c r="B338" s="148" t="s">
        <v>94</v>
      </c>
      <c r="C338" s="148" t="s">
        <v>9706</v>
      </c>
      <c r="D338" s="191">
        <v>20.0</v>
      </c>
      <c r="E338" s="461">
        <v>20.0</v>
      </c>
      <c r="F338" s="288" t="s">
        <v>4024</v>
      </c>
    </row>
    <row r="339" ht="15.75" customHeight="1">
      <c r="A339" s="148" t="s">
        <v>4024</v>
      </c>
      <c r="B339" s="148" t="s">
        <v>94</v>
      </c>
      <c r="C339" s="148" t="s">
        <v>9707</v>
      </c>
      <c r="D339" s="191">
        <v>20.0</v>
      </c>
      <c r="E339" s="461">
        <v>20.0</v>
      </c>
      <c r="F339" s="288" t="s">
        <v>4024</v>
      </c>
    </row>
    <row r="340" ht="15.75" customHeight="1">
      <c r="A340" s="148" t="s">
        <v>4024</v>
      </c>
      <c r="B340" s="148" t="s">
        <v>94</v>
      </c>
      <c r="C340" s="148" t="s">
        <v>9708</v>
      </c>
      <c r="D340" s="191">
        <v>20.0</v>
      </c>
      <c r="E340" s="461">
        <v>20.0</v>
      </c>
      <c r="F340" s="288" t="s">
        <v>4024</v>
      </c>
    </row>
    <row r="341" ht="15.75" customHeight="1">
      <c r="A341" s="148" t="s">
        <v>4024</v>
      </c>
      <c r="B341" s="148" t="s">
        <v>94</v>
      </c>
      <c r="C341" s="148" t="s">
        <v>9709</v>
      </c>
      <c r="D341" s="191">
        <v>20.0</v>
      </c>
      <c r="E341" s="461">
        <v>20.0</v>
      </c>
      <c r="F341" s="288" t="s">
        <v>4024</v>
      </c>
    </row>
    <row r="342" ht="15.75" customHeight="1">
      <c r="A342" s="148" t="s">
        <v>4024</v>
      </c>
      <c r="B342" s="148" t="s">
        <v>94</v>
      </c>
      <c r="C342" s="148" t="s">
        <v>9710</v>
      </c>
      <c r="D342" s="191">
        <v>20.0</v>
      </c>
      <c r="E342" s="461">
        <v>20.0</v>
      </c>
      <c r="F342" s="288" t="s">
        <v>4024</v>
      </c>
    </row>
    <row r="343" ht="15.75" customHeight="1">
      <c r="A343" s="134" t="s">
        <v>4024</v>
      </c>
      <c r="B343" s="148" t="s">
        <v>94</v>
      </c>
      <c r="C343" s="148" t="s">
        <v>9711</v>
      </c>
      <c r="D343" s="191">
        <v>30.0</v>
      </c>
      <c r="E343" s="461">
        <v>30.0</v>
      </c>
      <c r="F343" s="288" t="s">
        <v>4024</v>
      </c>
    </row>
    <row r="344" ht="15.75" customHeight="1">
      <c r="A344" s="134" t="s">
        <v>4024</v>
      </c>
      <c r="B344" s="148" t="s">
        <v>94</v>
      </c>
      <c r="C344" s="148" t="s">
        <v>9712</v>
      </c>
      <c r="D344" s="191">
        <v>30.0</v>
      </c>
      <c r="E344" s="461">
        <v>30.0</v>
      </c>
      <c r="F344" s="288" t="s">
        <v>4024</v>
      </c>
    </row>
    <row r="345" ht="15.75" customHeight="1">
      <c r="A345" s="134" t="s">
        <v>4024</v>
      </c>
      <c r="B345" s="148" t="s">
        <v>94</v>
      </c>
      <c r="C345" s="148" t="s">
        <v>9713</v>
      </c>
      <c r="D345" s="191">
        <v>30.0</v>
      </c>
      <c r="E345" s="461">
        <v>30.0</v>
      </c>
      <c r="F345" s="288" t="s">
        <v>4024</v>
      </c>
    </row>
    <row r="346" ht="15.0" customHeight="1">
      <c r="A346" s="287" t="s">
        <v>9714</v>
      </c>
      <c r="B346" s="148" t="s">
        <v>94</v>
      </c>
      <c r="C346" s="148" t="s">
        <v>9715</v>
      </c>
      <c r="D346" s="191">
        <v>30.0</v>
      </c>
      <c r="E346" s="461">
        <v>15.0</v>
      </c>
      <c r="F346" s="288" t="s">
        <v>4024</v>
      </c>
    </row>
    <row r="347" ht="15.75" customHeight="1">
      <c r="A347" s="134" t="s">
        <v>4024</v>
      </c>
      <c r="B347" s="148" t="s">
        <v>94</v>
      </c>
      <c r="C347" s="148" t="s">
        <v>9716</v>
      </c>
      <c r="D347" s="191">
        <v>30.0</v>
      </c>
      <c r="E347" s="461">
        <v>30.0</v>
      </c>
      <c r="F347" s="288" t="s">
        <v>4024</v>
      </c>
    </row>
    <row r="348" ht="15.75" customHeight="1">
      <c r="A348" s="134" t="s">
        <v>4024</v>
      </c>
      <c r="B348" s="148" t="s">
        <v>94</v>
      </c>
      <c r="C348" s="148" t="s">
        <v>9717</v>
      </c>
      <c r="D348" s="191">
        <v>30.0</v>
      </c>
      <c r="E348" s="461">
        <v>30.0</v>
      </c>
      <c r="F348" s="288" t="s">
        <v>4024</v>
      </c>
    </row>
    <row r="349" ht="15.75" customHeight="1">
      <c r="A349" s="134" t="s">
        <v>4024</v>
      </c>
      <c r="B349" s="148" t="s">
        <v>94</v>
      </c>
      <c r="C349" s="148" t="s">
        <v>9718</v>
      </c>
      <c r="D349" s="191">
        <v>30.0</v>
      </c>
      <c r="E349" s="461">
        <v>30.0</v>
      </c>
      <c r="F349" s="288" t="s">
        <v>4024</v>
      </c>
    </row>
    <row r="350" ht="15.75" customHeight="1">
      <c r="A350" s="134" t="s">
        <v>4024</v>
      </c>
      <c r="B350" s="148" t="s">
        <v>94</v>
      </c>
      <c r="C350" s="148" t="s">
        <v>9719</v>
      </c>
      <c r="D350" s="191">
        <v>30.0</v>
      </c>
      <c r="E350" s="461">
        <v>30.0</v>
      </c>
      <c r="F350" s="288" t="s">
        <v>4024</v>
      </c>
    </row>
    <row r="351" ht="15.75" customHeight="1">
      <c r="A351" s="287" t="s">
        <v>9714</v>
      </c>
      <c r="B351" s="148" t="s">
        <v>94</v>
      </c>
      <c r="C351" s="148" t="s">
        <v>9720</v>
      </c>
      <c r="D351" s="191">
        <v>30.0</v>
      </c>
      <c r="E351" s="461">
        <v>15.0</v>
      </c>
      <c r="F351" s="288" t="s">
        <v>4024</v>
      </c>
    </row>
    <row r="352" ht="15.75" customHeight="1">
      <c r="A352" s="134" t="s">
        <v>4024</v>
      </c>
      <c r="B352" s="148" t="s">
        <v>94</v>
      </c>
      <c r="C352" s="148" t="s">
        <v>9721</v>
      </c>
      <c r="D352" s="191">
        <v>30.0</v>
      </c>
      <c r="E352" s="461">
        <v>30.0</v>
      </c>
      <c r="F352" s="288" t="s">
        <v>4024</v>
      </c>
    </row>
    <row r="353" ht="15.75" customHeight="1">
      <c r="A353" s="134" t="s">
        <v>4024</v>
      </c>
      <c r="B353" s="148" t="s">
        <v>94</v>
      </c>
      <c r="C353" s="148" t="s">
        <v>9722</v>
      </c>
      <c r="D353" s="191">
        <v>30.0</v>
      </c>
      <c r="E353" s="461">
        <v>30.0</v>
      </c>
      <c r="F353" s="288" t="s">
        <v>4024</v>
      </c>
    </row>
    <row r="354" ht="15.75" customHeight="1">
      <c r="A354" s="134" t="s">
        <v>4024</v>
      </c>
      <c r="B354" s="148" t="s">
        <v>94</v>
      </c>
      <c r="C354" s="148" t="s">
        <v>9723</v>
      </c>
      <c r="D354" s="191">
        <v>30.0</v>
      </c>
      <c r="E354" s="461">
        <v>30.0</v>
      </c>
      <c r="F354" s="288" t="s">
        <v>4024</v>
      </c>
    </row>
    <row r="355" ht="15.75" customHeight="1">
      <c r="A355" s="134" t="s">
        <v>4024</v>
      </c>
      <c r="B355" s="148" t="s">
        <v>94</v>
      </c>
      <c r="C355" s="148" t="s">
        <v>9724</v>
      </c>
      <c r="D355" s="191">
        <v>30.0</v>
      </c>
      <c r="E355" s="461">
        <v>30.0</v>
      </c>
      <c r="F355" s="288" t="s">
        <v>4024</v>
      </c>
    </row>
    <row r="356" ht="15.75" customHeight="1">
      <c r="A356" s="134" t="s">
        <v>9725</v>
      </c>
      <c r="B356" s="148" t="s">
        <v>94</v>
      </c>
      <c r="C356" s="148" t="s">
        <v>9726</v>
      </c>
      <c r="D356" s="191">
        <v>20.0</v>
      </c>
      <c r="E356" s="461">
        <v>10.0</v>
      </c>
      <c r="F356" s="288" t="s">
        <v>4024</v>
      </c>
    </row>
    <row r="357" ht="15.75" customHeight="1">
      <c r="A357" s="134" t="s">
        <v>9725</v>
      </c>
      <c r="B357" s="148" t="s">
        <v>94</v>
      </c>
      <c r="C357" s="148" t="s">
        <v>9727</v>
      </c>
      <c r="D357" s="191">
        <v>10.0</v>
      </c>
      <c r="E357" s="461">
        <v>10.0</v>
      </c>
      <c r="F357" s="288" t="s">
        <v>4024</v>
      </c>
    </row>
    <row r="358" ht="15.75" customHeight="1">
      <c r="A358" s="134" t="s">
        <v>9725</v>
      </c>
      <c r="B358" s="148" t="s">
        <v>94</v>
      </c>
      <c r="C358" s="148" t="s">
        <v>9728</v>
      </c>
      <c r="D358" s="191">
        <v>10.0</v>
      </c>
      <c r="E358" s="461">
        <v>10.0</v>
      </c>
      <c r="F358" s="288" t="s">
        <v>4024</v>
      </c>
    </row>
    <row r="359" ht="15.75" customHeight="1">
      <c r="A359" s="134" t="s">
        <v>9729</v>
      </c>
      <c r="B359" s="148" t="s">
        <v>94</v>
      </c>
      <c r="C359" s="148" t="s">
        <v>9730</v>
      </c>
      <c r="D359" s="191">
        <v>10.0</v>
      </c>
      <c r="E359" s="461">
        <v>10.0</v>
      </c>
      <c r="F359" s="288" t="s">
        <v>4024</v>
      </c>
    </row>
    <row r="360" ht="15.75" customHeight="1">
      <c r="A360" s="134" t="s">
        <v>4024</v>
      </c>
      <c r="B360" s="148" t="s">
        <v>94</v>
      </c>
      <c r="C360" s="148" t="s">
        <v>9731</v>
      </c>
      <c r="D360" s="191">
        <v>20.0</v>
      </c>
      <c r="E360" s="461">
        <v>20.0</v>
      </c>
      <c r="F360" s="288" t="s">
        <v>4024</v>
      </c>
    </row>
    <row r="361" ht="15.75" customHeight="1">
      <c r="A361" s="134" t="s">
        <v>4024</v>
      </c>
      <c r="B361" s="148" t="s">
        <v>94</v>
      </c>
      <c r="C361" s="148" t="s">
        <v>9732</v>
      </c>
      <c r="D361" s="191">
        <v>20.0</v>
      </c>
      <c r="E361" s="461">
        <v>20.0</v>
      </c>
      <c r="F361" s="288" t="s">
        <v>4024</v>
      </c>
    </row>
    <row r="362" ht="15.75" customHeight="1">
      <c r="A362" s="134" t="s">
        <v>4024</v>
      </c>
      <c r="B362" s="148" t="s">
        <v>94</v>
      </c>
      <c r="C362" s="148" t="s">
        <v>9733</v>
      </c>
      <c r="D362" s="191">
        <v>20.0</v>
      </c>
      <c r="E362" s="461">
        <v>20.0</v>
      </c>
      <c r="F362" s="288" t="s">
        <v>4024</v>
      </c>
    </row>
    <row r="363" ht="15.75" customHeight="1">
      <c r="A363" s="134" t="s">
        <v>9729</v>
      </c>
      <c r="B363" s="148" t="s">
        <v>94</v>
      </c>
      <c r="C363" s="148" t="s">
        <v>9734</v>
      </c>
      <c r="D363" s="191">
        <v>10.0</v>
      </c>
      <c r="E363" s="461">
        <v>10.0</v>
      </c>
      <c r="F363" s="288" t="s">
        <v>4024</v>
      </c>
    </row>
    <row r="364" ht="15.0" customHeight="1">
      <c r="A364" s="82" t="s">
        <v>8128</v>
      </c>
      <c r="B364" s="82" t="s">
        <v>94</v>
      </c>
      <c r="C364" s="82" t="s">
        <v>9735</v>
      </c>
      <c r="D364" s="83">
        <v>30.0</v>
      </c>
      <c r="E364" s="274">
        <v>30.0</v>
      </c>
      <c r="F364" s="288" t="s">
        <v>4028</v>
      </c>
    </row>
    <row r="365" ht="15.0" customHeight="1">
      <c r="A365" s="82" t="s">
        <v>8128</v>
      </c>
      <c r="B365" s="82" t="s">
        <v>94</v>
      </c>
      <c r="C365" s="82" t="s">
        <v>9736</v>
      </c>
      <c r="D365" s="83">
        <v>20.0</v>
      </c>
      <c r="E365" s="274">
        <v>20.0</v>
      </c>
      <c r="F365" s="288" t="s">
        <v>4028</v>
      </c>
    </row>
    <row r="366" ht="15.0" customHeight="1">
      <c r="A366" s="82" t="s">
        <v>8128</v>
      </c>
      <c r="B366" s="82" t="s">
        <v>94</v>
      </c>
      <c r="C366" s="82" t="s">
        <v>9737</v>
      </c>
      <c r="D366" s="83">
        <v>20.0</v>
      </c>
      <c r="E366" s="274">
        <v>10.0</v>
      </c>
      <c r="F366" s="288" t="s">
        <v>4028</v>
      </c>
    </row>
    <row r="367" ht="15.0" customHeight="1">
      <c r="A367" s="82" t="s">
        <v>8128</v>
      </c>
      <c r="B367" s="82" t="s">
        <v>94</v>
      </c>
      <c r="C367" s="82" t="s">
        <v>9738</v>
      </c>
      <c r="D367" s="83">
        <v>20.0</v>
      </c>
      <c r="E367" s="274">
        <v>20.0</v>
      </c>
      <c r="F367" s="288" t="s">
        <v>4028</v>
      </c>
    </row>
    <row r="368" ht="15.0" customHeight="1">
      <c r="A368" s="82" t="s">
        <v>8128</v>
      </c>
      <c r="B368" s="82" t="s">
        <v>94</v>
      </c>
      <c r="C368" s="82" t="s">
        <v>9739</v>
      </c>
      <c r="D368" s="83">
        <v>20.0</v>
      </c>
      <c r="E368" s="274">
        <v>10.0</v>
      </c>
      <c r="F368" s="288" t="s">
        <v>4028</v>
      </c>
    </row>
    <row r="369" ht="15.0" customHeight="1">
      <c r="A369" s="82" t="s">
        <v>8128</v>
      </c>
      <c r="B369" s="82" t="s">
        <v>94</v>
      </c>
      <c r="C369" s="82" t="s">
        <v>9740</v>
      </c>
      <c r="D369" s="83">
        <v>20.0</v>
      </c>
      <c r="E369" s="274">
        <v>20.0</v>
      </c>
      <c r="F369" s="288" t="s">
        <v>4028</v>
      </c>
    </row>
    <row r="370" ht="15.0" customHeight="1">
      <c r="A370" s="82" t="s">
        <v>9741</v>
      </c>
      <c r="B370" s="82" t="s">
        <v>94</v>
      </c>
      <c r="C370" s="82" t="s">
        <v>9742</v>
      </c>
      <c r="D370" s="83">
        <v>20.0</v>
      </c>
      <c r="E370" s="494">
        <v>10.0</v>
      </c>
      <c r="F370" s="288" t="s">
        <v>4076</v>
      </c>
    </row>
    <row r="371" ht="15.0" customHeight="1">
      <c r="A371" s="82" t="s">
        <v>9741</v>
      </c>
      <c r="B371" s="82" t="s">
        <v>94</v>
      </c>
      <c r="C371" s="82" t="s">
        <v>9743</v>
      </c>
      <c r="D371" s="83">
        <v>20.0</v>
      </c>
      <c r="E371" s="494">
        <v>10.0</v>
      </c>
      <c r="F371" s="288" t="s">
        <v>4076</v>
      </c>
    </row>
    <row r="372" ht="15.0" customHeight="1">
      <c r="A372" s="82" t="s">
        <v>9741</v>
      </c>
      <c r="B372" s="82" t="s">
        <v>94</v>
      </c>
      <c r="C372" s="82" t="s">
        <v>9744</v>
      </c>
      <c r="D372" s="83">
        <v>20.0</v>
      </c>
      <c r="E372" s="494">
        <v>10.0</v>
      </c>
      <c r="F372" s="288" t="s">
        <v>4076</v>
      </c>
    </row>
    <row r="373" ht="15.0" customHeight="1">
      <c r="A373" s="82" t="s">
        <v>9741</v>
      </c>
      <c r="B373" s="82" t="s">
        <v>94</v>
      </c>
      <c r="C373" s="82" t="s">
        <v>9745</v>
      </c>
      <c r="D373" s="83">
        <v>20.0</v>
      </c>
      <c r="E373" s="494">
        <v>10.0</v>
      </c>
      <c r="F373" s="288" t="s">
        <v>4076</v>
      </c>
    </row>
    <row r="374" ht="15.0" customHeight="1">
      <c r="A374" s="82" t="s">
        <v>9283</v>
      </c>
      <c r="B374" s="326" t="s">
        <v>94</v>
      </c>
      <c r="C374" s="82" t="s">
        <v>9746</v>
      </c>
      <c r="D374" s="493">
        <v>20.0</v>
      </c>
      <c r="E374" s="274">
        <f t="shared" ref="E374:E380" si="10">D374</f>
        <v>20</v>
      </c>
      <c r="F374" s="288" t="s">
        <v>4078</v>
      </c>
    </row>
    <row r="375" ht="15.0" customHeight="1">
      <c r="A375" s="82" t="s">
        <v>9283</v>
      </c>
      <c r="B375" s="326" t="s">
        <v>94</v>
      </c>
      <c r="C375" s="82" t="s">
        <v>9747</v>
      </c>
      <c r="D375" s="493">
        <v>20.0</v>
      </c>
      <c r="E375" s="274">
        <f t="shared" si="10"/>
        <v>20</v>
      </c>
      <c r="F375" s="288" t="s">
        <v>4078</v>
      </c>
    </row>
    <row r="376" ht="15.0" customHeight="1">
      <c r="A376" s="82" t="s">
        <v>9283</v>
      </c>
      <c r="B376" s="326" t="s">
        <v>94</v>
      </c>
      <c r="C376" s="82" t="s">
        <v>9748</v>
      </c>
      <c r="D376" s="493">
        <v>20.0</v>
      </c>
      <c r="E376" s="274">
        <f t="shared" si="10"/>
        <v>20</v>
      </c>
      <c r="F376" s="288" t="s">
        <v>4078</v>
      </c>
    </row>
    <row r="377" ht="15.0" customHeight="1">
      <c r="A377" s="82" t="s">
        <v>9283</v>
      </c>
      <c r="B377" s="326" t="s">
        <v>94</v>
      </c>
      <c r="C377" s="82" t="s">
        <v>9749</v>
      </c>
      <c r="D377" s="493">
        <v>20.0</v>
      </c>
      <c r="E377" s="274">
        <f t="shared" si="10"/>
        <v>20</v>
      </c>
      <c r="F377" s="288" t="s">
        <v>4078</v>
      </c>
    </row>
    <row r="378" ht="15.0" customHeight="1">
      <c r="A378" s="82" t="s">
        <v>9283</v>
      </c>
      <c r="B378" s="326" t="s">
        <v>94</v>
      </c>
      <c r="C378" s="82" t="s">
        <v>9750</v>
      </c>
      <c r="D378" s="493">
        <v>30.0</v>
      </c>
      <c r="E378" s="274">
        <f t="shared" si="10"/>
        <v>30</v>
      </c>
      <c r="F378" s="288" t="s">
        <v>4078</v>
      </c>
    </row>
    <row r="379" ht="15.0" customHeight="1">
      <c r="A379" s="82" t="s">
        <v>9283</v>
      </c>
      <c r="B379" s="326" t="s">
        <v>94</v>
      </c>
      <c r="C379" s="82" t="s">
        <v>9751</v>
      </c>
      <c r="D379" s="493">
        <v>30.0</v>
      </c>
      <c r="E379" s="274">
        <f t="shared" si="10"/>
        <v>30</v>
      </c>
      <c r="F379" s="288" t="s">
        <v>4078</v>
      </c>
    </row>
    <row r="380" ht="15.0" customHeight="1">
      <c r="A380" s="82" t="s">
        <v>9283</v>
      </c>
      <c r="B380" s="326" t="s">
        <v>94</v>
      </c>
      <c r="C380" s="82" t="s">
        <v>9752</v>
      </c>
      <c r="D380" s="493">
        <v>30.0</v>
      </c>
      <c r="E380" s="274">
        <f t="shared" si="10"/>
        <v>30</v>
      </c>
      <c r="F380" s="288" t="s">
        <v>4078</v>
      </c>
    </row>
    <row r="381" ht="15.0" customHeight="1">
      <c r="A381" s="82" t="s">
        <v>8161</v>
      </c>
      <c r="B381" s="82" t="s">
        <v>94</v>
      </c>
      <c r="C381" s="82" t="s">
        <v>9753</v>
      </c>
      <c r="D381" s="83">
        <v>20.0</v>
      </c>
      <c r="E381" s="274">
        <v>20.0</v>
      </c>
      <c r="F381" s="288" t="s">
        <v>5570</v>
      </c>
    </row>
    <row r="382" ht="15.0" customHeight="1">
      <c r="A382" s="82" t="s">
        <v>8161</v>
      </c>
      <c r="B382" s="82" t="s">
        <v>52</v>
      </c>
      <c r="C382" s="82" t="s">
        <v>9754</v>
      </c>
      <c r="D382" s="83">
        <v>20.0</v>
      </c>
      <c r="E382" s="274">
        <v>20.0</v>
      </c>
      <c r="F382" s="288" t="s">
        <v>5570</v>
      </c>
    </row>
    <row r="383" ht="15.0" customHeight="1">
      <c r="A383" s="82" t="s">
        <v>8161</v>
      </c>
      <c r="B383" s="82" t="s">
        <v>9236</v>
      </c>
      <c r="C383" s="82" t="s">
        <v>9755</v>
      </c>
      <c r="D383" s="83">
        <v>20.0</v>
      </c>
      <c r="E383" s="274">
        <v>20.0</v>
      </c>
      <c r="F383" s="288" t="s">
        <v>5570</v>
      </c>
    </row>
    <row r="384" ht="15.0" customHeight="1">
      <c r="A384" s="82" t="s">
        <v>9284</v>
      </c>
      <c r="B384" s="82" t="s">
        <v>957</v>
      </c>
      <c r="C384" s="82" t="s">
        <v>9756</v>
      </c>
      <c r="D384" s="83">
        <v>20.0</v>
      </c>
      <c r="E384" s="274">
        <v>20.0</v>
      </c>
      <c r="F384" s="288" t="s">
        <v>964</v>
      </c>
    </row>
    <row r="385" ht="15.0" customHeight="1">
      <c r="A385" s="82" t="s">
        <v>9284</v>
      </c>
      <c r="B385" s="82" t="s">
        <v>957</v>
      </c>
      <c r="C385" s="82" t="s">
        <v>9757</v>
      </c>
      <c r="D385" s="83">
        <v>20.0</v>
      </c>
      <c r="E385" s="274">
        <v>20.0</v>
      </c>
      <c r="F385" s="288" t="s">
        <v>964</v>
      </c>
    </row>
    <row r="386" ht="15.0" customHeight="1">
      <c r="A386" s="82" t="s">
        <v>9284</v>
      </c>
      <c r="B386" s="82" t="s">
        <v>957</v>
      </c>
      <c r="C386" s="82" t="s">
        <v>9758</v>
      </c>
      <c r="D386" s="83">
        <v>20.0</v>
      </c>
      <c r="E386" s="274">
        <v>20.0</v>
      </c>
      <c r="F386" s="288" t="s">
        <v>964</v>
      </c>
    </row>
    <row r="387" ht="15.0" customHeight="1">
      <c r="A387" s="82" t="s">
        <v>9284</v>
      </c>
      <c r="B387" s="82" t="s">
        <v>957</v>
      </c>
      <c r="C387" s="82" t="s">
        <v>9759</v>
      </c>
      <c r="D387" s="83">
        <v>20.0</v>
      </c>
      <c r="E387" s="274">
        <v>20.0</v>
      </c>
      <c r="F387" s="288" t="s">
        <v>964</v>
      </c>
    </row>
    <row r="388" ht="15.0" customHeight="1">
      <c r="A388" s="82" t="s">
        <v>9284</v>
      </c>
      <c r="B388" s="82" t="s">
        <v>957</v>
      </c>
      <c r="C388" s="82" t="s">
        <v>9760</v>
      </c>
      <c r="D388" s="83">
        <v>30.0</v>
      </c>
      <c r="E388" s="274">
        <v>30.0</v>
      </c>
      <c r="F388" s="288" t="s">
        <v>964</v>
      </c>
    </row>
    <row r="389" ht="15.0" customHeight="1">
      <c r="A389" s="82" t="s">
        <v>9284</v>
      </c>
      <c r="B389" s="82" t="s">
        <v>957</v>
      </c>
      <c r="C389" s="82" t="s">
        <v>9761</v>
      </c>
      <c r="D389" s="83">
        <v>30.0</v>
      </c>
      <c r="E389" s="274">
        <v>30.0</v>
      </c>
      <c r="F389" s="288" t="s">
        <v>964</v>
      </c>
    </row>
    <row r="390" ht="15.0" customHeight="1">
      <c r="A390" s="82" t="s">
        <v>9284</v>
      </c>
      <c r="B390" s="82" t="s">
        <v>957</v>
      </c>
      <c r="C390" s="82" t="s">
        <v>9762</v>
      </c>
      <c r="D390" s="83">
        <v>30.0</v>
      </c>
      <c r="E390" s="274">
        <v>30.0</v>
      </c>
      <c r="F390" s="288" t="s">
        <v>964</v>
      </c>
    </row>
    <row r="391" ht="15.0" customHeight="1">
      <c r="A391" s="82" t="s">
        <v>971</v>
      </c>
      <c r="B391" s="82" t="s">
        <v>182</v>
      </c>
      <c r="C391" s="82" t="s">
        <v>9763</v>
      </c>
      <c r="D391" s="83">
        <v>20.0</v>
      </c>
      <c r="E391" s="274">
        <v>20.0</v>
      </c>
      <c r="F391" s="288" t="s">
        <v>971</v>
      </c>
    </row>
    <row r="392" ht="15.0" customHeight="1">
      <c r="A392" s="82" t="s">
        <v>971</v>
      </c>
      <c r="B392" s="82" t="s">
        <v>182</v>
      </c>
      <c r="C392" s="82" t="s">
        <v>9764</v>
      </c>
      <c r="D392" s="83">
        <v>20.0</v>
      </c>
      <c r="E392" s="274">
        <v>20.0</v>
      </c>
      <c r="F392" s="288" t="s">
        <v>971</v>
      </c>
    </row>
    <row r="393" ht="15.0" customHeight="1">
      <c r="A393" s="82" t="s">
        <v>971</v>
      </c>
      <c r="B393" s="82" t="s">
        <v>182</v>
      </c>
      <c r="C393" s="82" t="s">
        <v>9765</v>
      </c>
      <c r="D393" s="83">
        <v>20.0</v>
      </c>
      <c r="E393" s="274">
        <v>20.0</v>
      </c>
      <c r="F393" s="288" t="s">
        <v>971</v>
      </c>
    </row>
    <row r="394" ht="15.0" customHeight="1">
      <c r="A394" s="82" t="s">
        <v>971</v>
      </c>
      <c r="B394" s="82" t="s">
        <v>182</v>
      </c>
      <c r="C394" s="82" t="s">
        <v>9766</v>
      </c>
      <c r="D394" s="83">
        <v>20.0</v>
      </c>
      <c r="E394" s="274">
        <v>20.0</v>
      </c>
      <c r="F394" s="288" t="s">
        <v>971</v>
      </c>
    </row>
    <row r="395" ht="15.0" customHeight="1">
      <c r="A395" s="82" t="s">
        <v>971</v>
      </c>
      <c r="B395" s="82" t="s">
        <v>182</v>
      </c>
      <c r="C395" s="82" t="s">
        <v>9767</v>
      </c>
      <c r="D395" s="83">
        <v>30.0</v>
      </c>
      <c r="E395" s="274">
        <v>30.0</v>
      </c>
      <c r="F395" s="288" t="s">
        <v>971</v>
      </c>
    </row>
    <row r="396" ht="15.0" customHeight="1">
      <c r="A396" s="473" t="s">
        <v>8241</v>
      </c>
      <c r="B396" s="492" t="s">
        <v>94</v>
      </c>
      <c r="C396" s="288" t="s">
        <v>9768</v>
      </c>
      <c r="D396" s="509">
        <v>20.0</v>
      </c>
      <c r="E396" s="510">
        <v>20.0</v>
      </c>
      <c r="F396" s="288" t="s">
        <v>1047</v>
      </c>
    </row>
    <row r="397" ht="15.0" customHeight="1">
      <c r="A397" s="473" t="s">
        <v>8241</v>
      </c>
      <c r="B397" s="492" t="s">
        <v>94</v>
      </c>
      <c r="C397" s="288" t="s">
        <v>9769</v>
      </c>
      <c r="D397" s="509">
        <v>10.0</v>
      </c>
      <c r="E397" s="510">
        <v>10.0</v>
      </c>
      <c r="F397" s="288" t="s">
        <v>1047</v>
      </c>
    </row>
    <row r="398" ht="15.0" customHeight="1">
      <c r="A398" s="473" t="s">
        <v>8241</v>
      </c>
      <c r="B398" s="492" t="s">
        <v>94</v>
      </c>
      <c r="C398" s="288" t="s">
        <v>9770</v>
      </c>
      <c r="D398" s="509">
        <v>30.0</v>
      </c>
      <c r="E398" s="510">
        <v>30.0</v>
      </c>
      <c r="F398" s="288" t="s">
        <v>1047</v>
      </c>
    </row>
    <row r="399" ht="15.0" customHeight="1">
      <c r="A399" s="473" t="s">
        <v>8241</v>
      </c>
      <c r="B399" s="492" t="s">
        <v>94</v>
      </c>
      <c r="C399" s="288" t="s">
        <v>9771</v>
      </c>
      <c r="D399" s="509">
        <v>10.0</v>
      </c>
      <c r="E399" s="510">
        <v>10.0</v>
      </c>
      <c r="F399" s="288" t="s">
        <v>1047</v>
      </c>
    </row>
    <row r="400" ht="15.0" customHeight="1">
      <c r="A400" s="473" t="s">
        <v>8241</v>
      </c>
      <c r="B400" s="492" t="s">
        <v>94</v>
      </c>
      <c r="C400" s="288" t="s">
        <v>9772</v>
      </c>
      <c r="D400" s="509">
        <v>10.0</v>
      </c>
      <c r="E400" s="510">
        <v>10.0</v>
      </c>
      <c r="F400" s="288" t="s">
        <v>1047</v>
      </c>
    </row>
    <row r="401" ht="15.0" customHeight="1">
      <c r="A401" s="82" t="s">
        <v>4343</v>
      </c>
      <c r="B401" s="82" t="s">
        <v>94</v>
      </c>
      <c r="C401" s="82" t="s">
        <v>9773</v>
      </c>
      <c r="D401" s="83">
        <v>20.0</v>
      </c>
      <c r="E401" s="274">
        <f>D401/2</f>
        <v>10</v>
      </c>
      <c r="F401" s="288" t="s">
        <v>4343</v>
      </c>
    </row>
    <row r="402" ht="15.0" customHeight="1">
      <c r="A402" s="82" t="s">
        <v>4343</v>
      </c>
      <c r="B402" s="82" t="s">
        <v>94</v>
      </c>
      <c r="C402" s="82" t="s">
        <v>9774</v>
      </c>
      <c r="D402" s="83">
        <v>20.0</v>
      </c>
      <c r="E402" s="274">
        <f t="shared" ref="E402:E412" si="11">D402</f>
        <v>20</v>
      </c>
      <c r="F402" s="288" t="s">
        <v>4343</v>
      </c>
    </row>
    <row r="403" ht="15.0" customHeight="1">
      <c r="A403" s="82" t="s">
        <v>4343</v>
      </c>
      <c r="B403" s="82" t="s">
        <v>94</v>
      </c>
      <c r="C403" s="82" t="s">
        <v>9775</v>
      </c>
      <c r="D403" s="83">
        <v>20.0</v>
      </c>
      <c r="E403" s="274">
        <f t="shared" si="11"/>
        <v>20</v>
      </c>
      <c r="F403" s="288" t="s">
        <v>4343</v>
      </c>
    </row>
    <row r="404" ht="15.0" customHeight="1">
      <c r="A404" s="82" t="s">
        <v>4343</v>
      </c>
      <c r="B404" s="82" t="s">
        <v>94</v>
      </c>
      <c r="C404" s="82" t="s">
        <v>9776</v>
      </c>
      <c r="D404" s="83">
        <v>20.0</v>
      </c>
      <c r="E404" s="274">
        <f t="shared" si="11"/>
        <v>20</v>
      </c>
      <c r="F404" s="288" t="s">
        <v>4343</v>
      </c>
    </row>
    <row r="405" ht="15.0" customHeight="1">
      <c r="A405" s="82" t="s">
        <v>4343</v>
      </c>
      <c r="B405" s="82" t="s">
        <v>94</v>
      </c>
      <c r="C405" s="82" t="s">
        <v>9777</v>
      </c>
      <c r="D405" s="83">
        <v>20.0</v>
      </c>
      <c r="E405" s="274">
        <f t="shared" si="11"/>
        <v>20</v>
      </c>
      <c r="F405" s="288" t="s">
        <v>4343</v>
      </c>
    </row>
    <row r="406" ht="15.0" customHeight="1">
      <c r="A406" s="82" t="s">
        <v>4343</v>
      </c>
      <c r="B406" s="82" t="s">
        <v>94</v>
      </c>
      <c r="C406" s="82" t="s">
        <v>9778</v>
      </c>
      <c r="D406" s="83">
        <v>20.0</v>
      </c>
      <c r="E406" s="274">
        <f t="shared" si="11"/>
        <v>20</v>
      </c>
      <c r="F406" s="288" t="s">
        <v>4343</v>
      </c>
    </row>
    <row r="407" ht="15.0" customHeight="1">
      <c r="A407" s="82" t="s">
        <v>4343</v>
      </c>
      <c r="B407" s="82" t="s">
        <v>94</v>
      </c>
      <c r="C407" s="82" t="s">
        <v>9779</v>
      </c>
      <c r="D407" s="83">
        <v>20.0</v>
      </c>
      <c r="E407" s="274">
        <f t="shared" si="11"/>
        <v>20</v>
      </c>
      <c r="F407" s="288" t="s">
        <v>4343</v>
      </c>
    </row>
    <row r="408" ht="15.0" customHeight="1">
      <c r="A408" s="82" t="s">
        <v>4343</v>
      </c>
      <c r="B408" s="82" t="s">
        <v>94</v>
      </c>
      <c r="C408" s="82" t="s">
        <v>9780</v>
      </c>
      <c r="D408" s="83">
        <v>30.0</v>
      </c>
      <c r="E408" s="274">
        <f t="shared" si="11"/>
        <v>30</v>
      </c>
      <c r="F408" s="288" t="s">
        <v>4343</v>
      </c>
    </row>
    <row r="409" ht="15.0" customHeight="1">
      <c r="A409" s="82" t="s">
        <v>4343</v>
      </c>
      <c r="B409" s="82" t="s">
        <v>94</v>
      </c>
      <c r="C409" s="82" t="s">
        <v>9781</v>
      </c>
      <c r="D409" s="83">
        <v>30.0</v>
      </c>
      <c r="E409" s="274">
        <f t="shared" si="11"/>
        <v>30</v>
      </c>
      <c r="F409" s="288" t="s">
        <v>4343</v>
      </c>
    </row>
    <row r="410" ht="15.0" customHeight="1">
      <c r="A410" s="82" t="s">
        <v>4343</v>
      </c>
      <c r="B410" s="82" t="s">
        <v>94</v>
      </c>
      <c r="C410" s="82" t="s">
        <v>9782</v>
      </c>
      <c r="D410" s="83">
        <v>30.0</v>
      </c>
      <c r="E410" s="274">
        <f t="shared" si="11"/>
        <v>30</v>
      </c>
      <c r="F410" s="288" t="s">
        <v>4343</v>
      </c>
    </row>
    <row r="411" ht="15.0" customHeight="1">
      <c r="A411" s="82" t="s">
        <v>4343</v>
      </c>
      <c r="B411" s="82" t="s">
        <v>94</v>
      </c>
      <c r="C411" s="352" t="s">
        <v>9783</v>
      </c>
      <c r="D411" s="83">
        <v>30.0</v>
      </c>
      <c r="E411" s="274">
        <f t="shared" si="11"/>
        <v>30</v>
      </c>
      <c r="F411" s="288" t="s">
        <v>4343</v>
      </c>
    </row>
    <row r="412" ht="15.0" customHeight="1">
      <c r="A412" s="82" t="s">
        <v>4343</v>
      </c>
      <c r="B412" s="82" t="s">
        <v>94</v>
      </c>
      <c r="C412" s="82" t="s">
        <v>9784</v>
      </c>
      <c r="D412" s="83">
        <v>30.0</v>
      </c>
      <c r="E412" s="274">
        <f t="shared" si="11"/>
        <v>30</v>
      </c>
      <c r="F412" s="288" t="s">
        <v>4343</v>
      </c>
    </row>
    <row r="413" ht="15.0" customHeight="1">
      <c r="A413" s="82" t="s">
        <v>9289</v>
      </c>
      <c r="B413" s="82" t="s">
        <v>94</v>
      </c>
      <c r="C413" s="82" t="s">
        <v>9785</v>
      </c>
      <c r="D413" s="83">
        <v>20.0</v>
      </c>
      <c r="E413" s="274">
        <v>20.0</v>
      </c>
      <c r="F413" s="288" t="s">
        <v>5745</v>
      </c>
    </row>
    <row r="414" ht="15.0" customHeight="1">
      <c r="A414" s="352" t="s">
        <v>9290</v>
      </c>
      <c r="B414" s="82" t="s">
        <v>182</v>
      </c>
      <c r="C414" s="82" t="s">
        <v>9786</v>
      </c>
      <c r="D414" s="83">
        <v>30.0</v>
      </c>
      <c r="E414" s="274">
        <v>30.0</v>
      </c>
      <c r="F414" s="288" t="s">
        <v>4352</v>
      </c>
    </row>
    <row r="415" ht="15.0" customHeight="1">
      <c r="A415" s="352" t="s">
        <v>9290</v>
      </c>
      <c r="B415" s="82" t="s">
        <v>182</v>
      </c>
      <c r="C415" s="82" t="s">
        <v>9787</v>
      </c>
      <c r="D415" s="83">
        <v>30.0</v>
      </c>
      <c r="E415" s="274">
        <v>30.0</v>
      </c>
      <c r="F415" s="288" t="s">
        <v>4352</v>
      </c>
    </row>
    <row r="416" ht="15.0" customHeight="1">
      <c r="A416" s="82" t="s">
        <v>9788</v>
      </c>
      <c r="B416" s="82" t="s">
        <v>147</v>
      </c>
      <c r="C416" s="82" t="s">
        <v>9789</v>
      </c>
      <c r="D416" s="83">
        <v>20.0</v>
      </c>
      <c r="E416" s="274">
        <v>20.0</v>
      </c>
      <c r="F416" s="473" t="s">
        <v>153</v>
      </c>
    </row>
    <row r="417" ht="15.0" customHeight="1">
      <c r="A417" s="82" t="s">
        <v>9788</v>
      </c>
      <c r="B417" s="82" t="s">
        <v>147</v>
      </c>
      <c r="C417" s="82" t="s">
        <v>9790</v>
      </c>
      <c r="D417" s="83">
        <v>20.0</v>
      </c>
      <c r="E417" s="274">
        <v>20.0</v>
      </c>
      <c r="F417" s="473" t="s">
        <v>153</v>
      </c>
    </row>
    <row r="418" ht="15.0" customHeight="1">
      <c r="A418" s="82" t="s">
        <v>9788</v>
      </c>
      <c r="B418" s="82" t="s">
        <v>147</v>
      </c>
      <c r="C418" s="82" t="s">
        <v>9791</v>
      </c>
      <c r="D418" s="83">
        <v>20.0</v>
      </c>
      <c r="E418" s="274">
        <v>20.0</v>
      </c>
      <c r="F418" s="473" t="s">
        <v>153</v>
      </c>
    </row>
    <row r="419" ht="15.0" customHeight="1">
      <c r="A419" s="82" t="s">
        <v>9788</v>
      </c>
      <c r="B419" s="82" t="s">
        <v>147</v>
      </c>
      <c r="C419" s="82" t="s">
        <v>9792</v>
      </c>
      <c r="D419" s="83">
        <v>20.0</v>
      </c>
      <c r="E419" s="274">
        <v>20.0</v>
      </c>
      <c r="F419" s="473" t="s">
        <v>153</v>
      </c>
    </row>
    <row r="420" ht="15.0" customHeight="1">
      <c r="A420" s="82" t="s">
        <v>9788</v>
      </c>
      <c r="B420" s="82" t="s">
        <v>147</v>
      </c>
      <c r="C420" s="82" t="s">
        <v>9793</v>
      </c>
      <c r="D420" s="83">
        <v>20.0</v>
      </c>
      <c r="E420" s="274">
        <v>20.0</v>
      </c>
      <c r="F420" s="473" t="s">
        <v>153</v>
      </c>
    </row>
    <row r="421" ht="15.0" customHeight="1">
      <c r="A421" s="82" t="s">
        <v>9788</v>
      </c>
      <c r="B421" s="82" t="s">
        <v>147</v>
      </c>
      <c r="C421" s="82" t="s">
        <v>9794</v>
      </c>
      <c r="D421" s="83">
        <v>20.0</v>
      </c>
      <c r="E421" s="274">
        <v>20.0</v>
      </c>
      <c r="F421" s="473" t="s">
        <v>153</v>
      </c>
    </row>
    <row r="422" ht="15.0" customHeight="1">
      <c r="A422" s="82" t="s">
        <v>9788</v>
      </c>
      <c r="B422" s="82" t="s">
        <v>147</v>
      </c>
      <c r="C422" s="82" t="s">
        <v>9795</v>
      </c>
      <c r="D422" s="83">
        <v>20.0</v>
      </c>
      <c r="E422" s="274">
        <v>20.0</v>
      </c>
      <c r="F422" s="473" t="s">
        <v>153</v>
      </c>
    </row>
    <row r="423" ht="15.0" customHeight="1">
      <c r="A423" s="82" t="s">
        <v>9788</v>
      </c>
      <c r="B423" s="82" t="s">
        <v>147</v>
      </c>
      <c r="C423" s="82" t="s">
        <v>9796</v>
      </c>
      <c r="D423" s="83">
        <v>20.0</v>
      </c>
      <c r="E423" s="274">
        <v>20.0</v>
      </c>
      <c r="F423" s="473" t="s">
        <v>153</v>
      </c>
    </row>
    <row r="424" ht="15.0" customHeight="1">
      <c r="A424" s="82" t="s">
        <v>9788</v>
      </c>
      <c r="B424" s="82" t="s">
        <v>147</v>
      </c>
      <c r="C424" s="82" t="s">
        <v>9797</v>
      </c>
      <c r="D424" s="83">
        <v>20.0</v>
      </c>
      <c r="E424" s="274">
        <v>20.0</v>
      </c>
      <c r="F424" s="473" t="s">
        <v>153</v>
      </c>
    </row>
    <row r="425" ht="15.0" customHeight="1">
      <c r="A425" s="82" t="s">
        <v>9788</v>
      </c>
      <c r="B425" s="82" t="s">
        <v>147</v>
      </c>
      <c r="C425" s="82" t="s">
        <v>9798</v>
      </c>
      <c r="D425" s="83">
        <v>20.0</v>
      </c>
      <c r="E425" s="274">
        <v>20.0</v>
      </c>
      <c r="F425" s="473" t="s">
        <v>153</v>
      </c>
    </row>
    <row r="426" ht="15.0" customHeight="1">
      <c r="A426" s="82" t="s">
        <v>9788</v>
      </c>
      <c r="B426" s="82" t="s">
        <v>147</v>
      </c>
      <c r="C426" s="82" t="s">
        <v>9799</v>
      </c>
      <c r="D426" s="83">
        <v>20.0</v>
      </c>
      <c r="E426" s="274">
        <v>20.0</v>
      </c>
      <c r="F426" s="473" t="s">
        <v>153</v>
      </c>
    </row>
    <row r="427" ht="15.0" customHeight="1">
      <c r="A427" s="82" t="s">
        <v>9788</v>
      </c>
      <c r="B427" s="82" t="s">
        <v>147</v>
      </c>
      <c r="C427" s="82" t="s">
        <v>9800</v>
      </c>
      <c r="D427" s="83">
        <v>20.0</v>
      </c>
      <c r="E427" s="274">
        <v>20.0</v>
      </c>
      <c r="F427" s="473" t="s">
        <v>153</v>
      </c>
    </row>
    <row r="428" ht="15.0" customHeight="1">
      <c r="A428" s="82" t="s">
        <v>9788</v>
      </c>
      <c r="B428" s="82" t="s">
        <v>147</v>
      </c>
      <c r="C428" s="82" t="s">
        <v>9801</v>
      </c>
      <c r="D428" s="83">
        <v>20.0</v>
      </c>
      <c r="E428" s="274">
        <v>20.0</v>
      </c>
      <c r="F428" s="473" t="s">
        <v>153</v>
      </c>
    </row>
    <row r="429" ht="15.0" customHeight="1">
      <c r="A429" s="82" t="s">
        <v>9788</v>
      </c>
      <c r="B429" s="82" t="s">
        <v>147</v>
      </c>
      <c r="C429" s="82" t="s">
        <v>9802</v>
      </c>
      <c r="D429" s="83">
        <v>20.0</v>
      </c>
      <c r="E429" s="274">
        <v>20.0</v>
      </c>
      <c r="F429" s="473" t="s">
        <v>153</v>
      </c>
    </row>
    <row r="430" ht="15.0" customHeight="1">
      <c r="A430" s="82" t="s">
        <v>9788</v>
      </c>
      <c r="B430" s="82" t="s">
        <v>147</v>
      </c>
      <c r="C430" s="82" t="s">
        <v>9803</v>
      </c>
      <c r="D430" s="83">
        <v>20.0</v>
      </c>
      <c r="E430" s="274">
        <v>20.0</v>
      </c>
      <c r="F430" s="473" t="s">
        <v>153</v>
      </c>
    </row>
    <row r="431" ht="15.0" customHeight="1">
      <c r="A431" s="82" t="s">
        <v>9788</v>
      </c>
      <c r="B431" s="82" t="s">
        <v>147</v>
      </c>
      <c r="C431" s="82" t="s">
        <v>9804</v>
      </c>
      <c r="D431" s="83">
        <v>20.0</v>
      </c>
      <c r="E431" s="274">
        <v>20.0</v>
      </c>
      <c r="F431" s="473" t="s">
        <v>153</v>
      </c>
    </row>
    <row r="432" ht="15.0" customHeight="1">
      <c r="A432" s="82" t="s">
        <v>9788</v>
      </c>
      <c r="B432" s="82" t="s">
        <v>147</v>
      </c>
      <c r="C432" s="82" t="s">
        <v>9805</v>
      </c>
      <c r="D432" s="83">
        <v>20.0</v>
      </c>
      <c r="E432" s="274">
        <v>20.0</v>
      </c>
      <c r="F432" s="473" t="s">
        <v>153</v>
      </c>
    </row>
    <row r="433" ht="15.0" customHeight="1">
      <c r="A433" s="82" t="s">
        <v>9788</v>
      </c>
      <c r="B433" s="82" t="s">
        <v>147</v>
      </c>
      <c r="C433" s="82" t="s">
        <v>9806</v>
      </c>
      <c r="D433" s="83">
        <v>30.0</v>
      </c>
      <c r="E433" s="274">
        <v>30.0</v>
      </c>
      <c r="F433" s="473" t="s">
        <v>153</v>
      </c>
    </row>
    <row r="434" ht="15.0" customHeight="1">
      <c r="A434" s="82" t="s">
        <v>9788</v>
      </c>
      <c r="B434" s="82" t="s">
        <v>147</v>
      </c>
      <c r="C434" s="82" t="s">
        <v>9807</v>
      </c>
      <c r="D434" s="83">
        <v>30.0</v>
      </c>
      <c r="E434" s="274">
        <v>30.0</v>
      </c>
      <c r="F434" s="473" t="s">
        <v>153</v>
      </c>
    </row>
    <row r="435" ht="15.0" customHeight="1">
      <c r="A435" s="82" t="s">
        <v>9788</v>
      </c>
      <c r="B435" s="82" t="s">
        <v>147</v>
      </c>
      <c r="C435" s="82" t="s">
        <v>9808</v>
      </c>
      <c r="D435" s="83">
        <v>30.0</v>
      </c>
      <c r="E435" s="274">
        <v>30.0</v>
      </c>
      <c r="F435" s="473" t="s">
        <v>153</v>
      </c>
    </row>
    <row r="436" ht="15.0" customHeight="1">
      <c r="A436" s="82" t="s">
        <v>9788</v>
      </c>
      <c r="B436" s="82" t="s">
        <v>147</v>
      </c>
      <c r="C436" s="82" t="s">
        <v>9809</v>
      </c>
      <c r="D436" s="83">
        <v>30.0</v>
      </c>
      <c r="E436" s="274">
        <v>30.0</v>
      </c>
      <c r="F436" s="473" t="s">
        <v>153</v>
      </c>
    </row>
    <row r="437" ht="15.0" customHeight="1">
      <c r="A437" s="82" t="s">
        <v>155</v>
      </c>
      <c r="B437" s="82" t="s">
        <v>147</v>
      </c>
      <c r="C437" s="82" t="s">
        <v>9810</v>
      </c>
      <c r="D437" s="83">
        <v>20.0</v>
      </c>
      <c r="E437" s="274">
        <v>20.0</v>
      </c>
      <c r="F437" s="473" t="s">
        <v>155</v>
      </c>
    </row>
    <row r="438" ht="15.0" customHeight="1">
      <c r="A438" s="82" t="s">
        <v>155</v>
      </c>
      <c r="B438" s="82" t="s">
        <v>147</v>
      </c>
      <c r="C438" s="82" t="s">
        <v>9811</v>
      </c>
      <c r="D438" s="83">
        <v>20.0</v>
      </c>
      <c r="E438" s="274">
        <v>20.0</v>
      </c>
      <c r="F438" s="473" t="s">
        <v>155</v>
      </c>
    </row>
    <row r="439" ht="15.0" customHeight="1">
      <c r="A439" s="82" t="s">
        <v>155</v>
      </c>
      <c r="B439" s="82" t="s">
        <v>147</v>
      </c>
      <c r="C439" s="82" t="s">
        <v>9812</v>
      </c>
      <c r="D439" s="83">
        <v>20.0</v>
      </c>
      <c r="E439" s="274">
        <v>20.0</v>
      </c>
      <c r="F439" s="473" t="s">
        <v>155</v>
      </c>
    </row>
    <row r="440" ht="15.0" customHeight="1">
      <c r="A440" s="82" t="s">
        <v>155</v>
      </c>
      <c r="B440" s="82" t="s">
        <v>147</v>
      </c>
      <c r="C440" s="82" t="s">
        <v>9813</v>
      </c>
      <c r="D440" s="83">
        <v>20.0</v>
      </c>
      <c r="E440" s="274">
        <v>20.0</v>
      </c>
      <c r="F440" s="473" t="s">
        <v>155</v>
      </c>
    </row>
    <row r="441" ht="15.0" customHeight="1">
      <c r="A441" s="82" t="s">
        <v>155</v>
      </c>
      <c r="B441" s="82" t="s">
        <v>147</v>
      </c>
      <c r="C441" s="82" t="s">
        <v>9814</v>
      </c>
      <c r="D441" s="83">
        <v>20.0</v>
      </c>
      <c r="E441" s="274">
        <v>20.0</v>
      </c>
      <c r="F441" s="473" t="s">
        <v>155</v>
      </c>
    </row>
    <row r="442" ht="15.0" customHeight="1">
      <c r="A442" s="82" t="s">
        <v>155</v>
      </c>
      <c r="B442" s="82" t="s">
        <v>147</v>
      </c>
      <c r="C442" s="82" t="s">
        <v>9815</v>
      </c>
      <c r="D442" s="83">
        <v>20.0</v>
      </c>
      <c r="E442" s="274">
        <v>20.0</v>
      </c>
      <c r="F442" s="473" t="s">
        <v>155</v>
      </c>
    </row>
    <row r="443" ht="15.0" customHeight="1">
      <c r="A443" s="82" t="s">
        <v>155</v>
      </c>
      <c r="B443" s="82" t="s">
        <v>147</v>
      </c>
      <c r="C443" s="82" t="s">
        <v>9816</v>
      </c>
      <c r="D443" s="83">
        <v>30.0</v>
      </c>
      <c r="E443" s="274">
        <v>30.0</v>
      </c>
      <c r="F443" s="473" t="s">
        <v>155</v>
      </c>
    </row>
    <row r="444" ht="15.0" customHeight="1">
      <c r="A444" s="82" t="s">
        <v>154</v>
      </c>
      <c r="B444" s="82" t="s">
        <v>147</v>
      </c>
      <c r="C444" s="82" t="s">
        <v>9817</v>
      </c>
      <c r="D444" s="83">
        <v>30.0</v>
      </c>
      <c r="E444" s="274">
        <v>30.0</v>
      </c>
      <c r="F444" s="473" t="s">
        <v>154</v>
      </c>
    </row>
    <row r="445" ht="15.0" customHeight="1">
      <c r="A445" s="82" t="s">
        <v>154</v>
      </c>
      <c r="B445" s="82" t="s">
        <v>147</v>
      </c>
      <c r="C445" s="82" t="s">
        <v>9818</v>
      </c>
      <c r="D445" s="83">
        <v>30.0</v>
      </c>
      <c r="E445" s="274">
        <v>30.0</v>
      </c>
      <c r="F445" s="473" t="s">
        <v>154</v>
      </c>
    </row>
    <row r="446" ht="15.0" customHeight="1">
      <c r="A446" s="82" t="s">
        <v>154</v>
      </c>
      <c r="B446" s="82" t="s">
        <v>147</v>
      </c>
      <c r="C446" s="82" t="s">
        <v>9819</v>
      </c>
      <c r="D446" s="83">
        <v>30.0</v>
      </c>
      <c r="E446" s="274">
        <v>30.0</v>
      </c>
      <c r="F446" s="473" t="s">
        <v>154</v>
      </c>
    </row>
    <row r="447" ht="15.0" customHeight="1">
      <c r="A447" s="82" t="s">
        <v>154</v>
      </c>
      <c r="B447" s="82" t="s">
        <v>147</v>
      </c>
      <c r="C447" s="82" t="s">
        <v>9820</v>
      </c>
      <c r="D447" s="83">
        <v>30.0</v>
      </c>
      <c r="E447" s="274">
        <v>30.0</v>
      </c>
      <c r="F447" s="473" t="s">
        <v>154</v>
      </c>
    </row>
    <row r="448" ht="15.0" customHeight="1">
      <c r="A448" s="82" t="s">
        <v>154</v>
      </c>
      <c r="B448" s="82" t="s">
        <v>147</v>
      </c>
      <c r="C448" s="82" t="s">
        <v>9821</v>
      </c>
      <c r="D448" s="83">
        <v>20.0</v>
      </c>
      <c r="E448" s="274">
        <v>20.0</v>
      </c>
      <c r="F448" s="473" t="s">
        <v>154</v>
      </c>
    </row>
    <row r="449" ht="15.0" customHeight="1">
      <c r="A449" s="82" t="s">
        <v>154</v>
      </c>
      <c r="B449" s="82" t="s">
        <v>147</v>
      </c>
      <c r="C449" s="82" t="s">
        <v>9822</v>
      </c>
      <c r="D449" s="83">
        <v>20.0</v>
      </c>
      <c r="E449" s="274">
        <v>20.0</v>
      </c>
      <c r="F449" s="473" t="s">
        <v>154</v>
      </c>
    </row>
    <row r="450" ht="15.0" customHeight="1">
      <c r="A450" s="82" t="s">
        <v>154</v>
      </c>
      <c r="B450" s="82" t="s">
        <v>147</v>
      </c>
      <c r="C450" s="82" t="s">
        <v>9823</v>
      </c>
      <c r="D450" s="83">
        <v>20.0</v>
      </c>
      <c r="E450" s="274">
        <v>20.0</v>
      </c>
      <c r="F450" s="473" t="s">
        <v>154</v>
      </c>
    </row>
    <row r="451" ht="15.0" customHeight="1">
      <c r="A451" s="82" t="s">
        <v>154</v>
      </c>
      <c r="B451" s="82" t="s">
        <v>147</v>
      </c>
      <c r="C451" s="82" t="s">
        <v>9824</v>
      </c>
      <c r="D451" s="83">
        <v>20.0</v>
      </c>
      <c r="E451" s="274">
        <v>20.0</v>
      </c>
      <c r="F451" s="473" t="s">
        <v>154</v>
      </c>
    </row>
    <row r="452" ht="15.0" customHeight="1">
      <c r="A452" s="82" t="s">
        <v>154</v>
      </c>
      <c r="B452" s="82" t="s">
        <v>147</v>
      </c>
      <c r="C452" s="82" t="s">
        <v>9825</v>
      </c>
      <c r="D452" s="83">
        <v>20.0</v>
      </c>
      <c r="E452" s="274">
        <v>20.0</v>
      </c>
      <c r="F452" s="473" t="s">
        <v>154</v>
      </c>
    </row>
    <row r="453" ht="15.0" customHeight="1">
      <c r="A453" s="82" t="s">
        <v>154</v>
      </c>
      <c r="B453" s="82" t="s">
        <v>147</v>
      </c>
      <c r="C453" s="82" t="s">
        <v>9826</v>
      </c>
      <c r="D453" s="83">
        <v>20.0</v>
      </c>
      <c r="E453" s="274">
        <v>20.0</v>
      </c>
      <c r="F453" s="473" t="s">
        <v>154</v>
      </c>
    </row>
    <row r="454" ht="15.0" customHeight="1">
      <c r="A454" s="82" t="s">
        <v>154</v>
      </c>
      <c r="B454" s="82" t="s">
        <v>147</v>
      </c>
      <c r="C454" s="82" t="s">
        <v>9827</v>
      </c>
      <c r="D454" s="83">
        <v>20.0</v>
      </c>
      <c r="E454" s="274">
        <v>20.0</v>
      </c>
      <c r="F454" s="473" t="s">
        <v>154</v>
      </c>
    </row>
    <row r="455" ht="15.0" customHeight="1">
      <c r="A455" s="82" t="s">
        <v>154</v>
      </c>
      <c r="B455" s="82" t="s">
        <v>147</v>
      </c>
      <c r="C455" s="82" t="s">
        <v>9828</v>
      </c>
      <c r="D455" s="83">
        <v>20.0</v>
      </c>
      <c r="E455" s="274">
        <v>20.0</v>
      </c>
      <c r="F455" s="473" t="s">
        <v>154</v>
      </c>
    </row>
    <row r="456" ht="15.0" customHeight="1">
      <c r="A456" s="82" t="s">
        <v>9292</v>
      </c>
      <c r="B456" s="82" t="s">
        <v>147</v>
      </c>
      <c r="C456" s="82" t="s">
        <v>9829</v>
      </c>
      <c r="D456" s="83">
        <v>20.0</v>
      </c>
      <c r="E456" s="274">
        <v>20.0</v>
      </c>
      <c r="F456" s="473" t="s">
        <v>149</v>
      </c>
    </row>
    <row r="457" ht="15.0" customHeight="1">
      <c r="A457" s="82" t="s">
        <v>9292</v>
      </c>
      <c r="B457" s="82" t="s">
        <v>147</v>
      </c>
      <c r="C457" s="82" t="s">
        <v>9830</v>
      </c>
      <c r="D457" s="83">
        <v>20.0</v>
      </c>
      <c r="E457" s="274">
        <v>20.0</v>
      </c>
      <c r="F457" s="473" t="s">
        <v>149</v>
      </c>
    </row>
    <row r="458" ht="15.0" customHeight="1">
      <c r="A458" s="82" t="s">
        <v>9292</v>
      </c>
      <c r="B458" s="82" t="s">
        <v>147</v>
      </c>
      <c r="C458" s="82" t="s">
        <v>9831</v>
      </c>
      <c r="D458" s="83">
        <v>20.0</v>
      </c>
      <c r="E458" s="274">
        <v>20.0</v>
      </c>
      <c r="F458" s="473" t="s">
        <v>149</v>
      </c>
    </row>
    <row r="459" ht="15.0" customHeight="1">
      <c r="A459" s="82" t="s">
        <v>9292</v>
      </c>
      <c r="B459" s="82" t="s">
        <v>147</v>
      </c>
      <c r="C459" s="82" t="s">
        <v>9832</v>
      </c>
      <c r="D459" s="83">
        <v>20.0</v>
      </c>
      <c r="E459" s="274">
        <v>20.0</v>
      </c>
      <c r="F459" s="473" t="s">
        <v>149</v>
      </c>
    </row>
    <row r="460" ht="15.0" customHeight="1">
      <c r="A460" s="82" t="s">
        <v>9292</v>
      </c>
      <c r="B460" s="82" t="s">
        <v>147</v>
      </c>
      <c r="C460" s="82" t="s">
        <v>9833</v>
      </c>
      <c r="D460" s="83">
        <v>20.0</v>
      </c>
      <c r="E460" s="274">
        <v>20.0</v>
      </c>
      <c r="F460" s="473" t="s">
        <v>149</v>
      </c>
    </row>
    <row r="461" ht="15.0" customHeight="1">
      <c r="A461" s="82" t="s">
        <v>9292</v>
      </c>
      <c r="B461" s="82" t="s">
        <v>147</v>
      </c>
      <c r="C461" s="82" t="s">
        <v>9834</v>
      </c>
      <c r="D461" s="83">
        <v>20.0</v>
      </c>
      <c r="E461" s="274">
        <v>20.0</v>
      </c>
      <c r="F461" s="473" t="s">
        <v>149</v>
      </c>
    </row>
    <row r="462" ht="15.0" customHeight="1">
      <c r="A462" s="82" t="s">
        <v>9292</v>
      </c>
      <c r="B462" s="82" t="s">
        <v>147</v>
      </c>
      <c r="C462" s="82" t="s">
        <v>9835</v>
      </c>
      <c r="D462" s="83">
        <v>30.0</v>
      </c>
      <c r="E462" s="274">
        <v>30.0</v>
      </c>
      <c r="F462" s="473" t="s">
        <v>149</v>
      </c>
    </row>
    <row r="463" ht="15.0" customHeight="1">
      <c r="A463" s="82" t="s">
        <v>9292</v>
      </c>
      <c r="B463" s="82" t="s">
        <v>147</v>
      </c>
      <c r="C463" s="82" t="s">
        <v>9836</v>
      </c>
      <c r="D463" s="83">
        <v>30.0</v>
      </c>
      <c r="E463" s="274">
        <v>30.0</v>
      </c>
      <c r="F463" s="473" t="s">
        <v>149</v>
      </c>
    </row>
    <row r="464" ht="15.0" customHeight="1">
      <c r="A464" s="82" t="s">
        <v>9292</v>
      </c>
      <c r="B464" s="82" t="s">
        <v>147</v>
      </c>
      <c r="C464" s="82" t="s">
        <v>9837</v>
      </c>
      <c r="D464" s="83">
        <v>30.0</v>
      </c>
      <c r="E464" s="274">
        <v>30.0</v>
      </c>
      <c r="F464" s="473" t="s">
        <v>149</v>
      </c>
    </row>
    <row r="465" ht="15.0" customHeight="1">
      <c r="A465" s="82" t="s">
        <v>9292</v>
      </c>
      <c r="B465" s="82" t="s">
        <v>147</v>
      </c>
      <c r="C465" s="82" t="s">
        <v>9838</v>
      </c>
      <c r="D465" s="83">
        <v>30.0</v>
      </c>
      <c r="E465" s="274">
        <v>30.0</v>
      </c>
      <c r="F465" s="473" t="s">
        <v>149</v>
      </c>
    </row>
    <row r="466" ht="15.0" customHeight="1">
      <c r="A466" s="82" t="s">
        <v>9292</v>
      </c>
      <c r="B466" s="82" t="s">
        <v>147</v>
      </c>
      <c r="C466" s="82" t="s">
        <v>9839</v>
      </c>
      <c r="D466" s="83">
        <v>30.0</v>
      </c>
      <c r="E466" s="274">
        <v>30.0</v>
      </c>
      <c r="F466" s="473" t="s">
        <v>149</v>
      </c>
    </row>
    <row r="467" ht="15.0" customHeight="1">
      <c r="A467" s="82" t="s">
        <v>8317</v>
      </c>
      <c r="B467" s="82" t="s">
        <v>147</v>
      </c>
      <c r="C467" s="82" t="s">
        <v>9840</v>
      </c>
      <c r="D467" s="83">
        <v>30.0</v>
      </c>
      <c r="E467" s="274">
        <v>30.0</v>
      </c>
      <c r="F467" s="473" t="s">
        <v>150</v>
      </c>
    </row>
    <row r="468" ht="15.0" customHeight="1">
      <c r="A468" s="82" t="s">
        <v>9294</v>
      </c>
      <c r="B468" s="82" t="s">
        <v>147</v>
      </c>
      <c r="C468" s="82" t="s">
        <v>9841</v>
      </c>
      <c r="D468" s="83">
        <v>20.0</v>
      </c>
      <c r="E468" s="274">
        <v>20.0</v>
      </c>
      <c r="F468" s="473" t="s">
        <v>156</v>
      </c>
    </row>
    <row r="469" ht="15.0" customHeight="1">
      <c r="A469" s="82" t="s">
        <v>9294</v>
      </c>
      <c r="B469" s="82" t="s">
        <v>147</v>
      </c>
      <c r="C469" s="82" t="s">
        <v>9842</v>
      </c>
      <c r="D469" s="83">
        <v>20.0</v>
      </c>
      <c r="E469" s="274">
        <v>20.0</v>
      </c>
      <c r="F469" s="473" t="s">
        <v>156</v>
      </c>
    </row>
    <row r="470" ht="15.0" customHeight="1">
      <c r="A470" s="82" t="s">
        <v>9294</v>
      </c>
      <c r="B470" s="82" t="s">
        <v>147</v>
      </c>
      <c r="C470" s="82" t="s">
        <v>9843</v>
      </c>
      <c r="D470" s="83">
        <v>30.0</v>
      </c>
      <c r="E470" s="274">
        <v>30.0</v>
      </c>
      <c r="F470" s="473" t="s">
        <v>156</v>
      </c>
    </row>
    <row r="471" ht="15.0" customHeight="1">
      <c r="A471" s="82" t="s">
        <v>9294</v>
      </c>
      <c r="B471" s="82" t="s">
        <v>147</v>
      </c>
      <c r="C471" s="82" t="s">
        <v>9844</v>
      </c>
      <c r="D471" s="83">
        <v>30.0</v>
      </c>
      <c r="E471" s="274">
        <v>30.0</v>
      </c>
      <c r="F471" s="473" t="s">
        <v>156</v>
      </c>
    </row>
    <row r="472" ht="15.0" customHeight="1">
      <c r="A472" s="82" t="s">
        <v>9041</v>
      </c>
      <c r="B472" s="82" t="s">
        <v>147</v>
      </c>
      <c r="C472" s="82" t="s">
        <v>9845</v>
      </c>
      <c r="D472" s="83">
        <v>20.0</v>
      </c>
      <c r="E472" s="274">
        <v>20.0</v>
      </c>
      <c r="F472" s="473" t="s">
        <v>4845</v>
      </c>
    </row>
    <row r="473" ht="15.0" customHeight="1">
      <c r="A473" s="82" t="s">
        <v>9041</v>
      </c>
      <c r="B473" s="82" t="s">
        <v>147</v>
      </c>
      <c r="C473" s="82" t="s">
        <v>9846</v>
      </c>
      <c r="D473" s="83">
        <v>20.0</v>
      </c>
      <c r="E473" s="274">
        <v>20.0</v>
      </c>
      <c r="F473" s="473" t="s">
        <v>4845</v>
      </c>
    </row>
    <row r="474" ht="15.0" customHeight="1">
      <c r="A474" s="82" t="s">
        <v>9041</v>
      </c>
      <c r="B474" s="82" t="s">
        <v>147</v>
      </c>
      <c r="C474" s="82" t="s">
        <v>9847</v>
      </c>
      <c r="D474" s="83">
        <v>20.0</v>
      </c>
      <c r="E474" s="274">
        <v>20.0</v>
      </c>
      <c r="F474" s="473" t="s">
        <v>4845</v>
      </c>
    </row>
    <row r="475" ht="15.0" customHeight="1">
      <c r="A475" s="82" t="s">
        <v>9041</v>
      </c>
      <c r="B475" s="82" t="s">
        <v>147</v>
      </c>
      <c r="C475" s="82" t="s">
        <v>9848</v>
      </c>
      <c r="D475" s="83">
        <v>20.0</v>
      </c>
      <c r="E475" s="274">
        <v>20.0</v>
      </c>
      <c r="F475" s="473" t="s">
        <v>4845</v>
      </c>
    </row>
    <row r="476" ht="15.0" customHeight="1">
      <c r="A476" s="82" t="s">
        <v>9041</v>
      </c>
      <c r="B476" s="82" t="s">
        <v>147</v>
      </c>
      <c r="C476" s="82" t="s">
        <v>9849</v>
      </c>
      <c r="D476" s="83">
        <v>20.0</v>
      </c>
      <c r="E476" s="274">
        <v>20.0</v>
      </c>
      <c r="F476" s="473" t="s">
        <v>4845</v>
      </c>
    </row>
    <row r="477" ht="15.0" customHeight="1">
      <c r="A477" s="82" t="s">
        <v>9041</v>
      </c>
      <c r="B477" s="82" t="s">
        <v>147</v>
      </c>
      <c r="C477" s="82" t="s">
        <v>9850</v>
      </c>
      <c r="D477" s="83">
        <v>20.0</v>
      </c>
      <c r="E477" s="274">
        <v>20.0</v>
      </c>
      <c r="F477" s="473" t="s">
        <v>4845</v>
      </c>
    </row>
    <row r="478" ht="15.0" customHeight="1">
      <c r="A478" s="82" t="s">
        <v>9041</v>
      </c>
      <c r="B478" s="82" t="s">
        <v>147</v>
      </c>
      <c r="C478" s="82" t="s">
        <v>9851</v>
      </c>
      <c r="D478" s="83">
        <v>20.0</v>
      </c>
      <c r="E478" s="274">
        <v>20.0</v>
      </c>
      <c r="F478" s="473" t="s">
        <v>4845</v>
      </c>
    </row>
    <row r="479" ht="15.0" customHeight="1">
      <c r="A479" s="82" t="s">
        <v>9041</v>
      </c>
      <c r="B479" s="82" t="s">
        <v>147</v>
      </c>
      <c r="C479" s="82" t="s">
        <v>9852</v>
      </c>
      <c r="D479" s="83">
        <v>20.0</v>
      </c>
      <c r="E479" s="274">
        <v>20.0</v>
      </c>
      <c r="F479" s="473" t="s">
        <v>4845</v>
      </c>
    </row>
    <row r="480" ht="15.0" customHeight="1">
      <c r="A480" s="82" t="s">
        <v>9041</v>
      </c>
      <c r="B480" s="82" t="s">
        <v>147</v>
      </c>
      <c r="C480" s="82" t="s">
        <v>9853</v>
      </c>
      <c r="D480" s="83">
        <v>20.0</v>
      </c>
      <c r="E480" s="274">
        <v>20.0</v>
      </c>
      <c r="F480" s="473" t="s">
        <v>4845</v>
      </c>
    </row>
    <row r="481" ht="15.0" customHeight="1">
      <c r="A481" s="82" t="s">
        <v>9041</v>
      </c>
      <c r="B481" s="82" t="s">
        <v>147</v>
      </c>
      <c r="C481" s="82" t="s">
        <v>9854</v>
      </c>
      <c r="D481" s="83">
        <v>20.0</v>
      </c>
      <c r="E481" s="274">
        <v>20.0</v>
      </c>
      <c r="F481" s="473" t="s">
        <v>4845</v>
      </c>
    </row>
    <row r="482" ht="15.0" customHeight="1">
      <c r="A482" s="82" t="s">
        <v>9041</v>
      </c>
      <c r="B482" s="82" t="s">
        <v>147</v>
      </c>
      <c r="C482" s="82" t="s">
        <v>9855</v>
      </c>
      <c r="D482" s="83">
        <v>20.0</v>
      </c>
      <c r="E482" s="274">
        <v>20.0</v>
      </c>
      <c r="F482" s="473" t="s">
        <v>4845</v>
      </c>
    </row>
    <row r="483" ht="15.0" customHeight="1">
      <c r="A483" s="82" t="s">
        <v>9041</v>
      </c>
      <c r="B483" s="82" t="s">
        <v>147</v>
      </c>
      <c r="C483" s="82" t="s">
        <v>9856</v>
      </c>
      <c r="D483" s="83">
        <v>30.0</v>
      </c>
      <c r="E483" s="274">
        <v>30.0</v>
      </c>
      <c r="F483" s="473" t="s">
        <v>4845</v>
      </c>
    </row>
    <row r="484" ht="15.0" customHeight="1">
      <c r="A484" s="82" t="s">
        <v>9041</v>
      </c>
      <c r="B484" s="82" t="s">
        <v>147</v>
      </c>
      <c r="C484" s="82" t="s">
        <v>9857</v>
      </c>
      <c r="D484" s="83">
        <v>30.0</v>
      </c>
      <c r="E484" s="274">
        <v>30.0</v>
      </c>
      <c r="F484" s="473" t="s">
        <v>4845</v>
      </c>
    </row>
    <row r="485" ht="15.0" customHeight="1">
      <c r="A485" s="82" t="s">
        <v>9041</v>
      </c>
      <c r="B485" s="82" t="s">
        <v>147</v>
      </c>
      <c r="C485" s="82" t="s">
        <v>9858</v>
      </c>
      <c r="D485" s="83">
        <v>30.0</v>
      </c>
      <c r="E485" s="274">
        <v>30.0</v>
      </c>
      <c r="F485" s="473" t="s">
        <v>4845</v>
      </c>
    </row>
    <row r="486" ht="15.0" customHeight="1">
      <c r="A486" s="82" t="s">
        <v>8328</v>
      </c>
      <c r="B486" s="82" t="s">
        <v>147</v>
      </c>
      <c r="C486" s="82" t="s">
        <v>9859</v>
      </c>
      <c r="D486" s="83">
        <v>20.0</v>
      </c>
      <c r="E486" s="274">
        <v>20.0</v>
      </c>
      <c r="F486" s="473" t="s">
        <v>158</v>
      </c>
    </row>
    <row r="487" ht="15.0" customHeight="1">
      <c r="A487" s="82" t="s">
        <v>8328</v>
      </c>
      <c r="B487" s="82" t="s">
        <v>147</v>
      </c>
      <c r="C487" s="82" t="s">
        <v>9860</v>
      </c>
      <c r="D487" s="83">
        <v>20.0</v>
      </c>
      <c r="E487" s="274">
        <v>20.0</v>
      </c>
      <c r="F487" s="473" t="s">
        <v>158</v>
      </c>
    </row>
    <row r="488" ht="15.0" customHeight="1">
      <c r="A488" s="82" t="s">
        <v>8328</v>
      </c>
      <c r="B488" s="82" t="s">
        <v>147</v>
      </c>
      <c r="C488" s="82" t="s">
        <v>9861</v>
      </c>
      <c r="D488" s="83">
        <v>20.0</v>
      </c>
      <c r="E488" s="274">
        <v>20.0</v>
      </c>
      <c r="F488" s="473" t="s">
        <v>158</v>
      </c>
    </row>
    <row r="489" ht="15.0" customHeight="1">
      <c r="A489" s="82" t="s">
        <v>8328</v>
      </c>
      <c r="B489" s="82" t="s">
        <v>147</v>
      </c>
      <c r="C489" s="82" t="s">
        <v>9862</v>
      </c>
      <c r="D489" s="83">
        <v>20.0</v>
      </c>
      <c r="E489" s="274">
        <v>20.0</v>
      </c>
      <c r="F489" s="473" t="s">
        <v>158</v>
      </c>
    </row>
    <row r="490" ht="15.0" customHeight="1">
      <c r="A490" s="82" t="s">
        <v>8328</v>
      </c>
      <c r="B490" s="82" t="s">
        <v>147</v>
      </c>
      <c r="C490" s="82" t="s">
        <v>9863</v>
      </c>
      <c r="D490" s="83">
        <v>20.0</v>
      </c>
      <c r="E490" s="274">
        <v>20.0</v>
      </c>
      <c r="F490" s="473" t="s">
        <v>158</v>
      </c>
    </row>
    <row r="491" ht="15.0" customHeight="1">
      <c r="A491" s="82" t="s">
        <v>8328</v>
      </c>
      <c r="B491" s="82" t="s">
        <v>147</v>
      </c>
      <c r="C491" s="82" t="s">
        <v>9864</v>
      </c>
      <c r="D491" s="83">
        <v>20.0</v>
      </c>
      <c r="E491" s="274">
        <v>20.0</v>
      </c>
      <c r="F491" s="473" t="s">
        <v>158</v>
      </c>
    </row>
    <row r="492" ht="15.0" customHeight="1">
      <c r="A492" s="82" t="s">
        <v>8328</v>
      </c>
      <c r="B492" s="82" t="s">
        <v>147</v>
      </c>
      <c r="C492" s="82" t="s">
        <v>9865</v>
      </c>
      <c r="D492" s="83">
        <v>20.0</v>
      </c>
      <c r="E492" s="274">
        <v>20.0</v>
      </c>
      <c r="F492" s="473" t="s">
        <v>158</v>
      </c>
    </row>
    <row r="493" ht="15.0" customHeight="1">
      <c r="A493" s="82" t="s">
        <v>8328</v>
      </c>
      <c r="B493" s="82" t="s">
        <v>147</v>
      </c>
      <c r="C493" s="82" t="s">
        <v>9866</v>
      </c>
      <c r="D493" s="83">
        <v>20.0</v>
      </c>
      <c r="E493" s="274">
        <v>20.0</v>
      </c>
      <c r="F493" s="473" t="s">
        <v>158</v>
      </c>
    </row>
    <row r="494" ht="15.0" customHeight="1">
      <c r="A494" s="82" t="s">
        <v>8328</v>
      </c>
      <c r="B494" s="82" t="s">
        <v>147</v>
      </c>
      <c r="C494" s="82" t="s">
        <v>9867</v>
      </c>
      <c r="D494" s="83">
        <v>30.0</v>
      </c>
      <c r="E494" s="274">
        <v>30.0</v>
      </c>
      <c r="F494" s="473" t="s">
        <v>158</v>
      </c>
    </row>
    <row r="495" ht="15.0" customHeight="1">
      <c r="A495" s="82" t="s">
        <v>8328</v>
      </c>
      <c r="B495" s="82" t="s">
        <v>147</v>
      </c>
      <c r="C495" s="82" t="s">
        <v>9868</v>
      </c>
      <c r="D495" s="83">
        <v>30.0</v>
      </c>
      <c r="E495" s="274">
        <v>30.0</v>
      </c>
      <c r="F495" s="473" t="s">
        <v>158</v>
      </c>
    </row>
    <row r="496" ht="15.0" customHeight="1">
      <c r="A496" s="82" t="s">
        <v>8328</v>
      </c>
      <c r="B496" s="82" t="s">
        <v>147</v>
      </c>
      <c r="C496" s="82" t="s">
        <v>9869</v>
      </c>
      <c r="D496" s="83">
        <v>30.0</v>
      </c>
      <c r="E496" s="274">
        <v>30.0</v>
      </c>
      <c r="F496" s="473" t="s">
        <v>158</v>
      </c>
    </row>
    <row r="497" ht="15.0" customHeight="1">
      <c r="A497" s="82" t="s">
        <v>8328</v>
      </c>
      <c r="B497" s="82" t="s">
        <v>147</v>
      </c>
      <c r="C497" s="82" t="s">
        <v>9870</v>
      </c>
      <c r="D497" s="83">
        <v>30.0</v>
      </c>
      <c r="E497" s="274">
        <v>30.0</v>
      </c>
      <c r="F497" s="473" t="s">
        <v>158</v>
      </c>
    </row>
    <row r="498" ht="15.0" customHeight="1">
      <c r="A498" s="82" t="s">
        <v>8328</v>
      </c>
      <c r="B498" s="82" t="s">
        <v>147</v>
      </c>
      <c r="C498" s="82" t="s">
        <v>9871</v>
      </c>
      <c r="D498" s="83">
        <v>30.0</v>
      </c>
      <c r="E498" s="274">
        <v>30.0</v>
      </c>
      <c r="F498" s="473" t="s">
        <v>158</v>
      </c>
    </row>
    <row r="499" ht="15.0" customHeight="1">
      <c r="A499" s="82" t="s">
        <v>1144</v>
      </c>
      <c r="B499" s="82" t="s">
        <v>147</v>
      </c>
      <c r="C499" s="82" t="s">
        <v>9872</v>
      </c>
      <c r="D499" s="83">
        <v>20.0</v>
      </c>
      <c r="E499" s="274">
        <v>20.0</v>
      </c>
      <c r="F499" s="473" t="s">
        <v>159</v>
      </c>
    </row>
    <row r="500" ht="15.0" customHeight="1">
      <c r="A500" s="82" t="s">
        <v>1144</v>
      </c>
      <c r="B500" s="82" t="s">
        <v>147</v>
      </c>
      <c r="C500" s="82" t="s">
        <v>9873</v>
      </c>
      <c r="D500" s="83">
        <v>20.0</v>
      </c>
      <c r="E500" s="274">
        <v>20.0</v>
      </c>
      <c r="F500" s="473" t="s">
        <v>159</v>
      </c>
    </row>
    <row r="501" ht="15.0" customHeight="1">
      <c r="A501" s="82" t="s">
        <v>1144</v>
      </c>
      <c r="B501" s="82" t="s">
        <v>147</v>
      </c>
      <c r="C501" s="82" t="s">
        <v>9874</v>
      </c>
      <c r="D501" s="83">
        <v>20.0</v>
      </c>
      <c r="E501" s="274">
        <v>20.0</v>
      </c>
      <c r="F501" s="473" t="s">
        <v>159</v>
      </c>
    </row>
    <row r="502" ht="15.0" customHeight="1">
      <c r="A502" s="82" t="s">
        <v>1144</v>
      </c>
      <c r="B502" s="82" t="s">
        <v>147</v>
      </c>
      <c r="C502" s="82" t="s">
        <v>9875</v>
      </c>
      <c r="D502" s="83">
        <v>30.0</v>
      </c>
      <c r="E502" s="274">
        <v>30.0</v>
      </c>
      <c r="F502" s="473" t="s">
        <v>159</v>
      </c>
    </row>
    <row r="503" ht="15.0" customHeight="1">
      <c r="A503" s="82" t="s">
        <v>1144</v>
      </c>
      <c r="B503" s="82" t="s">
        <v>147</v>
      </c>
      <c r="C503" s="82" t="s">
        <v>9876</v>
      </c>
      <c r="D503" s="83">
        <v>30.0</v>
      </c>
      <c r="E503" s="274">
        <v>30.0</v>
      </c>
      <c r="F503" s="473" t="s">
        <v>159</v>
      </c>
    </row>
    <row r="504" ht="15.0" customHeight="1">
      <c r="A504" s="82" t="s">
        <v>1144</v>
      </c>
      <c r="B504" s="82" t="s">
        <v>147</v>
      </c>
      <c r="C504" s="82" t="s">
        <v>9877</v>
      </c>
      <c r="D504" s="83">
        <v>30.0</v>
      </c>
      <c r="E504" s="274">
        <v>30.0</v>
      </c>
      <c r="F504" s="473" t="s">
        <v>159</v>
      </c>
    </row>
    <row r="505" ht="15.0" customHeight="1">
      <c r="A505" s="82" t="s">
        <v>8360</v>
      </c>
      <c r="B505" s="82" t="s">
        <v>147</v>
      </c>
      <c r="C505" s="82" t="s">
        <v>9878</v>
      </c>
      <c r="D505" s="83">
        <v>20.0</v>
      </c>
      <c r="E505" s="274">
        <v>20.0</v>
      </c>
      <c r="F505" s="473" t="s">
        <v>161</v>
      </c>
    </row>
    <row r="506" ht="15.0" customHeight="1">
      <c r="A506" s="82" t="s">
        <v>8360</v>
      </c>
      <c r="B506" s="82" t="s">
        <v>147</v>
      </c>
      <c r="C506" s="82" t="s">
        <v>9879</v>
      </c>
      <c r="D506" s="83">
        <v>20.0</v>
      </c>
      <c r="E506" s="274">
        <v>20.0</v>
      </c>
      <c r="F506" s="473" t="s">
        <v>161</v>
      </c>
    </row>
    <row r="507" ht="15.0" customHeight="1">
      <c r="A507" s="82" t="s">
        <v>8360</v>
      </c>
      <c r="B507" s="82" t="s">
        <v>147</v>
      </c>
      <c r="C507" s="82" t="s">
        <v>9880</v>
      </c>
      <c r="D507" s="83">
        <v>20.0</v>
      </c>
      <c r="E507" s="274">
        <v>20.0</v>
      </c>
      <c r="F507" s="473" t="s">
        <v>161</v>
      </c>
    </row>
    <row r="508" ht="15.0" customHeight="1">
      <c r="A508" s="82" t="s">
        <v>8360</v>
      </c>
      <c r="B508" s="82" t="s">
        <v>147</v>
      </c>
      <c r="C508" s="82" t="s">
        <v>9881</v>
      </c>
      <c r="D508" s="83">
        <v>0.0</v>
      </c>
      <c r="E508" s="274">
        <v>0.0</v>
      </c>
      <c r="F508" s="473" t="s">
        <v>161</v>
      </c>
    </row>
    <row r="509" ht="15.0" customHeight="1">
      <c r="A509" s="82" t="s">
        <v>8360</v>
      </c>
      <c r="B509" s="82" t="s">
        <v>147</v>
      </c>
      <c r="C509" s="82" t="s">
        <v>9882</v>
      </c>
      <c r="D509" s="83">
        <v>20.0</v>
      </c>
      <c r="E509" s="274">
        <v>20.0</v>
      </c>
      <c r="F509" s="473" t="s">
        <v>161</v>
      </c>
    </row>
    <row r="510" ht="15.0" customHeight="1">
      <c r="A510" s="82" t="s">
        <v>8360</v>
      </c>
      <c r="B510" s="82" t="s">
        <v>147</v>
      </c>
      <c r="C510" s="82" t="s">
        <v>9883</v>
      </c>
      <c r="D510" s="83">
        <v>20.0</v>
      </c>
      <c r="E510" s="274">
        <v>20.0</v>
      </c>
      <c r="F510" s="473" t="s">
        <v>161</v>
      </c>
    </row>
    <row r="511" ht="15.0" customHeight="1">
      <c r="A511" s="82" t="s">
        <v>9298</v>
      </c>
      <c r="B511" s="82" t="s">
        <v>147</v>
      </c>
      <c r="C511" s="82" t="s">
        <v>9884</v>
      </c>
      <c r="D511" s="83">
        <v>20.0</v>
      </c>
      <c r="E511" s="274">
        <v>20.0</v>
      </c>
      <c r="F511" s="473" t="s">
        <v>164</v>
      </c>
    </row>
    <row r="512" ht="15.0" customHeight="1">
      <c r="A512" s="82" t="s">
        <v>9298</v>
      </c>
      <c r="B512" s="82" t="s">
        <v>147</v>
      </c>
      <c r="C512" s="82" t="s">
        <v>9885</v>
      </c>
      <c r="D512" s="83">
        <v>20.0</v>
      </c>
      <c r="E512" s="274">
        <v>20.0</v>
      </c>
      <c r="F512" s="473" t="s">
        <v>164</v>
      </c>
    </row>
    <row r="513" ht="15.0" customHeight="1">
      <c r="A513" s="82" t="s">
        <v>1160</v>
      </c>
      <c r="B513" s="82" t="s">
        <v>147</v>
      </c>
      <c r="C513" s="82" t="s">
        <v>9886</v>
      </c>
      <c r="D513" s="83">
        <v>20.0</v>
      </c>
      <c r="E513" s="274">
        <v>20.0</v>
      </c>
      <c r="F513" s="473" t="s">
        <v>165</v>
      </c>
    </row>
    <row r="514" ht="15.0" customHeight="1">
      <c r="A514" s="82" t="s">
        <v>1160</v>
      </c>
      <c r="B514" s="82" t="s">
        <v>147</v>
      </c>
      <c r="C514" s="82" t="s">
        <v>9887</v>
      </c>
      <c r="D514" s="83">
        <v>20.0</v>
      </c>
      <c r="E514" s="274">
        <v>20.0</v>
      </c>
      <c r="F514" s="473" t="s">
        <v>165</v>
      </c>
    </row>
    <row r="515" ht="15.0" customHeight="1">
      <c r="A515" s="82" t="s">
        <v>1160</v>
      </c>
      <c r="B515" s="82" t="s">
        <v>147</v>
      </c>
      <c r="C515" s="82" t="s">
        <v>9888</v>
      </c>
      <c r="D515" s="83">
        <v>20.0</v>
      </c>
      <c r="E515" s="274">
        <v>20.0</v>
      </c>
      <c r="F515" s="473" t="s">
        <v>165</v>
      </c>
    </row>
    <row r="516" ht="15.0" customHeight="1">
      <c r="A516" s="82" t="s">
        <v>1160</v>
      </c>
      <c r="B516" s="82" t="s">
        <v>147</v>
      </c>
      <c r="C516" s="82" t="s">
        <v>9889</v>
      </c>
      <c r="D516" s="83">
        <v>20.0</v>
      </c>
      <c r="E516" s="274">
        <v>20.0</v>
      </c>
      <c r="F516" s="473" t="s">
        <v>165</v>
      </c>
    </row>
    <row r="517" ht="15.0" customHeight="1">
      <c r="A517" s="82" t="s">
        <v>1160</v>
      </c>
      <c r="B517" s="82" t="s">
        <v>147</v>
      </c>
      <c r="C517" s="82" t="s">
        <v>9890</v>
      </c>
      <c r="D517" s="83">
        <v>20.0</v>
      </c>
      <c r="E517" s="274">
        <v>20.0</v>
      </c>
      <c r="F517" s="473" t="s">
        <v>165</v>
      </c>
    </row>
    <row r="518" ht="15.0" customHeight="1">
      <c r="A518" s="82" t="s">
        <v>1160</v>
      </c>
      <c r="B518" s="82" t="s">
        <v>147</v>
      </c>
      <c r="C518" s="82" t="s">
        <v>9891</v>
      </c>
      <c r="D518" s="83">
        <v>20.0</v>
      </c>
      <c r="E518" s="274">
        <v>20.0</v>
      </c>
      <c r="F518" s="473" t="s">
        <v>165</v>
      </c>
    </row>
    <row r="519" ht="15.0" customHeight="1">
      <c r="A519" s="82" t="s">
        <v>1160</v>
      </c>
      <c r="B519" s="82" t="s">
        <v>147</v>
      </c>
      <c r="C519" s="82" t="s">
        <v>9892</v>
      </c>
      <c r="D519" s="83">
        <v>20.0</v>
      </c>
      <c r="E519" s="274">
        <v>20.0</v>
      </c>
      <c r="F519" s="473" t="s">
        <v>165</v>
      </c>
    </row>
    <row r="520" ht="15.0" customHeight="1">
      <c r="A520" s="82" t="s">
        <v>1160</v>
      </c>
      <c r="B520" s="82" t="s">
        <v>147</v>
      </c>
      <c r="C520" s="82" t="s">
        <v>9893</v>
      </c>
      <c r="D520" s="83">
        <v>20.0</v>
      </c>
      <c r="E520" s="274">
        <v>20.0</v>
      </c>
      <c r="F520" s="473" t="s">
        <v>165</v>
      </c>
    </row>
    <row r="521" ht="15.0" customHeight="1">
      <c r="A521" s="82" t="s">
        <v>1160</v>
      </c>
      <c r="B521" s="82" t="s">
        <v>147</v>
      </c>
      <c r="C521" s="82" t="s">
        <v>9894</v>
      </c>
      <c r="D521" s="83">
        <v>20.0</v>
      </c>
      <c r="E521" s="274">
        <v>20.0</v>
      </c>
      <c r="F521" s="473" t="s">
        <v>165</v>
      </c>
    </row>
    <row r="522" ht="15.0" customHeight="1">
      <c r="A522" s="82" t="s">
        <v>1160</v>
      </c>
      <c r="B522" s="82" t="s">
        <v>147</v>
      </c>
      <c r="C522" s="82" t="s">
        <v>9895</v>
      </c>
      <c r="D522" s="83">
        <v>20.0</v>
      </c>
      <c r="E522" s="274">
        <v>20.0</v>
      </c>
      <c r="F522" s="473" t="s">
        <v>165</v>
      </c>
    </row>
    <row r="523" ht="15.0" customHeight="1">
      <c r="A523" s="82" t="s">
        <v>1160</v>
      </c>
      <c r="B523" s="82" t="s">
        <v>147</v>
      </c>
      <c r="C523" s="82" t="s">
        <v>9896</v>
      </c>
      <c r="D523" s="83">
        <v>20.0</v>
      </c>
      <c r="E523" s="274">
        <v>20.0</v>
      </c>
      <c r="F523" s="473" t="s">
        <v>165</v>
      </c>
    </row>
    <row r="524" ht="15.0" customHeight="1">
      <c r="A524" s="82" t="s">
        <v>1160</v>
      </c>
      <c r="B524" s="82" t="s">
        <v>147</v>
      </c>
      <c r="C524" s="82" t="s">
        <v>9897</v>
      </c>
      <c r="D524" s="83">
        <v>20.0</v>
      </c>
      <c r="E524" s="274">
        <v>20.0</v>
      </c>
      <c r="F524" s="473" t="s">
        <v>165</v>
      </c>
    </row>
    <row r="525" ht="15.0" customHeight="1">
      <c r="A525" s="82" t="s">
        <v>1160</v>
      </c>
      <c r="B525" s="82" t="s">
        <v>147</v>
      </c>
      <c r="C525" s="82" t="s">
        <v>9898</v>
      </c>
      <c r="D525" s="83">
        <v>20.0</v>
      </c>
      <c r="E525" s="274">
        <v>20.0</v>
      </c>
      <c r="F525" s="473" t="s">
        <v>165</v>
      </c>
    </row>
    <row r="526" ht="15.0" customHeight="1">
      <c r="A526" s="82" t="s">
        <v>1160</v>
      </c>
      <c r="B526" s="82" t="s">
        <v>147</v>
      </c>
      <c r="C526" s="82" t="s">
        <v>9899</v>
      </c>
      <c r="D526" s="83">
        <v>20.0</v>
      </c>
      <c r="E526" s="274">
        <v>20.0</v>
      </c>
      <c r="F526" s="473" t="s">
        <v>165</v>
      </c>
    </row>
    <row r="527" ht="15.0" customHeight="1">
      <c r="A527" s="82" t="s">
        <v>1160</v>
      </c>
      <c r="B527" s="82" t="s">
        <v>147</v>
      </c>
      <c r="C527" s="82" t="s">
        <v>9900</v>
      </c>
      <c r="D527" s="83">
        <v>20.0</v>
      </c>
      <c r="E527" s="274">
        <v>20.0</v>
      </c>
      <c r="F527" s="473" t="s">
        <v>165</v>
      </c>
    </row>
    <row r="528" ht="15.0" customHeight="1">
      <c r="A528" s="82" t="s">
        <v>1160</v>
      </c>
      <c r="B528" s="82" t="s">
        <v>147</v>
      </c>
      <c r="C528" s="82" t="s">
        <v>9901</v>
      </c>
      <c r="D528" s="83">
        <v>20.0</v>
      </c>
      <c r="E528" s="274">
        <v>20.0</v>
      </c>
      <c r="F528" s="473" t="s">
        <v>165</v>
      </c>
    </row>
    <row r="529" ht="15.0" customHeight="1">
      <c r="A529" s="82" t="s">
        <v>1160</v>
      </c>
      <c r="B529" s="82" t="s">
        <v>147</v>
      </c>
      <c r="C529" s="82" t="s">
        <v>9902</v>
      </c>
      <c r="D529" s="83">
        <v>20.0</v>
      </c>
      <c r="E529" s="274">
        <v>20.0</v>
      </c>
      <c r="F529" s="473" t="s">
        <v>165</v>
      </c>
    </row>
    <row r="530" ht="15.0" customHeight="1">
      <c r="A530" s="82" t="s">
        <v>1160</v>
      </c>
      <c r="B530" s="82" t="s">
        <v>147</v>
      </c>
      <c r="C530" s="82" t="s">
        <v>9903</v>
      </c>
      <c r="D530" s="83">
        <v>20.0</v>
      </c>
      <c r="E530" s="274">
        <v>20.0</v>
      </c>
      <c r="F530" s="473" t="s">
        <v>165</v>
      </c>
    </row>
    <row r="531" ht="15.0" customHeight="1">
      <c r="A531" s="82" t="s">
        <v>1160</v>
      </c>
      <c r="B531" s="82" t="s">
        <v>147</v>
      </c>
      <c r="C531" s="82" t="s">
        <v>9904</v>
      </c>
      <c r="D531" s="83">
        <v>20.0</v>
      </c>
      <c r="E531" s="274">
        <v>20.0</v>
      </c>
      <c r="F531" s="473" t="s">
        <v>165</v>
      </c>
    </row>
    <row r="532" ht="15.0" customHeight="1">
      <c r="A532" s="82" t="s">
        <v>1160</v>
      </c>
      <c r="B532" s="82" t="s">
        <v>147</v>
      </c>
      <c r="C532" s="82" t="s">
        <v>9905</v>
      </c>
      <c r="D532" s="83">
        <v>20.0</v>
      </c>
      <c r="E532" s="274">
        <v>20.0</v>
      </c>
      <c r="F532" s="473" t="s">
        <v>165</v>
      </c>
    </row>
    <row r="533" ht="15.0" customHeight="1">
      <c r="A533" s="82" t="s">
        <v>1160</v>
      </c>
      <c r="B533" s="82" t="s">
        <v>147</v>
      </c>
      <c r="C533" s="82" t="s">
        <v>9906</v>
      </c>
      <c r="D533" s="83">
        <v>20.0</v>
      </c>
      <c r="E533" s="274">
        <v>20.0</v>
      </c>
      <c r="F533" s="473" t="s">
        <v>165</v>
      </c>
    </row>
    <row r="534" ht="15.0" customHeight="1">
      <c r="A534" s="82" t="s">
        <v>1160</v>
      </c>
      <c r="B534" s="82" t="s">
        <v>147</v>
      </c>
      <c r="C534" s="82" t="s">
        <v>9907</v>
      </c>
      <c r="D534" s="83">
        <v>20.0</v>
      </c>
      <c r="E534" s="274">
        <v>20.0</v>
      </c>
      <c r="F534" s="473" t="s">
        <v>165</v>
      </c>
    </row>
    <row r="535" ht="15.0" customHeight="1">
      <c r="A535" s="82" t="s">
        <v>1160</v>
      </c>
      <c r="B535" s="82" t="s">
        <v>147</v>
      </c>
      <c r="C535" s="82" t="s">
        <v>9908</v>
      </c>
      <c r="D535" s="83">
        <v>20.0</v>
      </c>
      <c r="E535" s="274">
        <v>20.0</v>
      </c>
      <c r="F535" s="473" t="s">
        <v>165</v>
      </c>
    </row>
    <row r="536" ht="15.0" customHeight="1">
      <c r="A536" s="82" t="s">
        <v>1160</v>
      </c>
      <c r="B536" s="82" t="s">
        <v>147</v>
      </c>
      <c r="C536" s="82" t="s">
        <v>9909</v>
      </c>
      <c r="D536" s="83">
        <v>30.0</v>
      </c>
      <c r="E536" s="274">
        <v>30.0</v>
      </c>
      <c r="F536" s="473" t="s">
        <v>165</v>
      </c>
    </row>
    <row r="537" ht="15.0" customHeight="1">
      <c r="A537" s="82" t="s">
        <v>1160</v>
      </c>
      <c r="B537" s="82" t="s">
        <v>147</v>
      </c>
      <c r="C537" s="82" t="s">
        <v>9910</v>
      </c>
      <c r="D537" s="83">
        <v>30.0</v>
      </c>
      <c r="E537" s="274">
        <v>30.0</v>
      </c>
      <c r="F537" s="473" t="s">
        <v>165</v>
      </c>
    </row>
    <row r="538" ht="15.0" customHeight="1">
      <c r="A538" s="82" t="s">
        <v>1160</v>
      </c>
      <c r="B538" s="82" t="s">
        <v>147</v>
      </c>
      <c r="C538" s="82" t="s">
        <v>9911</v>
      </c>
      <c r="D538" s="83">
        <v>30.0</v>
      </c>
      <c r="E538" s="274">
        <v>30.0</v>
      </c>
      <c r="F538" s="473" t="s">
        <v>165</v>
      </c>
    </row>
    <row r="539" ht="15.0" customHeight="1">
      <c r="A539" s="82" t="s">
        <v>1160</v>
      </c>
      <c r="B539" s="82" t="s">
        <v>147</v>
      </c>
      <c r="C539" s="82" t="s">
        <v>9912</v>
      </c>
      <c r="D539" s="83">
        <v>30.0</v>
      </c>
      <c r="E539" s="274">
        <v>30.0</v>
      </c>
      <c r="F539" s="473" t="s">
        <v>165</v>
      </c>
    </row>
    <row r="540" ht="15.0" customHeight="1">
      <c r="A540" s="82" t="s">
        <v>1160</v>
      </c>
      <c r="B540" s="82" t="s">
        <v>147</v>
      </c>
      <c r="C540" s="82" t="s">
        <v>9913</v>
      </c>
      <c r="D540" s="83">
        <v>30.0</v>
      </c>
      <c r="E540" s="274">
        <v>30.0</v>
      </c>
      <c r="F540" s="473" t="s">
        <v>165</v>
      </c>
    </row>
    <row r="541" ht="15.0" customHeight="1">
      <c r="A541" s="82" t="s">
        <v>1160</v>
      </c>
      <c r="B541" s="82" t="s">
        <v>147</v>
      </c>
      <c r="C541" s="82" t="s">
        <v>9914</v>
      </c>
      <c r="D541" s="83">
        <v>30.0</v>
      </c>
      <c r="E541" s="274">
        <v>30.0</v>
      </c>
      <c r="F541" s="473" t="s">
        <v>165</v>
      </c>
    </row>
    <row r="542" ht="15.0" customHeight="1">
      <c r="A542" s="82" t="s">
        <v>9300</v>
      </c>
      <c r="B542" s="82" t="s">
        <v>147</v>
      </c>
      <c r="C542" s="82" t="s">
        <v>9915</v>
      </c>
      <c r="D542" s="83">
        <v>20.0</v>
      </c>
      <c r="E542" s="274">
        <v>20.0</v>
      </c>
      <c r="F542" s="473" t="s">
        <v>5626</v>
      </c>
    </row>
    <row r="543" ht="15.0" customHeight="1">
      <c r="A543" s="82" t="s">
        <v>9300</v>
      </c>
      <c r="B543" s="82" t="s">
        <v>147</v>
      </c>
      <c r="C543" s="82" t="s">
        <v>9916</v>
      </c>
      <c r="D543" s="83">
        <v>20.0</v>
      </c>
      <c r="E543" s="274">
        <v>20.0</v>
      </c>
      <c r="F543" s="473" t="s">
        <v>5626</v>
      </c>
    </row>
    <row r="544" ht="15.0" customHeight="1">
      <c r="A544" s="82" t="s">
        <v>9300</v>
      </c>
      <c r="B544" s="82" t="s">
        <v>147</v>
      </c>
      <c r="C544" s="82" t="s">
        <v>9917</v>
      </c>
      <c r="D544" s="83">
        <v>20.0</v>
      </c>
      <c r="E544" s="274">
        <v>20.0</v>
      </c>
      <c r="F544" s="473" t="s">
        <v>5626</v>
      </c>
    </row>
    <row r="545" ht="15.0" customHeight="1">
      <c r="A545" s="82" t="s">
        <v>9300</v>
      </c>
      <c r="B545" s="82" t="s">
        <v>147</v>
      </c>
      <c r="C545" s="82" t="s">
        <v>9918</v>
      </c>
      <c r="D545" s="83">
        <v>20.0</v>
      </c>
      <c r="E545" s="274">
        <v>20.0</v>
      </c>
      <c r="F545" s="473" t="s">
        <v>5626</v>
      </c>
    </row>
    <row r="546" ht="15.0" customHeight="1">
      <c r="A546" s="82" t="s">
        <v>1211</v>
      </c>
      <c r="B546" s="82" t="s">
        <v>147</v>
      </c>
      <c r="C546" s="82" t="s">
        <v>9919</v>
      </c>
      <c r="D546" s="83">
        <v>20.0</v>
      </c>
      <c r="E546" s="274">
        <v>20.0</v>
      </c>
      <c r="F546" s="473" t="s">
        <v>168</v>
      </c>
    </row>
    <row r="547" ht="15.0" customHeight="1">
      <c r="A547" s="82" t="s">
        <v>1211</v>
      </c>
      <c r="B547" s="82" t="s">
        <v>147</v>
      </c>
      <c r="C547" s="82" t="s">
        <v>9920</v>
      </c>
      <c r="D547" s="83">
        <v>20.0</v>
      </c>
      <c r="E547" s="274">
        <v>20.0</v>
      </c>
      <c r="F547" s="473" t="s">
        <v>168</v>
      </c>
    </row>
    <row r="548" ht="15.0" customHeight="1">
      <c r="A548" s="82" t="s">
        <v>1211</v>
      </c>
      <c r="B548" s="82" t="s">
        <v>147</v>
      </c>
      <c r="C548" s="82" t="s">
        <v>9921</v>
      </c>
      <c r="D548" s="83">
        <v>20.0</v>
      </c>
      <c r="E548" s="274">
        <v>20.0</v>
      </c>
      <c r="F548" s="473" t="s">
        <v>168</v>
      </c>
    </row>
    <row r="549" ht="15.0" customHeight="1">
      <c r="A549" s="82" t="s">
        <v>1211</v>
      </c>
      <c r="B549" s="82" t="s">
        <v>147</v>
      </c>
      <c r="C549" s="82" t="s">
        <v>9922</v>
      </c>
      <c r="D549" s="83">
        <v>20.0</v>
      </c>
      <c r="E549" s="274">
        <v>20.0</v>
      </c>
      <c r="F549" s="473" t="s">
        <v>168</v>
      </c>
    </row>
    <row r="550" ht="15.0" customHeight="1">
      <c r="A550" s="82" t="s">
        <v>1211</v>
      </c>
      <c r="B550" s="82" t="s">
        <v>147</v>
      </c>
      <c r="C550" s="82" t="s">
        <v>9923</v>
      </c>
      <c r="D550" s="83">
        <v>20.0</v>
      </c>
      <c r="E550" s="274">
        <v>20.0</v>
      </c>
      <c r="F550" s="473" t="s">
        <v>168</v>
      </c>
    </row>
    <row r="551" ht="15.0" customHeight="1">
      <c r="A551" s="82" t="s">
        <v>1211</v>
      </c>
      <c r="B551" s="82" t="s">
        <v>147</v>
      </c>
      <c r="C551" s="82" t="s">
        <v>9924</v>
      </c>
      <c r="D551" s="83">
        <v>20.0</v>
      </c>
      <c r="E551" s="274">
        <v>20.0</v>
      </c>
      <c r="F551" s="473" t="s">
        <v>168</v>
      </c>
    </row>
    <row r="552" ht="15.0" customHeight="1">
      <c r="A552" s="82" t="s">
        <v>9302</v>
      </c>
      <c r="B552" s="82" t="s">
        <v>147</v>
      </c>
      <c r="C552" s="82" t="s">
        <v>9925</v>
      </c>
      <c r="D552" s="83">
        <v>20.0</v>
      </c>
      <c r="E552" s="274">
        <v>20.0</v>
      </c>
      <c r="F552" s="473" t="s">
        <v>170</v>
      </c>
    </row>
    <row r="553" ht="15.0" customHeight="1">
      <c r="A553" s="82" t="s">
        <v>9302</v>
      </c>
      <c r="B553" s="82" t="s">
        <v>147</v>
      </c>
      <c r="C553" s="82" t="s">
        <v>9926</v>
      </c>
      <c r="D553" s="83">
        <v>20.0</v>
      </c>
      <c r="E553" s="274">
        <v>20.0</v>
      </c>
      <c r="F553" s="473" t="s">
        <v>170</v>
      </c>
    </row>
    <row r="554" ht="15.0" customHeight="1">
      <c r="A554" s="82" t="s">
        <v>8891</v>
      </c>
      <c r="B554" s="82" t="s">
        <v>147</v>
      </c>
      <c r="C554" s="82" t="s">
        <v>9927</v>
      </c>
      <c r="D554" s="83">
        <v>20.0</v>
      </c>
      <c r="E554" s="274">
        <v>20.0</v>
      </c>
      <c r="F554" s="473" t="s">
        <v>171</v>
      </c>
    </row>
    <row r="555" ht="15.0" customHeight="1">
      <c r="A555" s="82" t="s">
        <v>8891</v>
      </c>
      <c r="B555" s="82" t="s">
        <v>147</v>
      </c>
      <c r="C555" s="82" t="s">
        <v>9928</v>
      </c>
      <c r="D555" s="83">
        <v>20.0</v>
      </c>
      <c r="E555" s="274">
        <v>20.0</v>
      </c>
      <c r="F555" s="473" t="s">
        <v>171</v>
      </c>
    </row>
    <row r="556" ht="15.0" customHeight="1">
      <c r="A556" s="82" t="s">
        <v>8891</v>
      </c>
      <c r="B556" s="82" t="s">
        <v>147</v>
      </c>
      <c r="C556" s="82" t="s">
        <v>9929</v>
      </c>
      <c r="D556" s="83">
        <v>20.0</v>
      </c>
      <c r="E556" s="274">
        <v>20.0</v>
      </c>
      <c r="F556" s="473" t="s">
        <v>171</v>
      </c>
    </row>
    <row r="557" ht="15.0" customHeight="1">
      <c r="A557" s="82" t="s">
        <v>8891</v>
      </c>
      <c r="B557" s="82" t="s">
        <v>147</v>
      </c>
      <c r="C557" s="82" t="s">
        <v>9930</v>
      </c>
      <c r="D557" s="83">
        <v>20.0</v>
      </c>
      <c r="E557" s="274">
        <v>20.0</v>
      </c>
      <c r="F557" s="473" t="s">
        <v>171</v>
      </c>
    </row>
    <row r="558" ht="15.0" customHeight="1">
      <c r="A558" s="82" t="s">
        <v>8891</v>
      </c>
      <c r="B558" s="82" t="s">
        <v>147</v>
      </c>
      <c r="C558" s="82" t="s">
        <v>9931</v>
      </c>
      <c r="D558" s="83">
        <v>20.0</v>
      </c>
      <c r="E558" s="274">
        <v>20.0</v>
      </c>
      <c r="F558" s="473" t="s">
        <v>171</v>
      </c>
    </row>
    <row r="559" ht="15.0" customHeight="1">
      <c r="A559" s="82" t="s">
        <v>8891</v>
      </c>
      <c r="B559" s="82" t="s">
        <v>147</v>
      </c>
      <c r="C559" s="82" t="s">
        <v>9932</v>
      </c>
      <c r="D559" s="83">
        <v>20.0</v>
      </c>
      <c r="E559" s="274">
        <v>20.0</v>
      </c>
      <c r="F559" s="473" t="s">
        <v>171</v>
      </c>
    </row>
    <row r="560" ht="15.0" customHeight="1">
      <c r="A560" s="82" t="s">
        <v>8891</v>
      </c>
      <c r="B560" s="82" t="s">
        <v>147</v>
      </c>
      <c r="C560" s="82" t="s">
        <v>9933</v>
      </c>
      <c r="D560" s="83">
        <v>20.0</v>
      </c>
      <c r="E560" s="274">
        <v>20.0</v>
      </c>
      <c r="F560" s="473" t="s">
        <v>171</v>
      </c>
    </row>
    <row r="561" ht="15.0" customHeight="1">
      <c r="A561" s="82" t="s">
        <v>8891</v>
      </c>
      <c r="B561" s="82" t="s">
        <v>147</v>
      </c>
      <c r="C561" s="82" t="s">
        <v>9934</v>
      </c>
      <c r="D561" s="83">
        <v>20.0</v>
      </c>
      <c r="E561" s="274">
        <v>20.0</v>
      </c>
      <c r="F561" s="473" t="s">
        <v>171</v>
      </c>
    </row>
    <row r="562" ht="15.0" customHeight="1">
      <c r="A562" s="82" t="s">
        <v>8891</v>
      </c>
      <c r="B562" s="82" t="s">
        <v>147</v>
      </c>
      <c r="C562" s="82" t="s">
        <v>9935</v>
      </c>
      <c r="D562" s="83">
        <v>20.0</v>
      </c>
      <c r="E562" s="274">
        <v>20.0</v>
      </c>
      <c r="F562" s="473" t="s">
        <v>171</v>
      </c>
    </row>
    <row r="563" ht="15.0" customHeight="1">
      <c r="A563" s="82" t="s">
        <v>8891</v>
      </c>
      <c r="B563" s="82" t="s">
        <v>147</v>
      </c>
      <c r="C563" s="82" t="s">
        <v>9936</v>
      </c>
      <c r="D563" s="83">
        <v>20.0</v>
      </c>
      <c r="E563" s="274">
        <v>20.0</v>
      </c>
      <c r="F563" s="473" t="s">
        <v>171</v>
      </c>
    </row>
    <row r="564" ht="15.0" customHeight="1">
      <c r="A564" s="82" t="s">
        <v>8891</v>
      </c>
      <c r="B564" s="82" t="s">
        <v>147</v>
      </c>
      <c r="C564" s="82" t="s">
        <v>9937</v>
      </c>
      <c r="D564" s="83">
        <v>20.0</v>
      </c>
      <c r="E564" s="274">
        <v>20.0</v>
      </c>
      <c r="F564" s="473" t="s">
        <v>171</v>
      </c>
    </row>
    <row r="565" ht="15.0" customHeight="1">
      <c r="A565" s="82" t="s">
        <v>8891</v>
      </c>
      <c r="B565" s="82" t="s">
        <v>147</v>
      </c>
      <c r="C565" s="82" t="s">
        <v>9938</v>
      </c>
      <c r="D565" s="83">
        <v>20.0</v>
      </c>
      <c r="E565" s="274">
        <v>20.0</v>
      </c>
      <c r="F565" s="473" t="s">
        <v>171</v>
      </c>
    </row>
    <row r="566" ht="15.0" customHeight="1">
      <c r="A566" s="82" t="s">
        <v>8891</v>
      </c>
      <c r="B566" s="82" t="s">
        <v>147</v>
      </c>
      <c r="C566" s="82" t="s">
        <v>9939</v>
      </c>
      <c r="D566" s="83">
        <v>20.0</v>
      </c>
      <c r="E566" s="274">
        <v>20.0</v>
      </c>
      <c r="F566" s="473" t="s">
        <v>171</v>
      </c>
    </row>
    <row r="567" ht="15.0" customHeight="1">
      <c r="A567" s="82" t="s">
        <v>8891</v>
      </c>
      <c r="B567" s="82" t="s">
        <v>147</v>
      </c>
      <c r="C567" s="82" t="s">
        <v>9940</v>
      </c>
      <c r="D567" s="83">
        <v>20.0</v>
      </c>
      <c r="E567" s="274">
        <v>20.0</v>
      </c>
      <c r="F567" s="473" t="s">
        <v>171</v>
      </c>
    </row>
    <row r="568" ht="15.0" customHeight="1">
      <c r="A568" s="82" t="s">
        <v>8891</v>
      </c>
      <c r="B568" s="82" t="s">
        <v>147</v>
      </c>
      <c r="C568" s="82" t="s">
        <v>9941</v>
      </c>
      <c r="D568" s="83">
        <v>20.0</v>
      </c>
      <c r="E568" s="274">
        <v>20.0</v>
      </c>
      <c r="F568" s="473" t="s">
        <v>171</v>
      </c>
    </row>
    <row r="569" ht="15.0" customHeight="1">
      <c r="A569" s="82" t="s">
        <v>8891</v>
      </c>
      <c r="B569" s="82" t="s">
        <v>147</v>
      </c>
      <c r="C569" s="82" t="s">
        <v>9942</v>
      </c>
      <c r="D569" s="83">
        <v>20.0</v>
      </c>
      <c r="E569" s="274">
        <v>20.0</v>
      </c>
      <c r="F569" s="473" t="s">
        <v>171</v>
      </c>
    </row>
    <row r="570" ht="15.0" customHeight="1">
      <c r="A570" s="82" t="s">
        <v>8891</v>
      </c>
      <c r="B570" s="82" t="s">
        <v>147</v>
      </c>
      <c r="C570" s="82" t="s">
        <v>9943</v>
      </c>
      <c r="D570" s="83">
        <v>20.0</v>
      </c>
      <c r="E570" s="274">
        <v>20.0</v>
      </c>
      <c r="F570" s="473" t="s">
        <v>171</v>
      </c>
    </row>
    <row r="571" ht="15.0" customHeight="1">
      <c r="A571" s="82" t="s">
        <v>8891</v>
      </c>
      <c r="B571" s="82" t="s">
        <v>147</v>
      </c>
      <c r="C571" s="82" t="s">
        <v>9944</v>
      </c>
      <c r="D571" s="83">
        <v>20.0</v>
      </c>
      <c r="E571" s="274">
        <v>20.0</v>
      </c>
      <c r="F571" s="473" t="s">
        <v>171</v>
      </c>
    </row>
    <row r="572" ht="15.0" customHeight="1">
      <c r="A572" s="82" t="s">
        <v>8891</v>
      </c>
      <c r="B572" s="82" t="s">
        <v>147</v>
      </c>
      <c r="C572" s="82" t="s">
        <v>9945</v>
      </c>
      <c r="D572" s="83">
        <v>20.0</v>
      </c>
      <c r="E572" s="274">
        <v>20.0</v>
      </c>
      <c r="F572" s="473" t="s">
        <v>171</v>
      </c>
    </row>
    <row r="573" ht="15.0" customHeight="1">
      <c r="A573" s="82" t="s">
        <v>8891</v>
      </c>
      <c r="B573" s="82" t="s">
        <v>147</v>
      </c>
      <c r="C573" s="82" t="s">
        <v>9946</v>
      </c>
      <c r="D573" s="83">
        <v>20.0</v>
      </c>
      <c r="E573" s="274">
        <v>20.0</v>
      </c>
      <c r="F573" s="473" t="s">
        <v>171</v>
      </c>
    </row>
    <row r="574" ht="15.0" customHeight="1">
      <c r="A574" s="82" t="s">
        <v>8891</v>
      </c>
      <c r="B574" s="82" t="s">
        <v>147</v>
      </c>
      <c r="C574" s="82" t="s">
        <v>9947</v>
      </c>
      <c r="D574" s="83">
        <v>20.0</v>
      </c>
      <c r="E574" s="274">
        <v>20.0</v>
      </c>
      <c r="F574" s="473" t="s">
        <v>171</v>
      </c>
    </row>
    <row r="575" ht="15.0" customHeight="1">
      <c r="A575" s="82" t="s">
        <v>8891</v>
      </c>
      <c r="B575" s="82" t="s">
        <v>147</v>
      </c>
      <c r="C575" s="82" t="s">
        <v>9948</v>
      </c>
      <c r="D575" s="83">
        <v>20.0</v>
      </c>
      <c r="E575" s="274">
        <v>20.0</v>
      </c>
      <c r="F575" s="473" t="s">
        <v>171</v>
      </c>
    </row>
    <row r="576" ht="15.0" customHeight="1">
      <c r="A576" s="82" t="s">
        <v>8891</v>
      </c>
      <c r="B576" s="82" t="s">
        <v>147</v>
      </c>
      <c r="C576" s="82" t="s">
        <v>9949</v>
      </c>
      <c r="D576" s="83">
        <v>20.0</v>
      </c>
      <c r="E576" s="274">
        <v>20.0</v>
      </c>
      <c r="F576" s="473" t="s">
        <v>171</v>
      </c>
    </row>
    <row r="577" ht="15.0" customHeight="1">
      <c r="A577" s="82" t="s">
        <v>8891</v>
      </c>
      <c r="B577" s="82" t="s">
        <v>147</v>
      </c>
      <c r="C577" s="82" t="s">
        <v>9950</v>
      </c>
      <c r="D577" s="83">
        <v>20.0</v>
      </c>
      <c r="E577" s="274">
        <v>20.0</v>
      </c>
      <c r="F577" s="473" t="s">
        <v>171</v>
      </c>
    </row>
    <row r="578" ht="15.0" customHeight="1">
      <c r="A578" s="82" t="s">
        <v>8891</v>
      </c>
      <c r="B578" s="82" t="s">
        <v>147</v>
      </c>
      <c r="C578" s="82" t="s">
        <v>9951</v>
      </c>
      <c r="D578" s="83">
        <v>20.0</v>
      </c>
      <c r="E578" s="274">
        <v>20.0</v>
      </c>
      <c r="F578" s="473" t="s">
        <v>171</v>
      </c>
    </row>
    <row r="579" ht="15.0" customHeight="1">
      <c r="A579" s="82" t="s">
        <v>8891</v>
      </c>
      <c r="B579" s="82" t="s">
        <v>147</v>
      </c>
      <c r="C579" s="82" t="s">
        <v>9952</v>
      </c>
      <c r="D579" s="83">
        <v>20.0</v>
      </c>
      <c r="E579" s="274">
        <v>20.0</v>
      </c>
      <c r="F579" s="473" t="s">
        <v>171</v>
      </c>
    </row>
    <row r="580" ht="15.0" customHeight="1">
      <c r="A580" s="82" t="s">
        <v>8891</v>
      </c>
      <c r="B580" s="82" t="s">
        <v>147</v>
      </c>
      <c r="C580" s="82" t="s">
        <v>9953</v>
      </c>
      <c r="D580" s="83">
        <v>20.0</v>
      </c>
      <c r="E580" s="274">
        <v>20.0</v>
      </c>
      <c r="F580" s="473" t="s">
        <v>171</v>
      </c>
    </row>
    <row r="581" ht="15.0" customHeight="1">
      <c r="A581" s="82" t="s">
        <v>8891</v>
      </c>
      <c r="B581" s="82" t="s">
        <v>147</v>
      </c>
      <c r="C581" s="82" t="s">
        <v>9954</v>
      </c>
      <c r="D581" s="83">
        <v>20.0</v>
      </c>
      <c r="E581" s="274">
        <v>20.0</v>
      </c>
      <c r="F581" s="473" t="s">
        <v>171</v>
      </c>
    </row>
    <row r="582" ht="15.0" customHeight="1">
      <c r="A582" s="82" t="s">
        <v>8891</v>
      </c>
      <c r="B582" s="82" t="s">
        <v>147</v>
      </c>
      <c r="C582" s="82" t="s">
        <v>9955</v>
      </c>
      <c r="D582" s="83">
        <v>20.0</v>
      </c>
      <c r="E582" s="274">
        <v>20.0</v>
      </c>
      <c r="F582" s="473" t="s">
        <v>171</v>
      </c>
    </row>
    <row r="583" ht="15.0" customHeight="1">
      <c r="A583" s="82" t="s">
        <v>8891</v>
      </c>
      <c r="B583" s="82" t="s">
        <v>147</v>
      </c>
      <c r="C583" s="82" t="s">
        <v>9956</v>
      </c>
      <c r="D583" s="83">
        <v>20.0</v>
      </c>
      <c r="E583" s="274">
        <v>20.0</v>
      </c>
      <c r="F583" s="473" t="s">
        <v>171</v>
      </c>
    </row>
    <row r="584" ht="15.0" customHeight="1">
      <c r="A584" s="82" t="s">
        <v>8891</v>
      </c>
      <c r="B584" s="82" t="s">
        <v>147</v>
      </c>
      <c r="C584" s="82" t="s">
        <v>9957</v>
      </c>
      <c r="D584" s="83">
        <v>20.0</v>
      </c>
      <c r="E584" s="274">
        <v>20.0</v>
      </c>
      <c r="F584" s="473" t="s">
        <v>171</v>
      </c>
    </row>
    <row r="585" ht="15.0" customHeight="1">
      <c r="A585" s="82" t="s">
        <v>8891</v>
      </c>
      <c r="B585" s="82" t="s">
        <v>147</v>
      </c>
      <c r="C585" s="82" t="s">
        <v>9958</v>
      </c>
      <c r="D585" s="83">
        <v>20.0</v>
      </c>
      <c r="E585" s="274">
        <v>20.0</v>
      </c>
      <c r="F585" s="473" t="s">
        <v>171</v>
      </c>
    </row>
    <row r="586" ht="15.0" customHeight="1">
      <c r="A586" s="82" t="s">
        <v>8891</v>
      </c>
      <c r="B586" s="82" t="s">
        <v>147</v>
      </c>
      <c r="C586" s="82" t="s">
        <v>9959</v>
      </c>
      <c r="D586" s="83">
        <v>20.0</v>
      </c>
      <c r="E586" s="274">
        <v>20.0</v>
      </c>
      <c r="F586" s="473" t="s">
        <v>171</v>
      </c>
    </row>
    <row r="587" ht="15.0" customHeight="1">
      <c r="A587" s="82" t="s">
        <v>8891</v>
      </c>
      <c r="B587" s="82" t="s">
        <v>147</v>
      </c>
      <c r="C587" s="82" t="s">
        <v>9960</v>
      </c>
      <c r="D587" s="83">
        <v>20.0</v>
      </c>
      <c r="E587" s="274">
        <v>20.0</v>
      </c>
      <c r="F587" s="473" t="s">
        <v>171</v>
      </c>
    </row>
    <row r="588" ht="15.0" customHeight="1">
      <c r="A588" s="82" t="s">
        <v>8891</v>
      </c>
      <c r="B588" s="82" t="s">
        <v>147</v>
      </c>
      <c r="C588" s="82" t="s">
        <v>9961</v>
      </c>
      <c r="D588" s="83">
        <v>20.0</v>
      </c>
      <c r="E588" s="274">
        <v>20.0</v>
      </c>
      <c r="F588" s="473" t="s">
        <v>171</v>
      </c>
    </row>
    <row r="589" ht="15.0" customHeight="1">
      <c r="A589" s="82" t="s">
        <v>8891</v>
      </c>
      <c r="B589" s="82" t="s">
        <v>147</v>
      </c>
      <c r="C589" s="82" t="s">
        <v>9962</v>
      </c>
      <c r="D589" s="83">
        <v>20.0</v>
      </c>
      <c r="E589" s="274">
        <v>20.0</v>
      </c>
      <c r="F589" s="473" t="s">
        <v>171</v>
      </c>
    </row>
    <row r="590" ht="15.0" customHeight="1">
      <c r="A590" s="82" t="s">
        <v>8891</v>
      </c>
      <c r="B590" s="82" t="s">
        <v>147</v>
      </c>
      <c r="C590" s="82" t="s">
        <v>9963</v>
      </c>
      <c r="D590" s="83">
        <v>20.0</v>
      </c>
      <c r="E590" s="274">
        <v>20.0</v>
      </c>
      <c r="F590" s="473" t="s">
        <v>171</v>
      </c>
    </row>
    <row r="591" ht="15.0" customHeight="1">
      <c r="A591" s="82" t="s">
        <v>8891</v>
      </c>
      <c r="B591" s="82" t="s">
        <v>147</v>
      </c>
      <c r="C591" s="82" t="s">
        <v>9964</v>
      </c>
      <c r="D591" s="83">
        <v>20.0</v>
      </c>
      <c r="E591" s="274">
        <v>20.0</v>
      </c>
      <c r="F591" s="473" t="s">
        <v>171</v>
      </c>
    </row>
    <row r="592" ht="15.0" customHeight="1">
      <c r="A592" s="82" t="s">
        <v>8891</v>
      </c>
      <c r="B592" s="82" t="s">
        <v>147</v>
      </c>
      <c r="C592" s="82" t="s">
        <v>9965</v>
      </c>
      <c r="D592" s="83">
        <v>20.0</v>
      </c>
      <c r="E592" s="274">
        <v>20.0</v>
      </c>
      <c r="F592" s="473" t="s">
        <v>171</v>
      </c>
    </row>
    <row r="593" ht="15.0" customHeight="1">
      <c r="A593" s="82" t="s">
        <v>8891</v>
      </c>
      <c r="B593" s="82" t="s">
        <v>147</v>
      </c>
      <c r="C593" s="82" t="s">
        <v>9966</v>
      </c>
      <c r="D593" s="83">
        <v>20.0</v>
      </c>
      <c r="E593" s="274">
        <v>20.0</v>
      </c>
      <c r="F593" s="473" t="s">
        <v>171</v>
      </c>
    </row>
    <row r="594" ht="15.0" customHeight="1">
      <c r="A594" s="82" t="s">
        <v>8891</v>
      </c>
      <c r="B594" s="82" t="s">
        <v>147</v>
      </c>
      <c r="C594" s="82" t="s">
        <v>9967</v>
      </c>
      <c r="D594" s="83">
        <v>20.0</v>
      </c>
      <c r="E594" s="274">
        <v>20.0</v>
      </c>
      <c r="F594" s="473" t="s">
        <v>171</v>
      </c>
    </row>
    <row r="595" ht="15.0" customHeight="1">
      <c r="A595" s="82" t="s">
        <v>8891</v>
      </c>
      <c r="B595" s="82" t="s">
        <v>147</v>
      </c>
      <c r="C595" s="82" t="s">
        <v>9968</v>
      </c>
      <c r="D595" s="83">
        <v>20.0</v>
      </c>
      <c r="E595" s="274">
        <v>20.0</v>
      </c>
      <c r="F595" s="473" t="s">
        <v>171</v>
      </c>
    </row>
    <row r="596" ht="15.0" customHeight="1">
      <c r="A596" s="82" t="s">
        <v>8891</v>
      </c>
      <c r="B596" s="82" t="s">
        <v>147</v>
      </c>
      <c r="C596" s="82" t="s">
        <v>9969</v>
      </c>
      <c r="D596" s="83">
        <v>20.0</v>
      </c>
      <c r="E596" s="274">
        <v>20.0</v>
      </c>
      <c r="F596" s="473" t="s">
        <v>171</v>
      </c>
    </row>
    <row r="597" ht="15.0" customHeight="1">
      <c r="A597" s="82" t="s">
        <v>8891</v>
      </c>
      <c r="B597" s="82" t="s">
        <v>147</v>
      </c>
      <c r="C597" s="82" t="s">
        <v>9970</v>
      </c>
      <c r="D597" s="83">
        <v>20.0</v>
      </c>
      <c r="E597" s="274">
        <v>20.0</v>
      </c>
      <c r="F597" s="473" t="s">
        <v>171</v>
      </c>
    </row>
    <row r="598" ht="15.0" customHeight="1">
      <c r="A598" s="82" t="s">
        <v>8891</v>
      </c>
      <c r="B598" s="82" t="s">
        <v>147</v>
      </c>
      <c r="C598" s="82" t="s">
        <v>9971</v>
      </c>
      <c r="D598" s="83">
        <v>20.0</v>
      </c>
      <c r="E598" s="274">
        <v>20.0</v>
      </c>
      <c r="F598" s="473" t="s">
        <v>171</v>
      </c>
    </row>
    <row r="599" ht="15.0" customHeight="1">
      <c r="A599" s="82" t="s">
        <v>8891</v>
      </c>
      <c r="B599" s="82" t="s">
        <v>147</v>
      </c>
      <c r="C599" s="82" t="s">
        <v>9972</v>
      </c>
      <c r="D599" s="83">
        <v>20.0</v>
      </c>
      <c r="E599" s="274">
        <v>20.0</v>
      </c>
      <c r="F599" s="473" t="s">
        <v>171</v>
      </c>
    </row>
    <row r="600" ht="15.0" customHeight="1">
      <c r="A600" s="82" t="s">
        <v>8891</v>
      </c>
      <c r="B600" s="82" t="s">
        <v>147</v>
      </c>
      <c r="C600" s="82" t="s">
        <v>9973</v>
      </c>
      <c r="D600" s="83">
        <v>20.0</v>
      </c>
      <c r="E600" s="274">
        <v>20.0</v>
      </c>
      <c r="F600" s="473" t="s">
        <v>171</v>
      </c>
    </row>
    <row r="601" ht="15.0" customHeight="1">
      <c r="A601" s="82" t="s">
        <v>8891</v>
      </c>
      <c r="B601" s="82" t="s">
        <v>147</v>
      </c>
      <c r="C601" s="82" t="s">
        <v>9974</v>
      </c>
      <c r="D601" s="83">
        <v>20.0</v>
      </c>
      <c r="E601" s="274">
        <v>20.0</v>
      </c>
      <c r="F601" s="473" t="s">
        <v>171</v>
      </c>
    </row>
    <row r="602" ht="15.0" customHeight="1">
      <c r="A602" s="82" t="s">
        <v>8891</v>
      </c>
      <c r="B602" s="82" t="s">
        <v>147</v>
      </c>
      <c r="C602" s="82" t="s">
        <v>9975</v>
      </c>
      <c r="D602" s="83">
        <v>20.0</v>
      </c>
      <c r="E602" s="274">
        <v>20.0</v>
      </c>
      <c r="F602" s="473" t="s">
        <v>171</v>
      </c>
    </row>
    <row r="603" ht="15.0" customHeight="1">
      <c r="A603" s="82" t="s">
        <v>8891</v>
      </c>
      <c r="B603" s="82" t="s">
        <v>147</v>
      </c>
      <c r="C603" s="82" t="s">
        <v>9976</v>
      </c>
      <c r="D603" s="83">
        <v>20.0</v>
      </c>
      <c r="E603" s="274">
        <v>20.0</v>
      </c>
      <c r="F603" s="473" t="s">
        <v>171</v>
      </c>
    </row>
    <row r="604" ht="15.0" customHeight="1">
      <c r="A604" s="82" t="s">
        <v>8891</v>
      </c>
      <c r="B604" s="82" t="s">
        <v>147</v>
      </c>
      <c r="C604" s="82" t="s">
        <v>9977</v>
      </c>
      <c r="D604" s="83">
        <v>20.0</v>
      </c>
      <c r="E604" s="274">
        <v>20.0</v>
      </c>
      <c r="F604" s="473" t="s">
        <v>171</v>
      </c>
    </row>
    <row r="605" ht="15.0" customHeight="1">
      <c r="A605" s="82" t="s">
        <v>8891</v>
      </c>
      <c r="B605" s="82" t="s">
        <v>147</v>
      </c>
      <c r="C605" s="82" t="s">
        <v>9978</v>
      </c>
      <c r="D605" s="83">
        <v>20.0</v>
      </c>
      <c r="E605" s="274">
        <v>20.0</v>
      </c>
      <c r="F605" s="473" t="s">
        <v>171</v>
      </c>
    </row>
    <row r="606" ht="15.0" customHeight="1">
      <c r="A606" s="82" t="s">
        <v>8891</v>
      </c>
      <c r="B606" s="82" t="s">
        <v>147</v>
      </c>
      <c r="C606" s="82" t="s">
        <v>9979</v>
      </c>
      <c r="D606" s="83">
        <v>30.0</v>
      </c>
      <c r="E606" s="274">
        <v>30.0</v>
      </c>
      <c r="F606" s="473" t="s">
        <v>171</v>
      </c>
    </row>
    <row r="607" ht="15.0" customHeight="1">
      <c r="A607" s="82" t="s">
        <v>8891</v>
      </c>
      <c r="B607" s="82" t="s">
        <v>147</v>
      </c>
      <c r="C607" s="82" t="s">
        <v>9980</v>
      </c>
      <c r="D607" s="83">
        <v>30.0</v>
      </c>
      <c r="E607" s="274">
        <v>30.0</v>
      </c>
      <c r="F607" s="473" t="s">
        <v>171</v>
      </c>
    </row>
    <row r="608" ht="15.0" customHeight="1">
      <c r="A608" s="82" t="s">
        <v>8891</v>
      </c>
      <c r="B608" s="82" t="s">
        <v>147</v>
      </c>
      <c r="C608" s="82" t="s">
        <v>9981</v>
      </c>
      <c r="D608" s="83">
        <v>30.0</v>
      </c>
      <c r="E608" s="274">
        <v>30.0</v>
      </c>
      <c r="F608" s="473" t="s">
        <v>171</v>
      </c>
    </row>
    <row r="609" ht="15.0" customHeight="1">
      <c r="A609" s="82" t="s">
        <v>8891</v>
      </c>
      <c r="B609" s="82" t="s">
        <v>147</v>
      </c>
      <c r="C609" s="82" t="s">
        <v>9982</v>
      </c>
      <c r="D609" s="83">
        <v>30.0</v>
      </c>
      <c r="E609" s="274">
        <v>30.0</v>
      </c>
      <c r="F609" s="473" t="s">
        <v>171</v>
      </c>
    </row>
    <row r="610" ht="15.0" customHeight="1">
      <c r="A610" s="82" t="s">
        <v>8891</v>
      </c>
      <c r="B610" s="82" t="s">
        <v>147</v>
      </c>
      <c r="C610" s="82" t="s">
        <v>9983</v>
      </c>
      <c r="D610" s="83">
        <v>30.0</v>
      </c>
      <c r="E610" s="274">
        <v>30.0</v>
      </c>
      <c r="F610" s="473" t="s">
        <v>171</v>
      </c>
    </row>
    <row r="611" ht="15.0" customHeight="1">
      <c r="A611" s="82" t="s">
        <v>8891</v>
      </c>
      <c r="B611" s="82" t="s">
        <v>147</v>
      </c>
      <c r="C611" s="82" t="s">
        <v>9984</v>
      </c>
      <c r="D611" s="83">
        <v>30.0</v>
      </c>
      <c r="E611" s="274">
        <v>30.0</v>
      </c>
      <c r="F611" s="473" t="s">
        <v>171</v>
      </c>
    </row>
    <row r="612" ht="15.0" customHeight="1">
      <c r="A612" s="82" t="s">
        <v>8891</v>
      </c>
      <c r="B612" s="82" t="s">
        <v>147</v>
      </c>
      <c r="C612" s="82" t="s">
        <v>9985</v>
      </c>
      <c r="D612" s="83">
        <v>30.0</v>
      </c>
      <c r="E612" s="274">
        <v>30.0</v>
      </c>
      <c r="F612" s="473" t="s">
        <v>171</v>
      </c>
    </row>
    <row r="613" ht="15.0" customHeight="1">
      <c r="A613" s="82" t="s">
        <v>8891</v>
      </c>
      <c r="B613" s="82" t="s">
        <v>147</v>
      </c>
      <c r="C613" s="82" t="s">
        <v>9986</v>
      </c>
      <c r="D613" s="83">
        <v>30.0</v>
      </c>
      <c r="E613" s="274">
        <v>30.0</v>
      </c>
      <c r="F613" s="473" t="s">
        <v>171</v>
      </c>
    </row>
    <row r="614" ht="15.0" customHeight="1">
      <c r="A614" s="82" t="s">
        <v>8891</v>
      </c>
      <c r="B614" s="82" t="s">
        <v>147</v>
      </c>
      <c r="C614" s="82" t="s">
        <v>9987</v>
      </c>
      <c r="D614" s="83">
        <v>30.0</v>
      </c>
      <c r="E614" s="274">
        <v>30.0</v>
      </c>
      <c r="F614" s="473" t="s">
        <v>171</v>
      </c>
    </row>
    <row r="615" ht="15.0" customHeight="1">
      <c r="A615" s="82" t="s">
        <v>8891</v>
      </c>
      <c r="B615" s="82" t="s">
        <v>147</v>
      </c>
      <c r="C615" s="82" t="s">
        <v>9988</v>
      </c>
      <c r="D615" s="83">
        <v>30.0</v>
      </c>
      <c r="E615" s="274">
        <v>30.0</v>
      </c>
      <c r="F615" s="473" t="s">
        <v>171</v>
      </c>
    </row>
    <row r="616" ht="15.0" customHeight="1">
      <c r="A616" s="82" t="s">
        <v>8891</v>
      </c>
      <c r="B616" s="82" t="s">
        <v>147</v>
      </c>
      <c r="C616" s="82" t="s">
        <v>9989</v>
      </c>
      <c r="D616" s="83">
        <v>30.0</v>
      </c>
      <c r="E616" s="274">
        <v>30.0</v>
      </c>
      <c r="F616" s="473" t="s">
        <v>171</v>
      </c>
    </row>
    <row r="617" ht="15.0" customHeight="1">
      <c r="A617" s="82" t="s">
        <v>8891</v>
      </c>
      <c r="B617" s="82" t="s">
        <v>147</v>
      </c>
      <c r="C617" s="82" t="s">
        <v>9990</v>
      </c>
      <c r="D617" s="83">
        <v>30.0</v>
      </c>
      <c r="E617" s="274">
        <v>30.0</v>
      </c>
      <c r="F617" s="473" t="s">
        <v>171</v>
      </c>
    </row>
    <row r="618" ht="15.0" customHeight="1">
      <c r="A618" s="82" t="s">
        <v>8891</v>
      </c>
      <c r="B618" s="82" t="s">
        <v>147</v>
      </c>
      <c r="C618" s="82" t="s">
        <v>9991</v>
      </c>
      <c r="D618" s="83">
        <v>30.0</v>
      </c>
      <c r="E618" s="274">
        <v>30.0</v>
      </c>
      <c r="F618" s="473" t="s">
        <v>171</v>
      </c>
    </row>
    <row r="619" ht="15.0" customHeight="1">
      <c r="A619" s="82" t="s">
        <v>8891</v>
      </c>
      <c r="B619" s="82" t="s">
        <v>147</v>
      </c>
      <c r="C619" s="82" t="s">
        <v>9992</v>
      </c>
      <c r="D619" s="83">
        <v>30.0</v>
      </c>
      <c r="E619" s="274">
        <v>30.0</v>
      </c>
      <c r="F619" s="473" t="s">
        <v>171</v>
      </c>
    </row>
    <row r="620" ht="15.0" customHeight="1">
      <c r="A620" s="82" t="s">
        <v>8409</v>
      </c>
      <c r="B620" s="82" t="s">
        <v>147</v>
      </c>
      <c r="C620" s="82" t="s">
        <v>9993</v>
      </c>
      <c r="D620" s="83">
        <v>20.0</v>
      </c>
      <c r="E620" s="274">
        <v>20.0</v>
      </c>
      <c r="F620" s="473" t="s">
        <v>5077</v>
      </c>
    </row>
    <row r="621" ht="15.0" customHeight="1">
      <c r="A621" s="82" t="s">
        <v>8409</v>
      </c>
      <c r="B621" s="82" t="s">
        <v>147</v>
      </c>
      <c r="C621" s="82" t="s">
        <v>9994</v>
      </c>
      <c r="D621" s="83">
        <v>20.0</v>
      </c>
      <c r="E621" s="274">
        <v>20.0</v>
      </c>
      <c r="F621" s="473" t="s">
        <v>5077</v>
      </c>
    </row>
    <row r="622" ht="15.0" customHeight="1">
      <c r="A622" s="82" t="s">
        <v>8409</v>
      </c>
      <c r="B622" s="82" t="s">
        <v>147</v>
      </c>
      <c r="C622" s="82" t="s">
        <v>9995</v>
      </c>
      <c r="D622" s="83">
        <v>20.0</v>
      </c>
      <c r="E622" s="274">
        <v>20.0</v>
      </c>
      <c r="F622" s="473" t="s">
        <v>5077</v>
      </c>
    </row>
    <row r="623" ht="15.0" customHeight="1">
      <c r="A623" s="82" t="s">
        <v>9305</v>
      </c>
      <c r="B623" s="82" t="s">
        <v>147</v>
      </c>
      <c r="C623" s="82" t="s">
        <v>9996</v>
      </c>
      <c r="D623" s="83">
        <v>20.0</v>
      </c>
      <c r="E623" s="274">
        <v>20.0</v>
      </c>
      <c r="F623" s="473" t="s">
        <v>5101</v>
      </c>
    </row>
    <row r="624" ht="15.0" customHeight="1">
      <c r="A624" s="82" t="s">
        <v>9305</v>
      </c>
      <c r="B624" s="82" t="s">
        <v>147</v>
      </c>
      <c r="C624" s="82" t="s">
        <v>9997</v>
      </c>
      <c r="D624" s="83">
        <v>20.0</v>
      </c>
      <c r="E624" s="274">
        <v>20.0</v>
      </c>
      <c r="F624" s="473" t="s">
        <v>5101</v>
      </c>
    </row>
    <row r="625" ht="15.0" customHeight="1">
      <c r="A625" s="82" t="s">
        <v>9305</v>
      </c>
      <c r="B625" s="82" t="s">
        <v>147</v>
      </c>
      <c r="C625" s="82" t="s">
        <v>9998</v>
      </c>
      <c r="D625" s="83">
        <v>20.0</v>
      </c>
      <c r="E625" s="274">
        <v>20.0</v>
      </c>
      <c r="F625" s="473" t="s">
        <v>5101</v>
      </c>
    </row>
    <row r="626" ht="15.0" customHeight="1">
      <c r="A626" s="82" t="s">
        <v>9305</v>
      </c>
      <c r="B626" s="82" t="s">
        <v>147</v>
      </c>
      <c r="C626" s="82" t="s">
        <v>9999</v>
      </c>
      <c r="D626" s="83">
        <v>20.0</v>
      </c>
      <c r="E626" s="274">
        <v>20.0</v>
      </c>
      <c r="F626" s="473" t="s">
        <v>5101</v>
      </c>
    </row>
    <row r="627" ht="15.0" customHeight="1">
      <c r="A627" s="82" t="s">
        <v>9305</v>
      </c>
      <c r="B627" s="82" t="s">
        <v>147</v>
      </c>
      <c r="C627" s="82" t="s">
        <v>10000</v>
      </c>
      <c r="D627" s="83">
        <v>20.0</v>
      </c>
      <c r="E627" s="274">
        <v>20.0</v>
      </c>
      <c r="F627" s="473" t="s">
        <v>5101</v>
      </c>
    </row>
    <row r="628" ht="15.0" customHeight="1">
      <c r="A628" s="82" t="s">
        <v>9305</v>
      </c>
      <c r="B628" s="82" t="s">
        <v>147</v>
      </c>
      <c r="C628" s="82" t="s">
        <v>10001</v>
      </c>
      <c r="D628" s="83">
        <v>20.0</v>
      </c>
      <c r="E628" s="274">
        <v>20.0</v>
      </c>
      <c r="F628" s="473" t="s">
        <v>5101</v>
      </c>
    </row>
    <row r="629" ht="15.0" customHeight="1">
      <c r="A629" s="82" t="s">
        <v>9305</v>
      </c>
      <c r="B629" s="82" t="s">
        <v>147</v>
      </c>
      <c r="C629" s="82" t="s">
        <v>10002</v>
      </c>
      <c r="D629" s="83">
        <v>20.0</v>
      </c>
      <c r="E629" s="274">
        <v>20.0</v>
      </c>
      <c r="F629" s="473" t="s">
        <v>5101</v>
      </c>
    </row>
    <row r="630" ht="15.0" customHeight="1">
      <c r="A630" s="82" t="s">
        <v>9305</v>
      </c>
      <c r="B630" s="82" t="s">
        <v>147</v>
      </c>
      <c r="C630" s="82" t="s">
        <v>10003</v>
      </c>
      <c r="D630" s="83">
        <v>20.0</v>
      </c>
      <c r="E630" s="274">
        <v>20.0</v>
      </c>
      <c r="F630" s="473" t="s">
        <v>5101</v>
      </c>
    </row>
    <row r="631" ht="15.0" customHeight="1">
      <c r="A631" s="82" t="s">
        <v>9305</v>
      </c>
      <c r="B631" s="82" t="s">
        <v>147</v>
      </c>
      <c r="C631" s="82" t="s">
        <v>10004</v>
      </c>
      <c r="D631" s="83">
        <v>20.0</v>
      </c>
      <c r="E631" s="274">
        <v>20.0</v>
      </c>
      <c r="F631" s="473" t="s">
        <v>5101</v>
      </c>
    </row>
    <row r="632" ht="15.0" customHeight="1">
      <c r="A632" s="82" t="s">
        <v>9305</v>
      </c>
      <c r="B632" s="82" t="s">
        <v>147</v>
      </c>
      <c r="C632" s="82" t="s">
        <v>10005</v>
      </c>
      <c r="D632" s="83">
        <v>20.0</v>
      </c>
      <c r="E632" s="274">
        <v>20.0</v>
      </c>
      <c r="F632" s="473" t="s">
        <v>5101</v>
      </c>
    </row>
    <row r="633" ht="15.0" customHeight="1">
      <c r="A633" s="82" t="s">
        <v>9306</v>
      </c>
      <c r="B633" s="82" t="s">
        <v>147</v>
      </c>
      <c r="C633" s="82" t="s">
        <v>10006</v>
      </c>
      <c r="D633" s="83">
        <v>20.0</v>
      </c>
      <c r="E633" s="274">
        <v>20.0</v>
      </c>
      <c r="F633" s="473" t="s">
        <v>5104</v>
      </c>
    </row>
    <row r="634" ht="15.0" customHeight="1">
      <c r="A634" s="82" t="s">
        <v>9306</v>
      </c>
      <c r="B634" s="82" t="s">
        <v>147</v>
      </c>
      <c r="C634" s="82" t="s">
        <v>10007</v>
      </c>
      <c r="D634" s="83">
        <v>20.0</v>
      </c>
      <c r="E634" s="274">
        <v>20.0</v>
      </c>
      <c r="F634" s="473" t="s">
        <v>5104</v>
      </c>
    </row>
    <row r="635" ht="15.0" customHeight="1">
      <c r="A635" s="82" t="s">
        <v>9306</v>
      </c>
      <c r="B635" s="82" t="s">
        <v>147</v>
      </c>
      <c r="C635" s="82" t="s">
        <v>10008</v>
      </c>
      <c r="D635" s="83">
        <v>20.0</v>
      </c>
      <c r="E635" s="274">
        <v>20.0</v>
      </c>
      <c r="F635" s="473" t="s">
        <v>5104</v>
      </c>
    </row>
    <row r="636" ht="15.0" customHeight="1">
      <c r="A636" s="82" t="s">
        <v>9306</v>
      </c>
      <c r="B636" s="82" t="s">
        <v>147</v>
      </c>
      <c r="C636" s="82" t="s">
        <v>10009</v>
      </c>
      <c r="D636" s="83">
        <v>20.0</v>
      </c>
      <c r="E636" s="274">
        <v>20.0</v>
      </c>
      <c r="F636" s="473" t="s">
        <v>5104</v>
      </c>
    </row>
    <row r="637" ht="15.0" customHeight="1">
      <c r="A637" s="82" t="s">
        <v>9307</v>
      </c>
      <c r="B637" s="82" t="s">
        <v>147</v>
      </c>
      <c r="C637" s="82" t="s">
        <v>10010</v>
      </c>
      <c r="D637" s="83">
        <v>20.0</v>
      </c>
      <c r="E637" s="274">
        <v>20.0</v>
      </c>
      <c r="F637" s="473" t="s">
        <v>5108</v>
      </c>
    </row>
    <row r="638" ht="15.0" customHeight="1">
      <c r="A638" s="82" t="s">
        <v>9307</v>
      </c>
      <c r="B638" s="82" t="s">
        <v>147</v>
      </c>
      <c r="C638" s="82" t="s">
        <v>10011</v>
      </c>
      <c r="D638" s="83">
        <v>20.0</v>
      </c>
      <c r="E638" s="274">
        <v>20.0</v>
      </c>
      <c r="F638" s="473" t="s">
        <v>5108</v>
      </c>
    </row>
    <row r="639" ht="15.0" customHeight="1">
      <c r="A639" s="82" t="s">
        <v>9307</v>
      </c>
      <c r="B639" s="82" t="s">
        <v>147</v>
      </c>
      <c r="C639" s="82" t="s">
        <v>10012</v>
      </c>
      <c r="D639" s="83">
        <v>20.0</v>
      </c>
      <c r="E639" s="274">
        <v>20.0</v>
      </c>
      <c r="F639" s="473" t="s">
        <v>5108</v>
      </c>
    </row>
    <row r="640" ht="15.0" customHeight="1">
      <c r="A640" s="82" t="s">
        <v>9307</v>
      </c>
      <c r="B640" s="82" t="s">
        <v>147</v>
      </c>
      <c r="C640" s="82" t="s">
        <v>10013</v>
      </c>
      <c r="D640" s="83">
        <v>20.0</v>
      </c>
      <c r="E640" s="274">
        <v>20.0</v>
      </c>
      <c r="F640" s="473" t="s">
        <v>5108</v>
      </c>
    </row>
    <row r="641" ht="15.0" customHeight="1">
      <c r="A641" s="82" t="s">
        <v>9307</v>
      </c>
      <c r="B641" s="82" t="s">
        <v>147</v>
      </c>
      <c r="C641" s="82" t="s">
        <v>10014</v>
      </c>
      <c r="D641" s="83">
        <v>20.0</v>
      </c>
      <c r="E641" s="274">
        <v>20.0</v>
      </c>
      <c r="F641" s="473" t="s">
        <v>5108</v>
      </c>
    </row>
    <row r="642" ht="15.0" customHeight="1">
      <c r="A642" s="82" t="s">
        <v>9307</v>
      </c>
      <c r="B642" s="82" t="s">
        <v>147</v>
      </c>
      <c r="C642" s="82" t="s">
        <v>10015</v>
      </c>
      <c r="D642" s="83">
        <v>20.0</v>
      </c>
      <c r="E642" s="274">
        <v>20.0</v>
      </c>
      <c r="F642" s="473" t="s">
        <v>5108</v>
      </c>
    </row>
    <row r="643" ht="15.0" customHeight="1">
      <c r="A643" s="82" t="s">
        <v>9307</v>
      </c>
      <c r="B643" s="82" t="s">
        <v>147</v>
      </c>
      <c r="C643" s="82" t="s">
        <v>10016</v>
      </c>
      <c r="D643" s="83">
        <v>20.0</v>
      </c>
      <c r="E643" s="274">
        <v>20.0</v>
      </c>
      <c r="F643" s="473" t="s">
        <v>5108</v>
      </c>
    </row>
    <row r="644" ht="15.0" customHeight="1">
      <c r="A644" s="82" t="s">
        <v>9307</v>
      </c>
      <c r="B644" s="82" t="s">
        <v>147</v>
      </c>
      <c r="C644" s="82" t="s">
        <v>10017</v>
      </c>
      <c r="D644" s="83">
        <v>20.0</v>
      </c>
      <c r="E644" s="274">
        <v>20.0</v>
      </c>
      <c r="F644" s="473" t="s">
        <v>5108</v>
      </c>
    </row>
    <row r="645" ht="15.0" customHeight="1">
      <c r="A645" s="82" t="s">
        <v>9307</v>
      </c>
      <c r="B645" s="82" t="s">
        <v>147</v>
      </c>
      <c r="C645" s="82" t="s">
        <v>10018</v>
      </c>
      <c r="D645" s="83">
        <v>30.0</v>
      </c>
      <c r="E645" s="274">
        <v>30.0</v>
      </c>
      <c r="F645" s="473" t="s">
        <v>5108</v>
      </c>
    </row>
    <row r="646" ht="15.0" customHeight="1">
      <c r="A646" s="82" t="s">
        <v>9308</v>
      </c>
      <c r="B646" s="82" t="s">
        <v>147</v>
      </c>
      <c r="C646" s="82" t="s">
        <v>10019</v>
      </c>
      <c r="D646" s="83">
        <v>20.0</v>
      </c>
      <c r="E646" s="274">
        <v>20.0</v>
      </c>
      <c r="F646" s="473" t="s">
        <v>5654</v>
      </c>
    </row>
    <row r="647" ht="15.0" customHeight="1">
      <c r="A647" s="82" t="s">
        <v>9308</v>
      </c>
      <c r="B647" s="82" t="s">
        <v>147</v>
      </c>
      <c r="C647" s="82" t="s">
        <v>10020</v>
      </c>
      <c r="D647" s="83">
        <v>20.0</v>
      </c>
      <c r="E647" s="274">
        <v>20.0</v>
      </c>
      <c r="F647" s="473" t="s">
        <v>5654</v>
      </c>
    </row>
    <row r="648" ht="15.0" customHeight="1">
      <c r="A648" s="82" t="s">
        <v>9308</v>
      </c>
      <c r="B648" s="82" t="s">
        <v>147</v>
      </c>
      <c r="C648" s="82" t="s">
        <v>10021</v>
      </c>
      <c r="D648" s="83">
        <v>20.0</v>
      </c>
      <c r="E648" s="274">
        <v>20.0</v>
      </c>
      <c r="F648" s="473" t="s">
        <v>5654</v>
      </c>
    </row>
    <row r="649" ht="15.0" customHeight="1">
      <c r="A649" s="82" t="s">
        <v>9309</v>
      </c>
      <c r="B649" s="82" t="s">
        <v>147</v>
      </c>
      <c r="C649" s="82" t="s">
        <v>10022</v>
      </c>
      <c r="D649" s="83">
        <v>20.0</v>
      </c>
      <c r="E649" s="274">
        <v>20.0</v>
      </c>
      <c r="F649" s="473" t="s">
        <v>179</v>
      </c>
    </row>
    <row r="650" ht="15.0" customHeight="1">
      <c r="A650" s="82" t="s">
        <v>9309</v>
      </c>
      <c r="B650" s="82" t="s">
        <v>147</v>
      </c>
      <c r="C650" s="82" t="s">
        <v>10023</v>
      </c>
      <c r="D650" s="83">
        <v>20.0</v>
      </c>
      <c r="E650" s="274">
        <v>20.0</v>
      </c>
      <c r="F650" s="473" t="s">
        <v>179</v>
      </c>
    </row>
    <row r="651" ht="15.0" customHeight="1">
      <c r="A651" s="82" t="s">
        <v>9309</v>
      </c>
      <c r="B651" s="82" t="s">
        <v>147</v>
      </c>
      <c r="C651" s="82" t="s">
        <v>10024</v>
      </c>
      <c r="D651" s="83">
        <v>20.0</v>
      </c>
      <c r="E651" s="274">
        <v>20.0</v>
      </c>
      <c r="F651" s="473" t="s">
        <v>179</v>
      </c>
    </row>
    <row r="652" ht="15.0" customHeight="1">
      <c r="A652" s="82" t="s">
        <v>9309</v>
      </c>
      <c r="B652" s="82" t="s">
        <v>147</v>
      </c>
      <c r="C652" s="82" t="s">
        <v>10025</v>
      </c>
      <c r="D652" s="83">
        <v>20.0</v>
      </c>
      <c r="E652" s="274">
        <v>20.0</v>
      </c>
      <c r="F652" s="473" t="s">
        <v>179</v>
      </c>
    </row>
    <row r="653" ht="15.0" customHeight="1">
      <c r="A653" s="82" t="s">
        <v>9310</v>
      </c>
      <c r="B653" s="82" t="s">
        <v>147</v>
      </c>
      <c r="C653" s="82" t="s">
        <v>10026</v>
      </c>
      <c r="D653" s="83">
        <v>20.0</v>
      </c>
      <c r="E653" s="274">
        <v>20.0</v>
      </c>
      <c r="F653" s="473" t="s">
        <v>180</v>
      </c>
    </row>
    <row r="654" ht="15.0" customHeight="1">
      <c r="A654" s="82" t="s">
        <v>9310</v>
      </c>
      <c r="B654" s="82" t="s">
        <v>147</v>
      </c>
      <c r="C654" s="82" t="s">
        <v>10027</v>
      </c>
      <c r="D654" s="83">
        <v>20.0</v>
      </c>
      <c r="E654" s="274">
        <v>20.0</v>
      </c>
      <c r="F654" s="473" t="s">
        <v>180</v>
      </c>
    </row>
    <row r="655" ht="15.0" customHeight="1">
      <c r="A655" s="82" t="s">
        <v>8898</v>
      </c>
      <c r="B655" s="82" t="s">
        <v>147</v>
      </c>
      <c r="C655" s="82" t="s">
        <v>10028</v>
      </c>
      <c r="D655" s="83">
        <v>20.0</v>
      </c>
      <c r="E655" s="274">
        <v>20.0</v>
      </c>
      <c r="F655" s="473" t="s">
        <v>8902</v>
      </c>
    </row>
    <row r="656" ht="15.0" customHeight="1">
      <c r="A656" s="82" t="s">
        <v>8898</v>
      </c>
      <c r="B656" s="82" t="s">
        <v>147</v>
      </c>
      <c r="C656" s="82" t="s">
        <v>10029</v>
      </c>
      <c r="D656" s="83">
        <v>20.0</v>
      </c>
      <c r="E656" s="274">
        <v>20.0</v>
      </c>
      <c r="F656" s="473" t="s">
        <v>8902</v>
      </c>
    </row>
    <row r="657" ht="15.0" customHeight="1">
      <c r="A657" s="82" t="s">
        <v>8898</v>
      </c>
      <c r="B657" s="82" t="s">
        <v>147</v>
      </c>
      <c r="C657" s="82" t="s">
        <v>10030</v>
      </c>
      <c r="D657" s="83">
        <v>20.0</v>
      </c>
      <c r="E657" s="274">
        <v>20.0</v>
      </c>
      <c r="F657" s="473" t="s">
        <v>8902</v>
      </c>
    </row>
    <row r="658" ht="15.0" customHeight="1">
      <c r="A658" s="82" t="s">
        <v>9311</v>
      </c>
      <c r="B658" s="82" t="s">
        <v>147</v>
      </c>
      <c r="C658" s="82" t="s">
        <v>10031</v>
      </c>
      <c r="D658" s="83">
        <v>20.0</v>
      </c>
      <c r="E658" s="274">
        <v>20.0</v>
      </c>
      <c r="F658" s="473" t="s">
        <v>9312</v>
      </c>
    </row>
    <row r="659" ht="15.75" customHeight="1">
      <c r="A659" s="110"/>
      <c r="B659" s="285"/>
      <c r="C659" s="285"/>
      <c r="D659" s="476"/>
      <c r="E659" s="476">
        <f>SUM(E9:E658)</f>
        <v>13940</v>
      </c>
    </row>
    <row r="660" ht="15.75" customHeight="1">
      <c r="A660" s="104"/>
      <c r="B660" s="104"/>
      <c r="C660" s="61"/>
      <c r="D660" s="61"/>
      <c r="E660" s="61"/>
      <c r="F660" s="1"/>
      <c r="G660" s="1"/>
      <c r="H660" s="1"/>
    </row>
    <row r="661" ht="14.25" customHeight="1">
      <c r="A661" s="144" t="s">
        <v>1169</v>
      </c>
      <c r="B661" s="103"/>
      <c r="C661" s="103"/>
      <c r="D661" s="103"/>
      <c r="E661" s="103"/>
      <c r="F661" s="3"/>
      <c r="G661" s="3"/>
      <c r="H661" s="3"/>
      <c r="I661" s="104"/>
      <c r="J661" s="104"/>
      <c r="K661" s="104"/>
      <c r="L661" s="104"/>
      <c r="M661" s="104"/>
      <c r="N661" s="104"/>
      <c r="O661" s="104"/>
      <c r="P661" s="104"/>
      <c r="Q661" s="104"/>
      <c r="R661" s="104"/>
      <c r="S661" s="104"/>
      <c r="T661" s="104"/>
      <c r="U661" s="104"/>
      <c r="V661" s="104"/>
      <c r="W661" s="104"/>
      <c r="X661" s="104"/>
      <c r="Y661" s="104"/>
    </row>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61:E661"/>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28.57"/>
    <col customWidth="1" min="8" max="9" width="13.71"/>
    <col customWidth="1" min="10" max="26" width="8.0"/>
  </cols>
  <sheetData>
    <row r="1">
      <c r="A1" s="104"/>
      <c r="B1" s="104"/>
      <c r="C1" s="61"/>
      <c r="D1" s="61"/>
      <c r="E1" s="61"/>
      <c r="F1" s="61"/>
      <c r="G1" s="1"/>
      <c r="H1" s="1"/>
      <c r="I1" s="1"/>
    </row>
    <row r="2" ht="15.75" customHeight="1">
      <c r="A2" s="105" t="s">
        <v>10032</v>
      </c>
      <c r="B2" s="64"/>
      <c r="C2" s="64"/>
      <c r="D2" s="64"/>
      <c r="E2" s="64"/>
      <c r="F2" s="65"/>
      <c r="G2" s="474"/>
      <c r="H2" s="474"/>
      <c r="I2" s="474"/>
      <c r="J2" s="107"/>
      <c r="K2" s="107"/>
      <c r="L2" s="107"/>
      <c r="M2" s="107"/>
      <c r="N2" s="107"/>
      <c r="O2" s="107"/>
      <c r="P2" s="107"/>
      <c r="Q2" s="107"/>
      <c r="R2" s="107"/>
      <c r="S2" s="107"/>
      <c r="T2" s="107"/>
      <c r="U2" s="107"/>
      <c r="V2" s="107"/>
      <c r="W2" s="107"/>
      <c r="X2" s="107"/>
      <c r="Y2" s="107"/>
      <c r="Z2" s="107"/>
    </row>
    <row r="3" ht="15.75" customHeight="1">
      <c r="A3" s="145"/>
      <c r="B3" s="145"/>
      <c r="C3" s="145"/>
      <c r="D3" s="145"/>
      <c r="E3" s="145"/>
      <c r="F3" s="475"/>
      <c r="G3" s="474"/>
      <c r="H3" s="474"/>
      <c r="I3" s="474"/>
      <c r="J3" s="107"/>
      <c r="K3" s="107"/>
      <c r="L3" s="107"/>
      <c r="M3" s="107"/>
      <c r="N3" s="107"/>
      <c r="O3" s="107"/>
      <c r="P3" s="107"/>
      <c r="Q3" s="107"/>
      <c r="R3" s="107"/>
      <c r="S3" s="107"/>
      <c r="T3" s="107"/>
      <c r="U3" s="107"/>
      <c r="V3" s="107"/>
      <c r="W3" s="107"/>
      <c r="X3" s="107"/>
      <c r="Y3" s="107"/>
      <c r="Z3" s="107"/>
    </row>
    <row r="4" ht="18.0" customHeight="1">
      <c r="A4" s="226" t="s">
        <v>10033</v>
      </c>
      <c r="B4" s="64"/>
      <c r="C4" s="64"/>
      <c r="D4" s="64"/>
      <c r="E4" s="64"/>
      <c r="F4" s="65"/>
      <c r="G4" s="474"/>
      <c r="H4" s="474"/>
      <c r="I4" s="474"/>
      <c r="J4" s="107"/>
      <c r="K4" s="107"/>
      <c r="L4" s="107"/>
      <c r="M4" s="107"/>
      <c r="N4" s="107"/>
      <c r="O4" s="107"/>
      <c r="P4" s="107"/>
      <c r="Q4" s="107"/>
      <c r="R4" s="107"/>
      <c r="S4" s="107"/>
      <c r="T4" s="107"/>
      <c r="U4" s="107"/>
      <c r="V4" s="107"/>
      <c r="W4" s="107"/>
      <c r="X4" s="107"/>
      <c r="Y4" s="107"/>
      <c r="Z4" s="107"/>
    </row>
    <row r="5" ht="16.5" customHeight="1">
      <c r="A5" s="226" t="s">
        <v>10034</v>
      </c>
      <c r="B5" s="64"/>
      <c r="C5" s="64"/>
      <c r="D5" s="64"/>
      <c r="E5" s="64"/>
      <c r="F5" s="65"/>
      <c r="G5" s="474"/>
      <c r="H5" s="474"/>
      <c r="I5" s="474"/>
      <c r="J5" s="107"/>
      <c r="K5" s="107"/>
      <c r="L5" s="107"/>
      <c r="M5" s="107"/>
      <c r="N5" s="107"/>
      <c r="O5" s="107"/>
      <c r="P5" s="107"/>
      <c r="Q5" s="107"/>
      <c r="R5" s="107"/>
      <c r="S5" s="107"/>
      <c r="T5" s="107"/>
      <c r="U5" s="107"/>
      <c r="V5" s="107"/>
      <c r="W5" s="107"/>
      <c r="X5" s="107"/>
      <c r="Y5" s="107"/>
      <c r="Z5" s="107"/>
    </row>
    <row r="6" ht="21.75" customHeight="1">
      <c r="A6" s="226" t="s">
        <v>10035</v>
      </c>
      <c r="B6" s="64"/>
      <c r="C6" s="64"/>
      <c r="D6" s="64"/>
      <c r="E6" s="64"/>
      <c r="F6" s="65"/>
      <c r="G6" s="474"/>
      <c r="H6" s="474"/>
      <c r="I6" s="474"/>
      <c r="J6" s="107"/>
      <c r="K6" s="107"/>
      <c r="L6" s="107"/>
      <c r="M6" s="107"/>
      <c r="N6" s="107"/>
      <c r="O6" s="107"/>
      <c r="P6" s="107"/>
      <c r="Q6" s="107"/>
      <c r="R6" s="107"/>
      <c r="S6" s="107"/>
      <c r="T6" s="107"/>
      <c r="U6" s="107"/>
      <c r="V6" s="107"/>
      <c r="W6" s="107"/>
      <c r="X6" s="107"/>
      <c r="Y6" s="107"/>
      <c r="Z6" s="107"/>
    </row>
    <row r="7" ht="21.75" customHeight="1">
      <c r="A7" s="226" t="s">
        <v>10036</v>
      </c>
      <c r="B7" s="64"/>
      <c r="C7" s="64"/>
      <c r="D7" s="64"/>
      <c r="E7" s="64"/>
      <c r="F7" s="65"/>
      <c r="G7" s="474"/>
      <c r="H7" s="474"/>
      <c r="I7" s="474"/>
      <c r="J7" s="107"/>
      <c r="K7" s="107"/>
      <c r="L7" s="107"/>
      <c r="M7" s="107"/>
      <c r="N7" s="107"/>
      <c r="O7" s="107"/>
      <c r="P7" s="107"/>
      <c r="Q7" s="107"/>
      <c r="R7" s="107"/>
      <c r="S7" s="107"/>
      <c r="T7" s="107"/>
      <c r="U7" s="107"/>
      <c r="V7" s="107"/>
      <c r="W7" s="107"/>
      <c r="X7" s="107"/>
      <c r="Y7" s="107"/>
      <c r="Z7" s="107"/>
    </row>
    <row r="8" ht="21.75" customHeight="1">
      <c r="A8" s="226" t="s">
        <v>10037</v>
      </c>
      <c r="B8" s="64"/>
      <c r="C8" s="64"/>
      <c r="D8" s="64"/>
      <c r="E8" s="64"/>
      <c r="F8" s="65"/>
      <c r="G8" s="474"/>
      <c r="H8" s="474"/>
      <c r="I8" s="474"/>
      <c r="J8" s="107"/>
      <c r="K8" s="107"/>
      <c r="L8" s="107"/>
      <c r="M8" s="107"/>
      <c r="N8" s="107"/>
      <c r="O8" s="107"/>
      <c r="P8" s="107"/>
      <c r="Q8" s="107"/>
      <c r="R8" s="107"/>
      <c r="S8" s="107"/>
      <c r="T8" s="107"/>
      <c r="U8" s="107"/>
      <c r="V8" s="107"/>
      <c r="W8" s="107"/>
      <c r="X8" s="107"/>
      <c r="Y8" s="107"/>
      <c r="Z8" s="107"/>
    </row>
    <row r="9" ht="17.25" customHeight="1">
      <c r="A9" s="226" t="s">
        <v>10038</v>
      </c>
      <c r="B9" s="64"/>
      <c r="C9" s="64"/>
      <c r="D9" s="64"/>
      <c r="E9" s="64"/>
      <c r="F9" s="65"/>
      <c r="G9" s="474"/>
      <c r="H9" s="474"/>
      <c r="I9" s="474"/>
      <c r="J9" s="107"/>
      <c r="K9" s="107"/>
      <c r="L9" s="107"/>
      <c r="M9" s="107"/>
      <c r="N9" s="107"/>
      <c r="O9" s="107"/>
      <c r="P9" s="107"/>
      <c r="Q9" s="107"/>
      <c r="R9" s="107"/>
      <c r="S9" s="107"/>
      <c r="T9" s="107"/>
      <c r="U9" s="107"/>
      <c r="V9" s="107"/>
      <c r="W9" s="107"/>
      <c r="X9" s="107"/>
      <c r="Y9" s="107"/>
      <c r="Z9" s="107"/>
    </row>
    <row r="10" ht="18.75" customHeight="1">
      <c r="A10" s="226" t="s">
        <v>10039</v>
      </c>
      <c r="B10" s="64"/>
      <c r="C10" s="64"/>
      <c r="D10" s="64"/>
      <c r="E10" s="64"/>
      <c r="F10" s="65"/>
      <c r="G10" s="474"/>
      <c r="H10" s="474"/>
      <c r="I10" s="474"/>
      <c r="J10" s="107"/>
      <c r="K10" s="107"/>
      <c r="L10" s="107"/>
      <c r="M10" s="107"/>
      <c r="N10" s="107"/>
      <c r="O10" s="107"/>
      <c r="P10" s="107"/>
      <c r="Q10" s="107"/>
      <c r="R10" s="107"/>
      <c r="S10" s="107"/>
      <c r="T10" s="107"/>
      <c r="U10" s="107"/>
      <c r="V10" s="107"/>
      <c r="W10" s="107"/>
      <c r="X10" s="107"/>
      <c r="Y10" s="107"/>
      <c r="Z10" s="107"/>
    </row>
    <row r="11" ht="27.0" customHeight="1">
      <c r="A11" s="511" t="s">
        <v>10040</v>
      </c>
      <c r="B11" s="64"/>
      <c r="C11" s="64"/>
      <c r="D11" s="64"/>
      <c r="E11" s="64"/>
      <c r="F11" s="65"/>
      <c r="G11" s="474"/>
      <c r="H11" s="474"/>
      <c r="I11" s="474"/>
      <c r="J11" s="107"/>
      <c r="K11" s="107"/>
      <c r="L11" s="107"/>
      <c r="M11" s="107"/>
      <c r="N11" s="107"/>
      <c r="O11" s="107"/>
      <c r="P11" s="107"/>
      <c r="Q11" s="107"/>
      <c r="R11" s="107"/>
      <c r="S11" s="107"/>
      <c r="T11" s="107"/>
      <c r="U11" s="107"/>
      <c r="V11" s="107"/>
      <c r="W11" s="107"/>
      <c r="X11" s="107"/>
      <c r="Y11" s="107"/>
      <c r="Z11" s="107"/>
    </row>
    <row r="12" ht="21.75" customHeight="1">
      <c r="A12" s="511" t="s">
        <v>10041</v>
      </c>
      <c r="B12" s="64"/>
      <c r="C12" s="64"/>
      <c r="D12" s="64"/>
      <c r="E12" s="64"/>
      <c r="F12" s="65"/>
      <c r="G12" s="474"/>
      <c r="H12" s="474"/>
      <c r="I12" s="474"/>
      <c r="J12" s="107"/>
      <c r="K12" s="107"/>
      <c r="L12" s="107"/>
      <c r="M12" s="107"/>
      <c r="N12" s="107"/>
      <c r="O12" s="107"/>
      <c r="P12" s="107"/>
      <c r="Q12" s="107"/>
      <c r="R12" s="107"/>
      <c r="S12" s="107"/>
      <c r="T12" s="107"/>
      <c r="U12" s="107"/>
      <c r="V12" s="107"/>
      <c r="W12" s="107"/>
      <c r="X12" s="107"/>
      <c r="Y12" s="107"/>
      <c r="Z12" s="107"/>
    </row>
    <row r="13" ht="99.75" customHeight="1">
      <c r="A13" s="512" t="s">
        <v>10042</v>
      </c>
      <c r="B13" s="64"/>
      <c r="C13" s="64"/>
      <c r="D13" s="64"/>
      <c r="E13" s="64"/>
      <c r="F13" s="65"/>
      <c r="G13" s="474"/>
      <c r="H13" s="474"/>
      <c r="I13" s="474"/>
      <c r="J13" s="107"/>
      <c r="K13" s="107"/>
      <c r="L13" s="107"/>
      <c r="M13" s="107"/>
      <c r="N13" s="107"/>
      <c r="O13" s="107"/>
      <c r="P13" s="107"/>
      <c r="Q13" s="107"/>
      <c r="R13" s="107"/>
      <c r="S13" s="107"/>
      <c r="T13" s="107"/>
      <c r="U13" s="107"/>
      <c r="V13" s="107"/>
      <c r="W13" s="107"/>
      <c r="X13" s="107"/>
      <c r="Y13" s="107"/>
      <c r="Z13" s="107"/>
    </row>
    <row r="14">
      <c r="A14" s="109"/>
      <c r="B14" s="109"/>
      <c r="C14" s="110"/>
      <c r="D14" s="110"/>
      <c r="E14" s="110"/>
      <c r="F14" s="110"/>
      <c r="G14" s="109"/>
      <c r="H14" s="109"/>
      <c r="I14" s="109"/>
      <c r="J14" s="107"/>
      <c r="K14" s="107"/>
      <c r="L14" s="107"/>
      <c r="M14" s="107"/>
      <c r="N14" s="107"/>
      <c r="O14" s="107"/>
      <c r="P14" s="107"/>
      <c r="Q14" s="107"/>
      <c r="R14" s="107"/>
      <c r="S14" s="107"/>
      <c r="T14" s="107"/>
      <c r="U14" s="107"/>
      <c r="V14" s="107"/>
      <c r="W14" s="107"/>
      <c r="X14" s="107"/>
      <c r="Y14" s="107"/>
      <c r="Z14" s="107"/>
    </row>
    <row r="15" ht="61.5" customHeight="1">
      <c r="A15" s="228" t="s">
        <v>5174</v>
      </c>
      <c r="B15" s="132" t="s">
        <v>8</v>
      </c>
      <c r="C15" s="132" t="s">
        <v>10043</v>
      </c>
      <c r="D15" s="132" t="s">
        <v>10044</v>
      </c>
      <c r="E15" s="131" t="s">
        <v>217</v>
      </c>
      <c r="F15" s="131" t="s">
        <v>221</v>
      </c>
      <c r="G15" s="113" t="s">
        <v>222</v>
      </c>
      <c r="J15" s="107"/>
      <c r="K15" s="107"/>
      <c r="L15" s="107"/>
      <c r="M15" s="107"/>
      <c r="N15" s="107"/>
      <c r="O15" s="107"/>
      <c r="P15" s="107"/>
      <c r="Q15" s="107"/>
      <c r="R15" s="107"/>
      <c r="S15" s="107"/>
      <c r="T15" s="107"/>
      <c r="U15" s="107"/>
      <c r="V15" s="107"/>
      <c r="W15" s="107"/>
      <c r="X15" s="107"/>
      <c r="Y15" s="107"/>
      <c r="Z15" s="107"/>
    </row>
    <row r="16" ht="15.75" customHeight="1">
      <c r="A16" s="224" t="s">
        <v>61</v>
      </c>
      <c r="B16" s="224" t="s">
        <v>52</v>
      </c>
      <c r="C16" s="82" t="s">
        <v>10045</v>
      </c>
      <c r="D16" s="83" t="s">
        <v>10046</v>
      </c>
      <c r="E16" s="92">
        <f>27/3</f>
        <v>9</v>
      </c>
      <c r="F16" s="92">
        <f t="shared" ref="F16:F39" si="1">E16</f>
        <v>9</v>
      </c>
      <c r="G16" s="288" t="s">
        <v>61</v>
      </c>
    </row>
    <row r="17" ht="15.75" customHeight="1">
      <c r="A17" s="224" t="s">
        <v>61</v>
      </c>
      <c r="B17" s="224" t="s">
        <v>52</v>
      </c>
      <c r="C17" s="82" t="s">
        <v>10047</v>
      </c>
      <c r="D17" s="83" t="s">
        <v>10046</v>
      </c>
      <c r="E17" s="92">
        <f>27/3*0.25</f>
        <v>2.25</v>
      </c>
      <c r="F17" s="92">
        <f t="shared" si="1"/>
        <v>2.25</v>
      </c>
      <c r="G17" s="288" t="s">
        <v>61</v>
      </c>
    </row>
    <row r="18" ht="15.75" customHeight="1">
      <c r="A18" s="224" t="s">
        <v>61</v>
      </c>
      <c r="B18" s="224" t="s">
        <v>52</v>
      </c>
      <c r="C18" s="82" t="s">
        <v>10048</v>
      </c>
      <c r="D18" s="83" t="s">
        <v>10046</v>
      </c>
      <c r="E18" s="92">
        <f>27/3*0.1</f>
        <v>0.9</v>
      </c>
      <c r="F18" s="92">
        <f t="shared" si="1"/>
        <v>0.9</v>
      </c>
      <c r="G18" s="288" t="s">
        <v>61</v>
      </c>
    </row>
    <row r="19" ht="15.75" customHeight="1">
      <c r="A19" s="224" t="s">
        <v>61</v>
      </c>
      <c r="B19" s="224" t="s">
        <v>52</v>
      </c>
      <c r="C19" s="82" t="s">
        <v>10049</v>
      </c>
      <c r="D19" s="83" t="s">
        <v>10046</v>
      </c>
      <c r="E19" s="92">
        <f>24/3</f>
        <v>8</v>
      </c>
      <c r="F19" s="92">
        <f t="shared" si="1"/>
        <v>8</v>
      </c>
      <c r="G19" s="288" t="s">
        <v>61</v>
      </c>
    </row>
    <row r="20" ht="15.75" customHeight="1">
      <c r="A20" s="224" t="s">
        <v>61</v>
      </c>
      <c r="B20" s="224" t="s">
        <v>52</v>
      </c>
      <c r="C20" s="82" t="s">
        <v>10050</v>
      </c>
      <c r="D20" s="83" t="s">
        <v>10046</v>
      </c>
      <c r="E20" s="92">
        <f>24/3*0.25</f>
        <v>2</v>
      </c>
      <c r="F20" s="92">
        <f t="shared" si="1"/>
        <v>2</v>
      </c>
      <c r="G20" s="288" t="s">
        <v>61</v>
      </c>
    </row>
    <row r="21" ht="15.75" customHeight="1">
      <c r="A21" s="224" t="s">
        <v>61</v>
      </c>
      <c r="B21" s="224" t="s">
        <v>52</v>
      </c>
      <c r="C21" s="82" t="s">
        <v>10051</v>
      </c>
      <c r="D21" s="83" t="s">
        <v>10046</v>
      </c>
      <c r="E21" s="92">
        <f>24/3*0.1</f>
        <v>0.8</v>
      </c>
      <c r="F21" s="92">
        <f t="shared" si="1"/>
        <v>0.8</v>
      </c>
      <c r="G21" s="288" t="s">
        <v>61</v>
      </c>
    </row>
    <row r="22" ht="15.0" customHeight="1">
      <c r="A22" s="224" t="s">
        <v>61</v>
      </c>
      <c r="B22" s="224" t="s">
        <v>52</v>
      </c>
      <c r="C22" s="82" t="s">
        <v>10052</v>
      </c>
      <c r="D22" s="83" t="s">
        <v>10046</v>
      </c>
      <c r="E22" s="92">
        <f>16/3</f>
        <v>5.333333333</v>
      </c>
      <c r="F22" s="92">
        <f t="shared" si="1"/>
        <v>5.333333333</v>
      </c>
      <c r="G22" s="288" t="s">
        <v>61</v>
      </c>
    </row>
    <row r="23" ht="15.0" customHeight="1">
      <c r="A23" s="224" t="s">
        <v>61</v>
      </c>
      <c r="B23" s="224" t="s">
        <v>52</v>
      </c>
      <c r="C23" s="82" t="s">
        <v>10053</v>
      </c>
      <c r="D23" s="83" t="s">
        <v>10046</v>
      </c>
      <c r="E23" s="92">
        <f>16/3*0.25</f>
        <v>1.333333333</v>
      </c>
      <c r="F23" s="92">
        <f t="shared" si="1"/>
        <v>1.333333333</v>
      </c>
      <c r="G23" s="288" t="s">
        <v>61</v>
      </c>
    </row>
    <row r="24" ht="15.0" customHeight="1">
      <c r="A24" s="224" t="s">
        <v>61</v>
      </c>
      <c r="B24" s="224" t="s">
        <v>52</v>
      </c>
      <c r="C24" s="82" t="s">
        <v>10054</v>
      </c>
      <c r="D24" s="83" t="s">
        <v>10046</v>
      </c>
      <c r="E24" s="92">
        <f>16/3*0.1</f>
        <v>0.5333333333</v>
      </c>
      <c r="F24" s="92">
        <f t="shared" si="1"/>
        <v>0.5333333333</v>
      </c>
      <c r="G24" s="288" t="s">
        <v>61</v>
      </c>
    </row>
    <row r="25" ht="15.0" customHeight="1">
      <c r="A25" s="224" t="s">
        <v>61</v>
      </c>
      <c r="B25" s="224" t="s">
        <v>52</v>
      </c>
      <c r="C25" s="82" t="s">
        <v>10055</v>
      </c>
      <c r="D25" s="83" t="s">
        <v>10046</v>
      </c>
      <c r="E25" s="92">
        <f>18/3</f>
        <v>6</v>
      </c>
      <c r="F25" s="92">
        <f t="shared" si="1"/>
        <v>6</v>
      </c>
      <c r="G25" s="288" t="s">
        <v>61</v>
      </c>
    </row>
    <row r="26" ht="15.0" customHeight="1">
      <c r="A26" s="224" t="s">
        <v>61</v>
      </c>
      <c r="B26" s="224" t="s">
        <v>52</v>
      </c>
      <c r="C26" s="82" t="s">
        <v>10056</v>
      </c>
      <c r="D26" s="83" t="s">
        <v>10046</v>
      </c>
      <c r="E26" s="92">
        <f>18/3*0.25</f>
        <v>1.5</v>
      </c>
      <c r="F26" s="92">
        <f t="shared" si="1"/>
        <v>1.5</v>
      </c>
      <c r="G26" s="288" t="s">
        <v>61</v>
      </c>
    </row>
    <row r="27" ht="15.0" customHeight="1">
      <c r="A27" s="224" t="s">
        <v>61</v>
      </c>
      <c r="B27" s="224" t="s">
        <v>52</v>
      </c>
      <c r="C27" s="82" t="s">
        <v>10057</v>
      </c>
      <c r="D27" s="83" t="s">
        <v>10046</v>
      </c>
      <c r="E27" s="92">
        <f>18/3*0.1</f>
        <v>0.6</v>
      </c>
      <c r="F27" s="92">
        <f t="shared" si="1"/>
        <v>0.6</v>
      </c>
      <c r="G27" s="288" t="s">
        <v>61</v>
      </c>
    </row>
    <row r="28" ht="15.0" customHeight="1">
      <c r="A28" s="224" t="s">
        <v>61</v>
      </c>
      <c r="B28" s="224" t="s">
        <v>52</v>
      </c>
      <c r="C28" s="82" t="s">
        <v>10058</v>
      </c>
      <c r="D28" s="83" t="s">
        <v>10046</v>
      </c>
      <c r="E28" s="92">
        <f>39/3</f>
        <v>13</v>
      </c>
      <c r="F28" s="92">
        <f t="shared" si="1"/>
        <v>13</v>
      </c>
      <c r="G28" s="288" t="s">
        <v>61</v>
      </c>
    </row>
    <row r="29" ht="15.0" customHeight="1">
      <c r="A29" s="224" t="s">
        <v>61</v>
      </c>
      <c r="B29" s="224" t="s">
        <v>52</v>
      </c>
      <c r="C29" s="82" t="s">
        <v>10059</v>
      </c>
      <c r="D29" s="83" t="s">
        <v>10046</v>
      </c>
      <c r="E29" s="92">
        <f>39/3*0.25</f>
        <v>3.25</v>
      </c>
      <c r="F29" s="92">
        <f t="shared" si="1"/>
        <v>3.25</v>
      </c>
      <c r="G29" s="288" t="s">
        <v>61</v>
      </c>
    </row>
    <row r="30" ht="15.0" customHeight="1">
      <c r="A30" s="224" t="s">
        <v>61</v>
      </c>
      <c r="B30" s="224" t="s">
        <v>52</v>
      </c>
      <c r="C30" s="82" t="s">
        <v>10060</v>
      </c>
      <c r="D30" s="83" t="s">
        <v>10046</v>
      </c>
      <c r="E30" s="92">
        <f>39/3*0.1</f>
        <v>1.3</v>
      </c>
      <c r="F30" s="92">
        <f t="shared" si="1"/>
        <v>1.3</v>
      </c>
      <c r="G30" s="288" t="s">
        <v>61</v>
      </c>
    </row>
    <row r="31" ht="15.75" customHeight="1">
      <c r="A31" s="224" t="s">
        <v>61</v>
      </c>
      <c r="B31" s="224" t="s">
        <v>52</v>
      </c>
      <c r="C31" s="82" t="s">
        <v>10061</v>
      </c>
      <c r="D31" s="83" t="s">
        <v>10046</v>
      </c>
      <c r="E31" s="92">
        <f>32/3*2</f>
        <v>21.33333333</v>
      </c>
      <c r="F31" s="92">
        <f t="shared" si="1"/>
        <v>21.33333333</v>
      </c>
      <c r="G31" s="288" t="s">
        <v>61</v>
      </c>
    </row>
    <row r="32" ht="15.75" customHeight="1">
      <c r="A32" s="224" t="s">
        <v>61</v>
      </c>
      <c r="B32" s="513" t="s">
        <v>52</v>
      </c>
      <c r="C32" s="164" t="s">
        <v>10062</v>
      </c>
      <c r="D32" s="168" t="s">
        <v>10046</v>
      </c>
      <c r="E32" s="404">
        <f>8*3/3</f>
        <v>8</v>
      </c>
      <c r="F32" s="404">
        <f t="shared" si="1"/>
        <v>8</v>
      </c>
      <c r="G32" s="288" t="s">
        <v>61</v>
      </c>
    </row>
    <row r="33" ht="15.0" customHeight="1">
      <c r="A33" s="224" t="s">
        <v>61</v>
      </c>
      <c r="B33" s="224" t="s">
        <v>52</v>
      </c>
      <c r="C33" s="82" t="s">
        <v>10063</v>
      </c>
      <c r="D33" s="83" t="s">
        <v>10046</v>
      </c>
      <c r="E33" s="92">
        <f>1/3*2</f>
        <v>0.6666666667</v>
      </c>
      <c r="F33" s="92">
        <f t="shared" si="1"/>
        <v>0.6666666667</v>
      </c>
      <c r="G33" s="288" t="s">
        <v>61</v>
      </c>
    </row>
    <row r="34" ht="15.0" customHeight="1">
      <c r="A34" s="224" t="s">
        <v>79</v>
      </c>
      <c r="B34" s="224" t="s">
        <v>10064</v>
      </c>
      <c r="C34" s="82" t="s">
        <v>10065</v>
      </c>
      <c r="D34" s="83" t="s">
        <v>10046</v>
      </c>
      <c r="E34" s="92">
        <f t="shared" ref="E34:E35" si="2">15/3</f>
        <v>5</v>
      </c>
      <c r="F34" s="92">
        <f t="shared" si="1"/>
        <v>5</v>
      </c>
      <c r="G34" s="288" t="s">
        <v>79</v>
      </c>
    </row>
    <row r="35" ht="15.0" customHeight="1">
      <c r="A35" s="224" t="s">
        <v>79</v>
      </c>
      <c r="B35" s="224" t="s">
        <v>10064</v>
      </c>
      <c r="C35" s="82" t="s">
        <v>10066</v>
      </c>
      <c r="D35" s="83" t="s">
        <v>10046</v>
      </c>
      <c r="E35" s="92">
        <f t="shared" si="2"/>
        <v>5</v>
      </c>
      <c r="F35" s="92">
        <f t="shared" si="1"/>
        <v>5</v>
      </c>
      <c r="G35" s="288" t="s">
        <v>79</v>
      </c>
    </row>
    <row r="36" ht="15.0" customHeight="1">
      <c r="A36" s="224" t="s">
        <v>79</v>
      </c>
      <c r="B36" s="224" t="s">
        <v>10064</v>
      </c>
      <c r="C36" s="82" t="s">
        <v>10067</v>
      </c>
      <c r="D36" s="83" t="s">
        <v>10046</v>
      </c>
      <c r="E36" s="92">
        <f t="shared" ref="E36:E37" si="3">24/3</f>
        <v>8</v>
      </c>
      <c r="F36" s="92">
        <f t="shared" si="1"/>
        <v>8</v>
      </c>
      <c r="G36" s="288" t="s">
        <v>79</v>
      </c>
    </row>
    <row r="37" ht="15.0" customHeight="1">
      <c r="A37" s="224" t="s">
        <v>79</v>
      </c>
      <c r="B37" s="224" t="s">
        <v>10064</v>
      </c>
      <c r="C37" s="82" t="s">
        <v>10068</v>
      </c>
      <c r="D37" s="83" t="s">
        <v>10046</v>
      </c>
      <c r="E37" s="92">
        <f t="shared" si="3"/>
        <v>8</v>
      </c>
      <c r="F37" s="92">
        <f t="shared" si="1"/>
        <v>8</v>
      </c>
      <c r="G37" s="288" t="s">
        <v>79</v>
      </c>
    </row>
    <row r="38" ht="15.0" customHeight="1">
      <c r="A38" s="224" t="s">
        <v>79</v>
      </c>
      <c r="B38" s="224" t="s">
        <v>10064</v>
      </c>
      <c r="C38" s="82" t="s">
        <v>10069</v>
      </c>
      <c r="D38" s="83" t="s">
        <v>10046</v>
      </c>
      <c r="E38" s="92">
        <f>15/3</f>
        <v>5</v>
      </c>
      <c r="F38" s="92">
        <f t="shared" si="1"/>
        <v>5</v>
      </c>
      <c r="G38" s="288" t="s">
        <v>79</v>
      </c>
    </row>
    <row r="39" ht="15.0" customHeight="1">
      <c r="A39" s="224" t="s">
        <v>79</v>
      </c>
      <c r="B39" s="224" t="s">
        <v>10064</v>
      </c>
      <c r="C39" s="82" t="s">
        <v>10070</v>
      </c>
      <c r="D39" s="83" t="s">
        <v>10046</v>
      </c>
      <c r="E39" s="92">
        <f>26/3</f>
        <v>8.666666667</v>
      </c>
      <c r="F39" s="92">
        <f t="shared" si="1"/>
        <v>8.666666667</v>
      </c>
      <c r="G39" s="288" t="s">
        <v>79</v>
      </c>
    </row>
    <row r="40" ht="15.0" customHeight="1">
      <c r="A40" s="224" t="s">
        <v>79</v>
      </c>
      <c r="B40" s="224" t="s">
        <v>10064</v>
      </c>
      <c r="C40" s="82" t="s">
        <v>10071</v>
      </c>
      <c r="D40" s="83" t="s">
        <v>10072</v>
      </c>
      <c r="E40" s="92">
        <f>15/3</f>
        <v>5</v>
      </c>
      <c r="F40" s="92">
        <f t="shared" ref="F40:F41" si="4">E40*0.5</f>
        <v>2.5</v>
      </c>
      <c r="G40" s="288" t="s">
        <v>79</v>
      </c>
    </row>
    <row r="41" ht="15.0" customHeight="1">
      <c r="A41" s="224" t="s">
        <v>79</v>
      </c>
      <c r="B41" s="224" t="s">
        <v>10064</v>
      </c>
      <c r="C41" s="82" t="s">
        <v>10073</v>
      </c>
      <c r="D41" s="83" t="s">
        <v>10072</v>
      </c>
      <c r="E41" s="92">
        <f>26/3</f>
        <v>8.666666667</v>
      </c>
      <c r="F41" s="92">
        <f t="shared" si="4"/>
        <v>4.333333333</v>
      </c>
      <c r="G41" s="288" t="s">
        <v>79</v>
      </c>
    </row>
    <row r="42" ht="15.0" customHeight="1">
      <c r="A42" s="224" t="s">
        <v>79</v>
      </c>
      <c r="B42" s="224" t="s">
        <v>10064</v>
      </c>
      <c r="C42" s="82" t="s">
        <v>10074</v>
      </c>
      <c r="D42" s="83" t="s">
        <v>10046</v>
      </c>
      <c r="E42" s="92">
        <f t="shared" ref="E42:E43" si="5">15/3</f>
        <v>5</v>
      </c>
      <c r="F42" s="92">
        <f t="shared" ref="F42:F46" si="6">E42</f>
        <v>5</v>
      </c>
      <c r="G42" s="288" t="s">
        <v>79</v>
      </c>
    </row>
    <row r="43" ht="15.0" customHeight="1">
      <c r="A43" s="224" t="s">
        <v>79</v>
      </c>
      <c r="B43" s="224" t="s">
        <v>10064</v>
      </c>
      <c r="C43" s="82" t="s">
        <v>10075</v>
      </c>
      <c r="D43" s="83" t="s">
        <v>10046</v>
      </c>
      <c r="E43" s="92">
        <f t="shared" si="5"/>
        <v>5</v>
      </c>
      <c r="F43" s="92">
        <f t="shared" si="6"/>
        <v>5</v>
      </c>
      <c r="G43" s="288" t="s">
        <v>79</v>
      </c>
    </row>
    <row r="44" ht="15.0" customHeight="1">
      <c r="A44" s="224" t="s">
        <v>79</v>
      </c>
      <c r="B44" s="224" t="s">
        <v>10064</v>
      </c>
      <c r="C44" s="82" t="s">
        <v>10076</v>
      </c>
      <c r="D44" s="83" t="s">
        <v>10046</v>
      </c>
      <c r="E44" s="92">
        <f t="shared" ref="E44:E45" si="7">24/3</f>
        <v>8</v>
      </c>
      <c r="F44" s="92">
        <f t="shared" si="6"/>
        <v>8</v>
      </c>
      <c r="G44" s="288" t="s">
        <v>79</v>
      </c>
    </row>
    <row r="45" ht="15.0" customHeight="1">
      <c r="A45" s="224" t="s">
        <v>79</v>
      </c>
      <c r="B45" s="224" t="s">
        <v>10064</v>
      </c>
      <c r="C45" s="82" t="s">
        <v>10077</v>
      </c>
      <c r="D45" s="83" t="s">
        <v>10046</v>
      </c>
      <c r="E45" s="92">
        <f t="shared" si="7"/>
        <v>8</v>
      </c>
      <c r="F45" s="92">
        <f t="shared" si="6"/>
        <v>8</v>
      </c>
      <c r="G45" s="288" t="s">
        <v>79</v>
      </c>
    </row>
    <row r="46" ht="15.0" customHeight="1">
      <c r="A46" s="224" t="s">
        <v>79</v>
      </c>
      <c r="B46" s="224" t="s">
        <v>52</v>
      </c>
      <c r="C46" s="82" t="s">
        <v>10078</v>
      </c>
      <c r="D46" s="83" t="s">
        <v>10046</v>
      </c>
      <c r="E46" s="92">
        <f>72/3*2</f>
        <v>48</v>
      </c>
      <c r="F46" s="92">
        <f t="shared" si="6"/>
        <v>48</v>
      </c>
      <c r="G46" s="288" t="s">
        <v>79</v>
      </c>
    </row>
    <row r="47" ht="15.0" customHeight="1">
      <c r="A47" s="224" t="s">
        <v>79</v>
      </c>
      <c r="B47" s="224" t="s">
        <v>52</v>
      </c>
      <c r="C47" s="82" t="s">
        <v>10079</v>
      </c>
      <c r="D47" s="83" t="s">
        <v>10046</v>
      </c>
      <c r="E47" s="92">
        <f t="shared" ref="E47:F47" si="8">43/3*2</f>
        <v>28.66666667</v>
      </c>
      <c r="F47" s="92">
        <f t="shared" si="8"/>
        <v>28.66666667</v>
      </c>
      <c r="G47" s="288" t="s">
        <v>79</v>
      </c>
    </row>
    <row r="48" ht="15.0" customHeight="1">
      <c r="A48" s="224" t="s">
        <v>79</v>
      </c>
      <c r="B48" s="224" t="s">
        <v>52</v>
      </c>
      <c r="C48" s="82" t="s">
        <v>10080</v>
      </c>
      <c r="D48" s="83" t="s">
        <v>10046</v>
      </c>
      <c r="E48" s="92">
        <f t="shared" ref="E48:F48" si="9">13/3*3</f>
        <v>13</v>
      </c>
      <c r="F48" s="92">
        <f t="shared" si="9"/>
        <v>13</v>
      </c>
      <c r="G48" s="288" t="s">
        <v>79</v>
      </c>
    </row>
    <row r="49" ht="15.0" customHeight="1">
      <c r="A49" s="224" t="s">
        <v>79</v>
      </c>
      <c r="B49" s="224" t="s">
        <v>10064</v>
      </c>
      <c r="C49" s="82" t="s">
        <v>10081</v>
      </c>
      <c r="D49" s="83" t="s">
        <v>10072</v>
      </c>
      <c r="E49" s="92">
        <f>15/3</f>
        <v>5</v>
      </c>
      <c r="F49" s="92">
        <f t="shared" ref="F49:F50" si="10">E49*0.5*0.35</f>
        <v>0.875</v>
      </c>
      <c r="G49" s="288" t="s">
        <v>79</v>
      </c>
    </row>
    <row r="50" ht="15.0" customHeight="1">
      <c r="A50" s="224" t="s">
        <v>79</v>
      </c>
      <c r="B50" s="224" t="s">
        <v>10064</v>
      </c>
      <c r="C50" s="82" t="s">
        <v>10082</v>
      </c>
      <c r="D50" s="83" t="s">
        <v>10072</v>
      </c>
      <c r="E50" s="92">
        <f>26/3</f>
        <v>8.666666667</v>
      </c>
      <c r="F50" s="92">
        <f t="shared" si="10"/>
        <v>1.516666667</v>
      </c>
      <c r="G50" s="288" t="s">
        <v>79</v>
      </c>
    </row>
    <row r="51" ht="15.0" customHeight="1">
      <c r="A51" s="224" t="s">
        <v>79</v>
      </c>
      <c r="B51" s="224" t="s">
        <v>10064</v>
      </c>
      <c r="C51" s="82" t="s">
        <v>10083</v>
      </c>
      <c r="D51" s="83" t="s">
        <v>10046</v>
      </c>
      <c r="E51" s="92">
        <f t="shared" ref="E51:E52" si="11">15/3</f>
        <v>5</v>
      </c>
      <c r="F51" s="92">
        <f t="shared" ref="F51:F54" si="12">E51*0.35</f>
        <v>1.75</v>
      </c>
      <c r="G51" s="288" t="s">
        <v>79</v>
      </c>
    </row>
    <row r="52" ht="15.0" customHeight="1">
      <c r="A52" s="224" t="s">
        <v>79</v>
      </c>
      <c r="B52" s="224" t="s">
        <v>10064</v>
      </c>
      <c r="C52" s="82" t="s">
        <v>10084</v>
      </c>
      <c r="D52" s="83" t="s">
        <v>10046</v>
      </c>
      <c r="E52" s="92">
        <f t="shared" si="11"/>
        <v>5</v>
      </c>
      <c r="F52" s="92">
        <f t="shared" si="12"/>
        <v>1.75</v>
      </c>
      <c r="G52" s="288" t="s">
        <v>79</v>
      </c>
    </row>
    <row r="53" ht="15.0" customHeight="1">
      <c r="A53" s="224" t="s">
        <v>79</v>
      </c>
      <c r="B53" s="224" t="s">
        <v>10064</v>
      </c>
      <c r="C53" s="82" t="s">
        <v>10085</v>
      </c>
      <c r="D53" s="83" t="s">
        <v>10046</v>
      </c>
      <c r="E53" s="92">
        <f t="shared" ref="E53:E54" si="13">24/3</f>
        <v>8</v>
      </c>
      <c r="F53" s="92">
        <f t="shared" si="12"/>
        <v>2.8</v>
      </c>
      <c r="G53" s="288" t="s">
        <v>79</v>
      </c>
    </row>
    <row r="54" ht="15.0" customHeight="1">
      <c r="A54" s="224" t="s">
        <v>79</v>
      </c>
      <c r="B54" s="224" t="s">
        <v>10064</v>
      </c>
      <c r="C54" s="82" t="s">
        <v>10086</v>
      </c>
      <c r="D54" s="83" t="s">
        <v>10046</v>
      </c>
      <c r="E54" s="92">
        <f t="shared" si="13"/>
        <v>8</v>
      </c>
      <c r="F54" s="92">
        <f t="shared" si="12"/>
        <v>2.8</v>
      </c>
      <c r="G54" s="288" t="s">
        <v>79</v>
      </c>
    </row>
    <row r="55" ht="15.0" customHeight="1">
      <c r="A55" s="224" t="s">
        <v>7526</v>
      </c>
      <c r="B55" s="224" t="s">
        <v>52</v>
      </c>
      <c r="C55" s="82" t="s">
        <v>10087</v>
      </c>
      <c r="D55" s="83" t="s">
        <v>10046</v>
      </c>
      <c r="E55" s="92">
        <v>3.0</v>
      </c>
      <c r="F55" s="92">
        <v>3.0</v>
      </c>
      <c r="G55" s="288" t="s">
        <v>51</v>
      </c>
    </row>
    <row r="56" ht="15.0" customHeight="1">
      <c r="A56" s="224" t="s">
        <v>7526</v>
      </c>
      <c r="B56" s="224" t="s">
        <v>52</v>
      </c>
      <c r="C56" s="82" t="s">
        <v>10088</v>
      </c>
      <c r="D56" s="83" t="s">
        <v>10046</v>
      </c>
      <c r="E56" s="92">
        <v>3.0</v>
      </c>
      <c r="F56" s="92">
        <v>3.0</v>
      </c>
      <c r="G56" s="288" t="s">
        <v>51</v>
      </c>
    </row>
    <row r="57" ht="15.0" customHeight="1">
      <c r="A57" s="224" t="s">
        <v>7526</v>
      </c>
      <c r="B57" s="224" t="s">
        <v>52</v>
      </c>
      <c r="C57" s="82" t="s">
        <v>10089</v>
      </c>
      <c r="D57" s="83" t="s">
        <v>10046</v>
      </c>
      <c r="E57" s="92">
        <v>4.67</v>
      </c>
      <c r="F57" s="92">
        <v>4.67</v>
      </c>
      <c r="G57" s="288" t="s">
        <v>51</v>
      </c>
    </row>
    <row r="58" ht="15.0" customHeight="1">
      <c r="A58" s="224" t="s">
        <v>7526</v>
      </c>
      <c r="B58" s="224" t="s">
        <v>52</v>
      </c>
      <c r="C58" s="82" t="s">
        <v>10090</v>
      </c>
      <c r="D58" s="83" t="s">
        <v>10046</v>
      </c>
      <c r="E58" s="92">
        <v>4.67</v>
      </c>
      <c r="F58" s="92">
        <v>4.67</v>
      </c>
      <c r="G58" s="288" t="s">
        <v>51</v>
      </c>
    </row>
    <row r="59" ht="15.0" customHeight="1">
      <c r="A59" s="224" t="s">
        <v>7526</v>
      </c>
      <c r="B59" s="224" t="s">
        <v>52</v>
      </c>
      <c r="C59" s="82" t="s">
        <v>10091</v>
      </c>
      <c r="D59" s="83" t="s">
        <v>10046</v>
      </c>
      <c r="E59" s="92">
        <v>3.67</v>
      </c>
      <c r="F59" s="92">
        <v>3.67</v>
      </c>
      <c r="G59" s="288" t="s">
        <v>51</v>
      </c>
    </row>
    <row r="60" ht="15.0" customHeight="1">
      <c r="A60" s="224" t="s">
        <v>7526</v>
      </c>
      <c r="B60" s="224" t="s">
        <v>52</v>
      </c>
      <c r="C60" s="82" t="s">
        <v>10091</v>
      </c>
      <c r="D60" s="83" t="s">
        <v>10046</v>
      </c>
      <c r="E60" s="92">
        <v>3.67</v>
      </c>
      <c r="F60" s="92">
        <v>3.67</v>
      </c>
      <c r="G60" s="288" t="s">
        <v>51</v>
      </c>
    </row>
    <row r="61" ht="15.0" customHeight="1">
      <c r="A61" s="224" t="s">
        <v>7526</v>
      </c>
      <c r="B61" s="224" t="s">
        <v>52</v>
      </c>
      <c r="C61" s="82" t="s">
        <v>10080</v>
      </c>
      <c r="D61" s="83" t="s">
        <v>10046</v>
      </c>
      <c r="E61" s="92">
        <v>8.67</v>
      </c>
      <c r="F61" s="92">
        <f t="shared" ref="F61:F65" si="14">E61</f>
        <v>8.67</v>
      </c>
      <c r="G61" s="288" t="s">
        <v>51</v>
      </c>
    </row>
    <row r="62" ht="15.0" customHeight="1">
      <c r="A62" s="224" t="s">
        <v>7526</v>
      </c>
      <c r="B62" s="224" t="s">
        <v>52</v>
      </c>
      <c r="C62" s="82" t="s">
        <v>10092</v>
      </c>
      <c r="D62" s="83" t="s">
        <v>10046</v>
      </c>
      <c r="E62" s="92">
        <v>25.33</v>
      </c>
      <c r="F62" s="92">
        <f t="shared" si="14"/>
        <v>25.33</v>
      </c>
      <c r="G62" s="288" t="s">
        <v>51</v>
      </c>
    </row>
    <row r="63" ht="15.0" customHeight="1">
      <c r="A63" s="224" t="s">
        <v>7526</v>
      </c>
      <c r="B63" s="224" t="s">
        <v>52</v>
      </c>
      <c r="C63" s="82" t="s">
        <v>10093</v>
      </c>
      <c r="D63" s="83" t="s">
        <v>10046</v>
      </c>
      <c r="E63" s="92">
        <v>18.0</v>
      </c>
      <c r="F63" s="92">
        <f t="shared" si="14"/>
        <v>18</v>
      </c>
      <c r="G63" s="288" t="s">
        <v>51</v>
      </c>
    </row>
    <row r="64" ht="15.0" customHeight="1">
      <c r="A64" s="224" t="s">
        <v>7526</v>
      </c>
      <c r="B64" s="224" t="s">
        <v>52</v>
      </c>
      <c r="C64" s="82" t="s">
        <v>10094</v>
      </c>
      <c r="D64" s="83" t="s">
        <v>10046</v>
      </c>
      <c r="E64" s="92">
        <v>16.0</v>
      </c>
      <c r="F64" s="92">
        <f t="shared" si="14"/>
        <v>16</v>
      </c>
      <c r="G64" s="288" t="s">
        <v>51</v>
      </c>
    </row>
    <row r="65" ht="15.0" customHeight="1">
      <c r="A65" s="224" t="s">
        <v>7526</v>
      </c>
      <c r="B65" s="224" t="s">
        <v>52</v>
      </c>
      <c r="C65" s="82" t="s">
        <v>10095</v>
      </c>
      <c r="D65" s="83" t="s">
        <v>10046</v>
      </c>
      <c r="E65" s="92">
        <v>1.0</v>
      </c>
      <c r="F65" s="92">
        <f t="shared" si="14"/>
        <v>1</v>
      </c>
      <c r="G65" s="288" t="s">
        <v>51</v>
      </c>
    </row>
    <row r="66" ht="15.0" customHeight="1">
      <c r="A66" s="224" t="s">
        <v>7526</v>
      </c>
      <c r="B66" s="224" t="s">
        <v>52</v>
      </c>
      <c r="C66" s="82" t="s">
        <v>10096</v>
      </c>
      <c r="D66" s="83" t="s">
        <v>10046</v>
      </c>
      <c r="E66" s="92">
        <v>9.0</v>
      </c>
      <c r="F66" s="92">
        <v>9.0</v>
      </c>
      <c r="G66" s="288" t="s">
        <v>51</v>
      </c>
    </row>
    <row r="67" ht="15.0" customHeight="1">
      <c r="A67" s="224" t="s">
        <v>9383</v>
      </c>
      <c r="B67" s="224" t="s">
        <v>10064</v>
      </c>
      <c r="C67" s="82" t="s">
        <v>10097</v>
      </c>
      <c r="D67" s="83" t="s">
        <v>10046</v>
      </c>
      <c r="E67" s="92">
        <f t="shared" ref="E67:F67" si="15">(26/3)*2.35</f>
        <v>20.36666667</v>
      </c>
      <c r="F67" s="92">
        <f t="shared" si="15"/>
        <v>20.36666667</v>
      </c>
      <c r="G67" s="288" t="s">
        <v>73</v>
      </c>
    </row>
    <row r="68" ht="15.0" customHeight="1">
      <c r="A68" s="224" t="s">
        <v>9383</v>
      </c>
      <c r="B68" s="224" t="s">
        <v>10064</v>
      </c>
      <c r="C68" s="82" t="s">
        <v>10098</v>
      </c>
      <c r="D68" s="83" t="s">
        <v>10046</v>
      </c>
      <c r="E68" s="92">
        <f t="shared" ref="E68:F68" si="16">(26/3)*2.35</f>
        <v>20.36666667</v>
      </c>
      <c r="F68" s="92">
        <f t="shared" si="16"/>
        <v>20.36666667</v>
      </c>
      <c r="G68" s="288" t="s">
        <v>73</v>
      </c>
    </row>
    <row r="69" ht="15.0" customHeight="1">
      <c r="A69" s="224" t="s">
        <v>9383</v>
      </c>
      <c r="B69" s="224" t="s">
        <v>10064</v>
      </c>
      <c r="C69" s="82" t="s">
        <v>10099</v>
      </c>
      <c r="D69" s="83" t="s">
        <v>10046</v>
      </c>
      <c r="E69" s="92">
        <f t="shared" ref="E69:F69" si="17">(16/3)*2.35</f>
        <v>12.53333333</v>
      </c>
      <c r="F69" s="92">
        <f t="shared" si="17"/>
        <v>12.53333333</v>
      </c>
      <c r="G69" s="288" t="s">
        <v>73</v>
      </c>
    </row>
    <row r="70" ht="15.0" customHeight="1">
      <c r="A70" s="224" t="s">
        <v>9383</v>
      </c>
      <c r="B70" s="224" t="s">
        <v>10064</v>
      </c>
      <c r="C70" s="82" t="s">
        <v>10100</v>
      </c>
      <c r="D70" s="83" t="s">
        <v>10046</v>
      </c>
      <c r="E70" s="92">
        <v>14.0</v>
      </c>
      <c r="F70" s="92">
        <f>24/3</f>
        <v>8</v>
      </c>
      <c r="G70" s="288" t="s">
        <v>73</v>
      </c>
    </row>
    <row r="71" ht="15.0" customHeight="1">
      <c r="A71" s="224" t="s">
        <v>9383</v>
      </c>
      <c r="B71" s="224" t="s">
        <v>10064</v>
      </c>
      <c r="C71" s="82" t="s">
        <v>10101</v>
      </c>
      <c r="D71" s="83" t="s">
        <v>10046</v>
      </c>
      <c r="E71" s="92">
        <f t="shared" ref="E71:F71" si="18">(45/3)*2.35</f>
        <v>35.25</v>
      </c>
      <c r="F71" s="92">
        <f t="shared" si="18"/>
        <v>35.25</v>
      </c>
      <c r="G71" s="288" t="s">
        <v>73</v>
      </c>
    </row>
    <row r="72" ht="15.0" customHeight="1">
      <c r="A72" s="224" t="s">
        <v>9383</v>
      </c>
      <c r="B72" s="224" t="s">
        <v>10064</v>
      </c>
      <c r="C72" s="82" t="s">
        <v>10102</v>
      </c>
      <c r="D72" s="83" t="s">
        <v>10072</v>
      </c>
      <c r="E72" s="92">
        <f>27/3*0.5*1.35</f>
        <v>6.075</v>
      </c>
      <c r="F72" s="92">
        <f>E72</f>
        <v>6.075</v>
      </c>
      <c r="G72" s="288" t="s">
        <v>73</v>
      </c>
    </row>
    <row r="73" ht="15.0" customHeight="1">
      <c r="A73" s="224" t="s">
        <v>9383</v>
      </c>
      <c r="B73" s="224" t="s">
        <v>10064</v>
      </c>
      <c r="C73" s="82" t="s">
        <v>10103</v>
      </c>
      <c r="D73" s="83" t="s">
        <v>10046</v>
      </c>
      <c r="E73" s="92">
        <v>37.333333333333336</v>
      </c>
      <c r="F73" s="92">
        <v>37.333333333333336</v>
      </c>
      <c r="G73" s="288" t="s">
        <v>73</v>
      </c>
    </row>
    <row r="74" ht="15.0" customHeight="1">
      <c r="A74" s="224" t="s">
        <v>9383</v>
      </c>
      <c r="B74" s="224" t="s">
        <v>10064</v>
      </c>
      <c r="C74" s="82" t="s">
        <v>10104</v>
      </c>
      <c r="D74" s="83" t="s">
        <v>10046</v>
      </c>
      <c r="E74" s="92">
        <v>18.0</v>
      </c>
      <c r="F74" s="92">
        <v>18.0</v>
      </c>
      <c r="G74" s="288" t="s">
        <v>73</v>
      </c>
    </row>
    <row r="75" ht="15.0" customHeight="1">
      <c r="A75" s="224" t="s">
        <v>9383</v>
      </c>
      <c r="B75" s="224" t="s">
        <v>10064</v>
      </c>
      <c r="C75" s="82" t="s">
        <v>10105</v>
      </c>
      <c r="D75" s="83" t="s">
        <v>10046</v>
      </c>
      <c r="E75" s="92">
        <f>15/3*2</f>
        <v>10</v>
      </c>
      <c r="F75" s="92">
        <f>E75</f>
        <v>10</v>
      </c>
      <c r="G75" s="288" t="s">
        <v>73</v>
      </c>
    </row>
    <row r="76" ht="15.0" customHeight="1">
      <c r="A76" s="224" t="s">
        <v>9383</v>
      </c>
      <c r="B76" s="224" t="s">
        <v>10064</v>
      </c>
      <c r="C76" s="82" t="s">
        <v>10106</v>
      </c>
      <c r="D76" s="83" t="s">
        <v>10046</v>
      </c>
      <c r="E76" s="92">
        <v>6.66666666666667</v>
      </c>
      <c r="F76" s="92">
        <v>6.66666666666667</v>
      </c>
      <c r="G76" s="288" t="s">
        <v>73</v>
      </c>
    </row>
    <row r="77" ht="15.0" customHeight="1">
      <c r="A77" s="224" t="s">
        <v>9383</v>
      </c>
      <c r="B77" s="224" t="s">
        <v>10064</v>
      </c>
      <c r="C77" s="82" t="s">
        <v>10107</v>
      </c>
      <c r="D77" s="83" t="s">
        <v>10046</v>
      </c>
      <c r="E77" s="92">
        <f>13/3*2</f>
        <v>8.666666667</v>
      </c>
      <c r="F77" s="92">
        <f>E77</f>
        <v>8.666666667</v>
      </c>
      <c r="G77" s="288" t="s">
        <v>73</v>
      </c>
    </row>
    <row r="78" ht="15.0" customHeight="1">
      <c r="A78" s="224" t="s">
        <v>9383</v>
      </c>
      <c r="B78" s="224" t="s">
        <v>10064</v>
      </c>
      <c r="C78" s="82" t="s">
        <v>10108</v>
      </c>
      <c r="D78" s="83" t="s">
        <v>10046</v>
      </c>
      <c r="E78" s="92">
        <v>16.0</v>
      </c>
      <c r="F78" s="92">
        <f>16/3*3</f>
        <v>16</v>
      </c>
      <c r="G78" s="288" t="s">
        <v>73</v>
      </c>
    </row>
    <row r="79" ht="15.0" customHeight="1">
      <c r="A79" s="514" t="s">
        <v>58</v>
      </c>
      <c r="B79" s="514" t="s">
        <v>10064</v>
      </c>
      <c r="C79" s="515" t="s">
        <v>10109</v>
      </c>
      <c r="D79" s="516" t="s">
        <v>10046</v>
      </c>
      <c r="E79" s="517">
        <f t="shared" ref="E79:E80" si="19">30/3</f>
        <v>10</v>
      </c>
      <c r="F79" s="517">
        <f t="shared" ref="F79:F96" si="20">E79</f>
        <v>10</v>
      </c>
      <c r="G79" s="288" t="s">
        <v>58</v>
      </c>
    </row>
    <row r="80" ht="15.0" customHeight="1">
      <c r="A80" s="514" t="s">
        <v>58</v>
      </c>
      <c r="B80" s="514" t="s">
        <v>10064</v>
      </c>
      <c r="C80" s="515" t="s">
        <v>10110</v>
      </c>
      <c r="D80" s="516" t="s">
        <v>10046</v>
      </c>
      <c r="E80" s="517">
        <f t="shared" si="19"/>
        <v>10</v>
      </c>
      <c r="F80" s="517">
        <f t="shared" si="20"/>
        <v>10</v>
      </c>
      <c r="G80" s="288" t="s">
        <v>58</v>
      </c>
    </row>
    <row r="81" ht="15.0" customHeight="1">
      <c r="A81" s="514" t="s">
        <v>58</v>
      </c>
      <c r="B81" s="514" t="s">
        <v>10064</v>
      </c>
      <c r="C81" s="515" t="s">
        <v>10111</v>
      </c>
      <c r="D81" s="516" t="s">
        <v>10046</v>
      </c>
      <c r="E81" s="517">
        <f>30/12</f>
        <v>2.5</v>
      </c>
      <c r="F81" s="517">
        <f t="shared" si="20"/>
        <v>2.5</v>
      </c>
      <c r="G81" s="288" t="s">
        <v>58</v>
      </c>
    </row>
    <row r="82" ht="15.0" customHeight="1">
      <c r="A82" s="514" t="s">
        <v>58</v>
      </c>
      <c r="B82" s="514" t="s">
        <v>10064</v>
      </c>
      <c r="C82" s="515" t="s">
        <v>10112</v>
      </c>
      <c r="D82" s="516" t="s">
        <v>10046</v>
      </c>
      <c r="E82" s="517">
        <f t="shared" ref="E82:E83" si="21">26/3</f>
        <v>8.666666667</v>
      </c>
      <c r="F82" s="517">
        <f t="shared" si="20"/>
        <v>8.666666667</v>
      </c>
      <c r="G82" s="288" t="s">
        <v>58</v>
      </c>
    </row>
    <row r="83" ht="15.0" customHeight="1">
      <c r="A83" s="483" t="s">
        <v>58</v>
      </c>
      <c r="B83" s="483" t="s">
        <v>10064</v>
      </c>
      <c r="C83" s="100" t="s">
        <v>10113</v>
      </c>
      <c r="D83" s="156" t="s">
        <v>10046</v>
      </c>
      <c r="E83" s="517">
        <f t="shared" si="21"/>
        <v>8.666666667</v>
      </c>
      <c r="F83" s="151">
        <f t="shared" si="20"/>
        <v>8.666666667</v>
      </c>
      <c r="G83" s="288" t="s">
        <v>58</v>
      </c>
    </row>
    <row r="84" ht="15.0" customHeight="1">
      <c r="A84" s="483" t="s">
        <v>58</v>
      </c>
      <c r="B84" s="483" t="s">
        <v>10064</v>
      </c>
      <c r="C84" s="100" t="s">
        <v>10114</v>
      </c>
      <c r="D84" s="156" t="s">
        <v>10046</v>
      </c>
      <c r="E84" s="517">
        <f>26/12</f>
        <v>2.166666667</v>
      </c>
      <c r="F84" s="151">
        <f t="shared" si="20"/>
        <v>2.166666667</v>
      </c>
      <c r="G84" s="288" t="s">
        <v>58</v>
      </c>
    </row>
    <row r="85" ht="15.0" customHeight="1">
      <c r="A85" s="483" t="s">
        <v>58</v>
      </c>
      <c r="B85" s="483" t="s">
        <v>10064</v>
      </c>
      <c r="C85" s="100" t="s">
        <v>10115</v>
      </c>
      <c r="D85" s="156" t="s">
        <v>10046</v>
      </c>
      <c r="E85" s="151">
        <f t="shared" ref="E85:E86" si="22">16/3</f>
        <v>5.333333333</v>
      </c>
      <c r="F85" s="151">
        <f t="shared" si="20"/>
        <v>5.333333333</v>
      </c>
      <c r="G85" s="288" t="s">
        <v>58</v>
      </c>
    </row>
    <row r="86" ht="15.0" customHeight="1">
      <c r="A86" s="483" t="s">
        <v>58</v>
      </c>
      <c r="B86" s="483" t="s">
        <v>10064</v>
      </c>
      <c r="C86" s="100" t="s">
        <v>10116</v>
      </c>
      <c r="D86" s="156" t="s">
        <v>10046</v>
      </c>
      <c r="E86" s="151">
        <f t="shared" si="22"/>
        <v>5.333333333</v>
      </c>
      <c r="F86" s="151">
        <f t="shared" si="20"/>
        <v>5.333333333</v>
      </c>
      <c r="G86" s="288" t="s">
        <v>58</v>
      </c>
    </row>
    <row r="87" ht="15.0" customHeight="1">
      <c r="A87" s="483" t="s">
        <v>58</v>
      </c>
      <c r="B87" s="483" t="s">
        <v>10064</v>
      </c>
      <c r="C87" s="100" t="s">
        <v>10117</v>
      </c>
      <c r="D87" s="156" t="s">
        <v>10046</v>
      </c>
      <c r="E87" s="517">
        <f>16/12</f>
        <v>1.333333333</v>
      </c>
      <c r="F87" s="151">
        <f t="shared" si="20"/>
        <v>1.333333333</v>
      </c>
      <c r="G87" s="288" t="s">
        <v>58</v>
      </c>
    </row>
    <row r="88" ht="15.0" customHeight="1">
      <c r="A88" s="483" t="s">
        <v>58</v>
      </c>
      <c r="B88" s="483" t="s">
        <v>10064</v>
      </c>
      <c r="C88" s="100" t="s">
        <v>10118</v>
      </c>
      <c r="D88" s="156" t="s">
        <v>10046</v>
      </c>
      <c r="E88" s="151">
        <f t="shared" ref="E88:E89" si="23">35/3</f>
        <v>11.66666667</v>
      </c>
      <c r="F88" s="151">
        <f t="shared" si="20"/>
        <v>11.66666667</v>
      </c>
      <c r="G88" s="288" t="s">
        <v>58</v>
      </c>
    </row>
    <row r="89" ht="15.0" customHeight="1">
      <c r="A89" s="483" t="s">
        <v>58</v>
      </c>
      <c r="B89" s="483" t="s">
        <v>10064</v>
      </c>
      <c r="C89" s="100" t="s">
        <v>10119</v>
      </c>
      <c r="D89" s="156" t="s">
        <v>10046</v>
      </c>
      <c r="E89" s="151">
        <f t="shared" si="23"/>
        <v>11.66666667</v>
      </c>
      <c r="F89" s="151">
        <f t="shared" si="20"/>
        <v>11.66666667</v>
      </c>
      <c r="G89" s="288" t="s">
        <v>58</v>
      </c>
    </row>
    <row r="90" ht="15.0" customHeight="1">
      <c r="A90" s="483" t="s">
        <v>58</v>
      </c>
      <c r="B90" s="483" t="s">
        <v>10064</v>
      </c>
      <c r="C90" s="100" t="s">
        <v>10120</v>
      </c>
      <c r="D90" s="156" t="s">
        <v>10046</v>
      </c>
      <c r="E90" s="151">
        <f>35/12</f>
        <v>2.916666667</v>
      </c>
      <c r="F90" s="151">
        <f t="shared" si="20"/>
        <v>2.916666667</v>
      </c>
      <c r="G90" s="288" t="s">
        <v>58</v>
      </c>
    </row>
    <row r="91" ht="15.0" customHeight="1">
      <c r="A91" s="483" t="s">
        <v>58</v>
      </c>
      <c r="B91" s="483" t="s">
        <v>10064</v>
      </c>
      <c r="C91" s="100" t="s">
        <v>10121</v>
      </c>
      <c r="D91" s="156" t="s">
        <v>10046</v>
      </c>
      <c r="E91" s="151">
        <f>12/3</f>
        <v>4</v>
      </c>
      <c r="F91" s="151">
        <f t="shared" si="20"/>
        <v>4</v>
      </c>
      <c r="G91" s="288" t="s">
        <v>58</v>
      </c>
    </row>
    <row r="92" ht="15.0" customHeight="1">
      <c r="A92" s="483" t="s">
        <v>58</v>
      </c>
      <c r="B92" s="483" t="s">
        <v>10064</v>
      </c>
      <c r="C92" s="100" t="s">
        <v>10122</v>
      </c>
      <c r="D92" s="156" t="s">
        <v>10046</v>
      </c>
      <c r="E92" s="151">
        <f>27*2/3</f>
        <v>18</v>
      </c>
      <c r="F92" s="151">
        <f t="shared" si="20"/>
        <v>18</v>
      </c>
      <c r="G92" s="288" t="s">
        <v>58</v>
      </c>
    </row>
    <row r="93" ht="15.0" customHeight="1">
      <c r="A93" s="483" t="s">
        <v>58</v>
      </c>
      <c r="B93" s="483" t="s">
        <v>10064</v>
      </c>
      <c r="C93" s="100" t="s">
        <v>10123</v>
      </c>
      <c r="D93" s="156" t="s">
        <v>10046</v>
      </c>
      <c r="E93" s="151">
        <f>1*2/3</f>
        <v>0.6666666667</v>
      </c>
      <c r="F93" s="151">
        <f t="shared" si="20"/>
        <v>0.6666666667</v>
      </c>
      <c r="G93" s="288" t="s">
        <v>58</v>
      </c>
    </row>
    <row r="94" ht="15.0" customHeight="1">
      <c r="A94" s="483" t="s">
        <v>58</v>
      </c>
      <c r="B94" s="483" t="s">
        <v>10064</v>
      </c>
      <c r="C94" s="100" t="s">
        <v>10124</v>
      </c>
      <c r="D94" s="156" t="s">
        <v>10046</v>
      </c>
      <c r="E94" s="151">
        <f>38*2/3</f>
        <v>25.33333333</v>
      </c>
      <c r="F94" s="151">
        <f t="shared" si="20"/>
        <v>25.33333333</v>
      </c>
      <c r="G94" s="288" t="s">
        <v>58</v>
      </c>
    </row>
    <row r="95" ht="15.0" customHeight="1">
      <c r="A95" s="483" t="s">
        <v>58</v>
      </c>
      <c r="B95" s="483" t="s">
        <v>10064</v>
      </c>
      <c r="C95" s="100" t="s">
        <v>10125</v>
      </c>
      <c r="D95" s="156" t="s">
        <v>10046</v>
      </c>
      <c r="E95" s="151">
        <f>15*3/3</f>
        <v>15</v>
      </c>
      <c r="F95" s="151">
        <f t="shared" si="20"/>
        <v>15</v>
      </c>
      <c r="G95" s="288" t="s">
        <v>58</v>
      </c>
    </row>
    <row r="96" ht="15.0" customHeight="1">
      <c r="A96" s="483" t="s">
        <v>58</v>
      </c>
      <c r="B96" s="483" t="s">
        <v>10064</v>
      </c>
      <c r="C96" s="100" t="s">
        <v>10126</v>
      </c>
      <c r="D96" s="156" t="s">
        <v>10046</v>
      </c>
      <c r="E96" s="151">
        <f>18*3/3</f>
        <v>18</v>
      </c>
      <c r="F96" s="151">
        <f t="shared" si="20"/>
        <v>18</v>
      </c>
      <c r="G96" s="288" t="s">
        <v>58</v>
      </c>
    </row>
    <row r="97" ht="15.0" customHeight="1">
      <c r="A97" s="224" t="s">
        <v>75</v>
      </c>
      <c r="B97" s="224" t="s">
        <v>52</v>
      </c>
      <c r="C97" s="82" t="s">
        <v>10127</v>
      </c>
      <c r="D97" s="83" t="s">
        <v>10046</v>
      </c>
      <c r="E97" s="92">
        <v>5.0</v>
      </c>
      <c r="F97" s="92">
        <v>5.0</v>
      </c>
      <c r="G97" s="288" t="s">
        <v>75</v>
      </c>
    </row>
    <row r="98" ht="15.0" customHeight="1">
      <c r="A98" s="224" t="s">
        <v>75</v>
      </c>
      <c r="B98" s="224" t="s">
        <v>52</v>
      </c>
      <c r="C98" s="82" t="s">
        <v>10128</v>
      </c>
      <c r="D98" s="83" t="s">
        <v>10046</v>
      </c>
      <c r="E98" s="92">
        <v>5.0</v>
      </c>
      <c r="F98" s="92">
        <v>5.0</v>
      </c>
      <c r="G98" s="288" t="s">
        <v>75</v>
      </c>
    </row>
    <row r="99" ht="15.0" customHeight="1">
      <c r="A99" s="224" t="s">
        <v>75</v>
      </c>
      <c r="B99" s="224" t="s">
        <v>52</v>
      </c>
      <c r="C99" s="82" t="s">
        <v>10129</v>
      </c>
      <c r="D99" s="83" t="s">
        <v>10046</v>
      </c>
      <c r="E99" s="92">
        <v>1.25</v>
      </c>
      <c r="F99" s="92">
        <v>1.25</v>
      </c>
      <c r="G99" s="288" t="s">
        <v>75</v>
      </c>
    </row>
    <row r="100" ht="15.0" customHeight="1">
      <c r="A100" s="224" t="s">
        <v>75</v>
      </c>
      <c r="B100" s="224" t="s">
        <v>52</v>
      </c>
      <c r="C100" s="82" t="s">
        <v>10130</v>
      </c>
      <c r="D100" s="83" t="s">
        <v>10046</v>
      </c>
      <c r="E100" s="92">
        <v>0.5</v>
      </c>
      <c r="F100" s="92">
        <v>0.5</v>
      </c>
      <c r="G100" s="288" t="s">
        <v>75</v>
      </c>
    </row>
    <row r="101" ht="15.0" customHeight="1">
      <c r="A101" s="224" t="s">
        <v>75</v>
      </c>
      <c r="B101" s="224" t="s">
        <v>52</v>
      </c>
      <c r="C101" s="82" t="s">
        <v>10131</v>
      </c>
      <c r="D101" s="83" t="s">
        <v>10046</v>
      </c>
      <c r="E101" s="92">
        <v>5.0</v>
      </c>
      <c r="F101" s="92">
        <v>5.0</v>
      </c>
      <c r="G101" s="288" t="s">
        <v>75</v>
      </c>
    </row>
    <row r="102" ht="15.0" customHeight="1">
      <c r="A102" s="224" t="s">
        <v>75</v>
      </c>
      <c r="B102" s="224" t="s">
        <v>52</v>
      </c>
      <c r="C102" s="82" t="s">
        <v>10132</v>
      </c>
      <c r="D102" s="83" t="s">
        <v>10046</v>
      </c>
      <c r="E102" s="92">
        <v>7.33</v>
      </c>
      <c r="F102" s="92">
        <v>7.33</v>
      </c>
      <c r="G102" s="288" t="s">
        <v>75</v>
      </c>
    </row>
    <row r="103" ht="15.0" customHeight="1">
      <c r="A103" s="224" t="s">
        <v>75</v>
      </c>
      <c r="B103" s="224" t="s">
        <v>52</v>
      </c>
      <c r="C103" s="82" t="s">
        <v>10133</v>
      </c>
      <c r="D103" s="83" t="s">
        <v>10046</v>
      </c>
      <c r="E103" s="92">
        <v>7.33</v>
      </c>
      <c r="F103" s="92">
        <v>7.33</v>
      </c>
      <c r="G103" s="288" t="s">
        <v>75</v>
      </c>
    </row>
    <row r="104" ht="15.0" customHeight="1">
      <c r="A104" s="224" t="s">
        <v>75</v>
      </c>
      <c r="B104" s="224" t="s">
        <v>52</v>
      </c>
      <c r="C104" s="82" t="s">
        <v>10134</v>
      </c>
      <c r="D104" s="83" t="s">
        <v>10135</v>
      </c>
      <c r="E104" s="92">
        <v>7.33</v>
      </c>
      <c r="F104" s="92">
        <v>7.33</v>
      </c>
      <c r="G104" s="288" t="s">
        <v>75</v>
      </c>
    </row>
    <row r="105" ht="15.0" customHeight="1">
      <c r="A105" s="224" t="s">
        <v>75</v>
      </c>
      <c r="B105" s="224" t="s">
        <v>52</v>
      </c>
      <c r="C105" s="82" t="s">
        <v>10136</v>
      </c>
      <c r="D105" s="83" t="s">
        <v>10046</v>
      </c>
      <c r="E105" s="92">
        <v>1.83</v>
      </c>
      <c r="F105" s="92">
        <v>1.83</v>
      </c>
      <c r="G105" s="288" t="s">
        <v>75</v>
      </c>
    </row>
    <row r="106" ht="15.0" customHeight="1">
      <c r="A106" s="224" t="s">
        <v>75</v>
      </c>
      <c r="B106" s="224" t="s">
        <v>52</v>
      </c>
      <c r="C106" s="82" t="s">
        <v>10137</v>
      </c>
      <c r="D106" s="83" t="s">
        <v>10046</v>
      </c>
      <c r="E106" s="92">
        <v>0.73</v>
      </c>
      <c r="F106" s="92">
        <v>0.73</v>
      </c>
      <c r="G106" s="288" t="s">
        <v>75</v>
      </c>
    </row>
    <row r="107" ht="15.0" customHeight="1">
      <c r="A107" s="224" t="s">
        <v>75</v>
      </c>
      <c r="B107" s="224" t="s">
        <v>52</v>
      </c>
      <c r="C107" s="82" t="s">
        <v>10138</v>
      </c>
      <c r="D107" s="83" t="s">
        <v>10072</v>
      </c>
      <c r="E107" s="92">
        <v>17.66</v>
      </c>
      <c r="F107" s="92">
        <v>17.66</v>
      </c>
      <c r="G107" s="288" t="s">
        <v>75</v>
      </c>
    </row>
    <row r="108" ht="15.0" customHeight="1">
      <c r="A108" s="224" t="s">
        <v>75</v>
      </c>
      <c r="B108" s="224" t="s">
        <v>52</v>
      </c>
      <c r="C108" s="82" t="s">
        <v>10139</v>
      </c>
      <c r="D108" s="83" t="s">
        <v>10072</v>
      </c>
      <c r="E108" s="92">
        <v>17.66</v>
      </c>
      <c r="F108" s="92">
        <v>17.66</v>
      </c>
      <c r="G108" s="288" t="s">
        <v>75</v>
      </c>
    </row>
    <row r="109" ht="15.0" customHeight="1">
      <c r="A109" s="224" t="s">
        <v>75</v>
      </c>
      <c r="B109" s="224" t="s">
        <v>52</v>
      </c>
      <c r="C109" s="82" t="s">
        <v>10140</v>
      </c>
      <c r="D109" s="83" t="s">
        <v>10072</v>
      </c>
      <c r="E109" s="92">
        <v>4.33</v>
      </c>
      <c r="F109" s="92">
        <v>4.33</v>
      </c>
      <c r="G109" s="288" t="s">
        <v>75</v>
      </c>
    </row>
    <row r="110" ht="15.0" customHeight="1">
      <c r="A110" s="224" t="s">
        <v>75</v>
      </c>
      <c r="B110" s="224" t="s">
        <v>52</v>
      </c>
      <c r="C110" s="82" t="s">
        <v>10141</v>
      </c>
      <c r="D110" s="83" t="s">
        <v>10072</v>
      </c>
      <c r="E110" s="92">
        <v>2.16</v>
      </c>
      <c r="F110" s="92">
        <v>2.16</v>
      </c>
      <c r="G110" s="288" t="s">
        <v>75</v>
      </c>
    </row>
    <row r="111" ht="15.0" customHeight="1">
      <c r="A111" s="224" t="s">
        <v>75</v>
      </c>
      <c r="B111" s="224" t="s">
        <v>52</v>
      </c>
      <c r="C111" s="82" t="s">
        <v>10142</v>
      </c>
      <c r="D111" s="83" t="s">
        <v>10046</v>
      </c>
      <c r="E111" s="92">
        <v>2.33</v>
      </c>
      <c r="F111" s="92">
        <v>2.33</v>
      </c>
      <c r="G111" s="288" t="s">
        <v>75</v>
      </c>
    </row>
    <row r="112" ht="15.0" customHeight="1">
      <c r="A112" s="224" t="s">
        <v>75</v>
      </c>
      <c r="B112" s="224" t="s">
        <v>52</v>
      </c>
      <c r="C112" s="82" t="s">
        <v>10143</v>
      </c>
      <c r="D112" s="83" t="s">
        <v>10046</v>
      </c>
      <c r="E112" s="92">
        <v>2.33</v>
      </c>
      <c r="F112" s="92">
        <v>2.33</v>
      </c>
      <c r="G112" s="288" t="s">
        <v>75</v>
      </c>
    </row>
    <row r="113" ht="15.0" customHeight="1">
      <c r="A113" s="224" t="s">
        <v>75</v>
      </c>
      <c r="B113" s="224" t="s">
        <v>52</v>
      </c>
      <c r="C113" s="82" t="s">
        <v>10144</v>
      </c>
      <c r="D113" s="83" t="s">
        <v>10046</v>
      </c>
      <c r="E113" s="92">
        <v>0.58</v>
      </c>
      <c r="F113" s="92">
        <v>0.58</v>
      </c>
      <c r="G113" s="288" t="s">
        <v>75</v>
      </c>
    </row>
    <row r="114" ht="15.0" customHeight="1">
      <c r="A114" s="224" t="s">
        <v>75</v>
      </c>
      <c r="B114" s="224" t="s">
        <v>52</v>
      </c>
      <c r="C114" s="82" t="s">
        <v>10145</v>
      </c>
      <c r="D114" s="83" t="s">
        <v>10046</v>
      </c>
      <c r="E114" s="92">
        <v>0.23</v>
      </c>
      <c r="F114" s="92">
        <v>0.23</v>
      </c>
      <c r="G114" s="288" t="s">
        <v>75</v>
      </c>
    </row>
    <row r="115" ht="15.0" customHeight="1">
      <c r="A115" s="224" t="s">
        <v>75</v>
      </c>
      <c r="B115" s="224" t="s">
        <v>52</v>
      </c>
      <c r="C115" s="82" t="s">
        <v>10146</v>
      </c>
      <c r="D115" s="83" t="s">
        <v>10046</v>
      </c>
      <c r="E115" s="92">
        <v>2.33</v>
      </c>
      <c r="F115" s="92">
        <v>2.33</v>
      </c>
      <c r="G115" s="288" t="s">
        <v>75</v>
      </c>
    </row>
    <row r="116" ht="15.0" customHeight="1">
      <c r="A116" s="224" t="s">
        <v>75</v>
      </c>
      <c r="B116" s="224" t="s">
        <v>52</v>
      </c>
      <c r="C116" s="82" t="s">
        <v>10147</v>
      </c>
      <c r="D116" s="83" t="s">
        <v>10046</v>
      </c>
      <c r="E116" s="92">
        <v>8.0</v>
      </c>
      <c r="F116" s="92">
        <v>8.0</v>
      </c>
      <c r="G116" s="288" t="s">
        <v>75</v>
      </c>
    </row>
    <row r="117" ht="15.0" customHeight="1">
      <c r="A117" s="224" t="s">
        <v>75</v>
      </c>
      <c r="B117" s="224" t="s">
        <v>52</v>
      </c>
      <c r="C117" s="82" t="s">
        <v>10148</v>
      </c>
      <c r="D117" s="83" t="s">
        <v>10046</v>
      </c>
      <c r="E117" s="92">
        <v>8.66</v>
      </c>
      <c r="F117" s="92">
        <v>8.66</v>
      </c>
      <c r="G117" s="288" t="s">
        <v>75</v>
      </c>
    </row>
    <row r="118" ht="15.0" customHeight="1">
      <c r="A118" s="224" t="s">
        <v>75</v>
      </c>
      <c r="B118" s="224" t="s">
        <v>52</v>
      </c>
      <c r="C118" s="82" t="s">
        <v>10149</v>
      </c>
      <c r="D118" s="83" t="s">
        <v>10046</v>
      </c>
      <c r="E118" s="92">
        <v>1.33</v>
      </c>
      <c r="F118" s="92">
        <v>1.33</v>
      </c>
      <c r="G118" s="288" t="s">
        <v>75</v>
      </c>
    </row>
    <row r="119" ht="15.0" customHeight="1">
      <c r="A119" s="224" t="s">
        <v>9203</v>
      </c>
      <c r="B119" s="224" t="s">
        <v>52</v>
      </c>
      <c r="C119" s="518" t="s">
        <v>10150</v>
      </c>
      <c r="D119" s="83" t="s">
        <v>10046</v>
      </c>
      <c r="E119" s="461">
        <f>6/3</f>
        <v>2</v>
      </c>
      <c r="F119" s="162">
        <f t="shared" ref="F119:F179" si="24">E119</f>
        <v>2</v>
      </c>
      <c r="G119" s="288" t="s">
        <v>1764</v>
      </c>
    </row>
    <row r="120" ht="15.0" customHeight="1">
      <c r="A120" s="224" t="s">
        <v>9203</v>
      </c>
      <c r="B120" s="224" t="s">
        <v>52</v>
      </c>
      <c r="C120" s="518" t="s">
        <v>10151</v>
      </c>
      <c r="D120" s="83" t="s">
        <v>10046</v>
      </c>
      <c r="E120" s="461">
        <f>22/3</f>
        <v>7.333333333</v>
      </c>
      <c r="F120" s="162">
        <f t="shared" si="24"/>
        <v>7.333333333</v>
      </c>
      <c r="G120" s="288" t="s">
        <v>1764</v>
      </c>
    </row>
    <row r="121" ht="15.0" customHeight="1">
      <c r="A121" s="224" t="s">
        <v>9203</v>
      </c>
      <c r="B121" s="224" t="s">
        <v>52</v>
      </c>
      <c r="C121" s="518" t="s">
        <v>10152</v>
      </c>
      <c r="D121" s="83" t="s">
        <v>10046</v>
      </c>
      <c r="E121" s="461">
        <f t="shared" ref="E121:E127" si="25">6/3</f>
        <v>2</v>
      </c>
      <c r="F121" s="162">
        <f t="shared" si="24"/>
        <v>2</v>
      </c>
      <c r="G121" s="288" t="s">
        <v>1764</v>
      </c>
    </row>
    <row r="122" ht="15.0" customHeight="1">
      <c r="A122" s="224" t="s">
        <v>9203</v>
      </c>
      <c r="B122" s="224" t="s">
        <v>52</v>
      </c>
      <c r="C122" s="518" t="s">
        <v>10153</v>
      </c>
      <c r="D122" s="83" t="s">
        <v>10046</v>
      </c>
      <c r="E122" s="461">
        <f t="shared" si="25"/>
        <v>2</v>
      </c>
      <c r="F122" s="162">
        <f t="shared" si="24"/>
        <v>2</v>
      </c>
      <c r="G122" s="288" t="s">
        <v>1764</v>
      </c>
    </row>
    <row r="123" ht="15.0" customHeight="1">
      <c r="A123" s="224" t="s">
        <v>9203</v>
      </c>
      <c r="B123" s="224" t="s">
        <v>52</v>
      </c>
      <c r="C123" s="518" t="s">
        <v>10154</v>
      </c>
      <c r="D123" s="83" t="s">
        <v>10046</v>
      </c>
      <c r="E123" s="461">
        <f t="shared" si="25"/>
        <v>2</v>
      </c>
      <c r="F123" s="162">
        <f t="shared" si="24"/>
        <v>2</v>
      </c>
      <c r="G123" s="288" t="s">
        <v>1764</v>
      </c>
    </row>
    <row r="124" ht="15.0" customHeight="1">
      <c r="A124" s="224" t="s">
        <v>9203</v>
      </c>
      <c r="B124" s="224" t="s">
        <v>52</v>
      </c>
      <c r="C124" s="518" t="s">
        <v>10155</v>
      </c>
      <c r="D124" s="83" t="s">
        <v>10046</v>
      </c>
      <c r="E124" s="461">
        <f t="shared" si="25"/>
        <v>2</v>
      </c>
      <c r="F124" s="162">
        <f t="shared" si="24"/>
        <v>2</v>
      </c>
      <c r="G124" s="288" t="s">
        <v>1764</v>
      </c>
    </row>
    <row r="125" ht="15.0" customHeight="1">
      <c r="A125" s="224" t="s">
        <v>9203</v>
      </c>
      <c r="B125" s="224" t="s">
        <v>52</v>
      </c>
      <c r="C125" s="518" t="s">
        <v>10156</v>
      </c>
      <c r="D125" s="83" t="s">
        <v>10046</v>
      </c>
      <c r="E125" s="461">
        <f t="shared" si="25"/>
        <v>2</v>
      </c>
      <c r="F125" s="162">
        <f t="shared" si="24"/>
        <v>2</v>
      </c>
      <c r="G125" s="288" t="s">
        <v>1764</v>
      </c>
    </row>
    <row r="126" ht="15.0" customHeight="1">
      <c r="A126" s="224" t="s">
        <v>9203</v>
      </c>
      <c r="B126" s="224" t="s">
        <v>52</v>
      </c>
      <c r="C126" s="518" t="s">
        <v>10157</v>
      </c>
      <c r="D126" s="83" t="s">
        <v>10046</v>
      </c>
      <c r="E126" s="461">
        <f t="shared" si="25"/>
        <v>2</v>
      </c>
      <c r="F126" s="162">
        <f t="shared" si="24"/>
        <v>2</v>
      </c>
      <c r="G126" s="288" t="s">
        <v>1764</v>
      </c>
    </row>
    <row r="127" ht="15.0" customHeight="1">
      <c r="A127" s="224" t="s">
        <v>9203</v>
      </c>
      <c r="B127" s="224" t="s">
        <v>52</v>
      </c>
      <c r="C127" s="473" t="s">
        <v>10158</v>
      </c>
      <c r="D127" s="83" t="s">
        <v>10046</v>
      </c>
      <c r="E127" s="461">
        <f t="shared" si="25"/>
        <v>2</v>
      </c>
      <c r="F127" s="300">
        <f t="shared" si="24"/>
        <v>2</v>
      </c>
      <c r="G127" s="288" t="s">
        <v>1764</v>
      </c>
    </row>
    <row r="128" ht="15.0" customHeight="1">
      <c r="A128" s="224" t="s">
        <v>9203</v>
      </c>
      <c r="B128" s="224" t="s">
        <v>52</v>
      </c>
      <c r="C128" s="473" t="s">
        <v>10159</v>
      </c>
      <c r="D128" s="83" t="s">
        <v>10046</v>
      </c>
      <c r="E128" s="461">
        <f t="shared" ref="E128:E130" si="26">15/3</f>
        <v>5</v>
      </c>
      <c r="F128" s="300">
        <f t="shared" si="24"/>
        <v>5</v>
      </c>
      <c r="G128" s="288" t="s">
        <v>1764</v>
      </c>
    </row>
    <row r="129" ht="15.0" customHeight="1">
      <c r="A129" s="224" t="s">
        <v>9203</v>
      </c>
      <c r="B129" s="224" t="s">
        <v>52</v>
      </c>
      <c r="C129" s="473" t="s">
        <v>10160</v>
      </c>
      <c r="D129" s="83" t="s">
        <v>10046</v>
      </c>
      <c r="E129" s="461">
        <f t="shared" si="26"/>
        <v>5</v>
      </c>
      <c r="F129" s="300">
        <f t="shared" si="24"/>
        <v>5</v>
      </c>
      <c r="G129" s="288" t="s">
        <v>1764</v>
      </c>
    </row>
    <row r="130" ht="15.0" customHeight="1">
      <c r="A130" s="224" t="s">
        <v>9203</v>
      </c>
      <c r="B130" s="224" t="s">
        <v>52</v>
      </c>
      <c r="C130" s="473" t="s">
        <v>10161</v>
      </c>
      <c r="D130" s="83" t="s">
        <v>10046</v>
      </c>
      <c r="E130" s="461">
        <f t="shared" si="26"/>
        <v>5</v>
      </c>
      <c r="F130" s="300">
        <f t="shared" si="24"/>
        <v>5</v>
      </c>
      <c r="G130" s="288" t="s">
        <v>1764</v>
      </c>
    </row>
    <row r="131" ht="15.0" customHeight="1">
      <c r="A131" s="224" t="s">
        <v>9203</v>
      </c>
      <c r="B131" s="224" t="s">
        <v>52</v>
      </c>
      <c r="C131" s="473" t="s">
        <v>10162</v>
      </c>
      <c r="D131" s="83" t="s">
        <v>10046</v>
      </c>
      <c r="E131" s="461">
        <f t="shared" ref="E131:E132" si="27">22/3</f>
        <v>7.333333333</v>
      </c>
      <c r="F131" s="300">
        <f t="shared" si="24"/>
        <v>7.333333333</v>
      </c>
      <c r="G131" s="288" t="s">
        <v>1764</v>
      </c>
    </row>
    <row r="132" ht="15.0" customHeight="1">
      <c r="A132" s="224" t="s">
        <v>9203</v>
      </c>
      <c r="B132" s="224" t="s">
        <v>52</v>
      </c>
      <c r="C132" s="473" t="s">
        <v>10163</v>
      </c>
      <c r="D132" s="83" t="s">
        <v>10046</v>
      </c>
      <c r="E132" s="461">
        <f t="shared" si="27"/>
        <v>7.333333333</v>
      </c>
      <c r="F132" s="289">
        <f t="shared" si="24"/>
        <v>7.333333333</v>
      </c>
      <c r="G132" s="288" t="s">
        <v>1764</v>
      </c>
    </row>
    <row r="133" ht="15.0" customHeight="1">
      <c r="A133" s="224" t="s">
        <v>9203</v>
      </c>
      <c r="B133" s="224" t="s">
        <v>52</v>
      </c>
      <c r="C133" s="518" t="s">
        <v>10164</v>
      </c>
      <c r="D133" s="83" t="s">
        <v>10046</v>
      </c>
      <c r="E133" s="461">
        <f t="shared" ref="E133:E135" si="28">2/3</f>
        <v>0.6666666667</v>
      </c>
      <c r="F133" s="162">
        <f t="shared" si="24"/>
        <v>0.6666666667</v>
      </c>
      <c r="G133" s="288" t="s">
        <v>1764</v>
      </c>
    </row>
    <row r="134" ht="15.0" customHeight="1">
      <c r="A134" s="224" t="s">
        <v>9203</v>
      </c>
      <c r="B134" s="224" t="s">
        <v>52</v>
      </c>
      <c r="C134" s="518" t="s">
        <v>10165</v>
      </c>
      <c r="D134" s="83" t="s">
        <v>10046</v>
      </c>
      <c r="E134" s="461">
        <f t="shared" si="28"/>
        <v>0.6666666667</v>
      </c>
      <c r="F134" s="162">
        <f t="shared" si="24"/>
        <v>0.6666666667</v>
      </c>
      <c r="G134" s="288" t="s">
        <v>1764</v>
      </c>
    </row>
    <row r="135" ht="15.0" customHeight="1">
      <c r="A135" s="224" t="s">
        <v>9203</v>
      </c>
      <c r="B135" s="519" t="s">
        <v>52</v>
      </c>
      <c r="C135" s="473" t="s">
        <v>10166</v>
      </c>
      <c r="D135" s="493" t="s">
        <v>10046</v>
      </c>
      <c r="E135" s="461">
        <f t="shared" si="28"/>
        <v>0.6666666667</v>
      </c>
      <c r="F135" s="162">
        <f t="shared" si="24"/>
        <v>0.6666666667</v>
      </c>
      <c r="G135" s="288" t="s">
        <v>1764</v>
      </c>
    </row>
    <row r="136" ht="15.0" customHeight="1">
      <c r="A136" s="224" t="s">
        <v>9203</v>
      </c>
      <c r="B136" s="519" t="s">
        <v>52</v>
      </c>
      <c r="C136" s="473" t="s">
        <v>10167</v>
      </c>
      <c r="D136" s="493" t="s">
        <v>10046</v>
      </c>
      <c r="E136" s="461">
        <f>4/3</f>
        <v>1.333333333</v>
      </c>
      <c r="F136" s="162">
        <f t="shared" si="24"/>
        <v>1.333333333</v>
      </c>
      <c r="G136" s="288" t="s">
        <v>1764</v>
      </c>
    </row>
    <row r="137" ht="15.0" customHeight="1">
      <c r="A137" s="224" t="s">
        <v>9203</v>
      </c>
      <c r="B137" s="519" t="s">
        <v>52</v>
      </c>
      <c r="C137" s="473" t="s">
        <v>10168</v>
      </c>
      <c r="D137" s="493" t="s">
        <v>10046</v>
      </c>
      <c r="E137" s="461">
        <f>6/3</f>
        <v>2</v>
      </c>
      <c r="F137" s="162">
        <f t="shared" si="24"/>
        <v>2</v>
      </c>
      <c r="G137" s="288" t="s">
        <v>1764</v>
      </c>
    </row>
    <row r="138" ht="15.0" customHeight="1">
      <c r="A138" s="224" t="s">
        <v>9203</v>
      </c>
      <c r="B138" s="519" t="s">
        <v>52</v>
      </c>
      <c r="C138" s="518" t="s">
        <v>10169</v>
      </c>
      <c r="D138" s="83" t="s">
        <v>10046</v>
      </c>
      <c r="E138" s="461">
        <v>1.0</v>
      </c>
      <c r="F138" s="162">
        <f t="shared" si="24"/>
        <v>1</v>
      </c>
      <c r="G138" s="288" t="s">
        <v>1764</v>
      </c>
    </row>
    <row r="139" ht="15.0" customHeight="1">
      <c r="A139" s="224" t="s">
        <v>9203</v>
      </c>
      <c r="B139" s="519" t="s">
        <v>52</v>
      </c>
      <c r="C139" s="518" t="s">
        <v>10170</v>
      </c>
      <c r="D139" s="83" t="s">
        <v>10046</v>
      </c>
      <c r="E139" s="461">
        <v>3.0</v>
      </c>
      <c r="F139" s="162">
        <f t="shared" si="24"/>
        <v>3</v>
      </c>
      <c r="G139" s="288" t="s">
        <v>1764</v>
      </c>
    </row>
    <row r="140" ht="15.0" customHeight="1">
      <c r="A140" s="224" t="s">
        <v>9203</v>
      </c>
      <c r="B140" s="519" t="s">
        <v>52</v>
      </c>
      <c r="C140" s="518" t="s">
        <v>10171</v>
      </c>
      <c r="D140" s="83" t="s">
        <v>10046</v>
      </c>
      <c r="E140" s="461">
        <v>1.0</v>
      </c>
      <c r="F140" s="162">
        <f t="shared" si="24"/>
        <v>1</v>
      </c>
      <c r="G140" s="288" t="s">
        <v>1764</v>
      </c>
    </row>
    <row r="141" ht="15.0" customHeight="1">
      <c r="A141" s="224" t="s">
        <v>9203</v>
      </c>
      <c r="B141" s="519" t="s">
        <v>52</v>
      </c>
      <c r="C141" s="518" t="s">
        <v>10172</v>
      </c>
      <c r="D141" s="83" t="s">
        <v>10046</v>
      </c>
      <c r="E141" s="461">
        <v>1.0</v>
      </c>
      <c r="F141" s="162">
        <f t="shared" si="24"/>
        <v>1</v>
      </c>
      <c r="G141" s="288" t="s">
        <v>1764</v>
      </c>
    </row>
    <row r="142" ht="15.0" customHeight="1">
      <c r="A142" s="224" t="s">
        <v>9203</v>
      </c>
      <c r="B142" s="519" t="s">
        <v>52</v>
      </c>
      <c r="C142" s="473" t="s">
        <v>10173</v>
      </c>
      <c r="D142" s="83" t="s">
        <v>10046</v>
      </c>
      <c r="E142" s="461">
        <v>2.0</v>
      </c>
      <c r="F142" s="300">
        <f t="shared" si="24"/>
        <v>2</v>
      </c>
      <c r="G142" s="288" t="s">
        <v>1764</v>
      </c>
    </row>
    <row r="143" ht="15.0" customHeight="1">
      <c r="A143" s="224" t="s">
        <v>9203</v>
      </c>
      <c r="B143" s="520" t="s">
        <v>52</v>
      </c>
      <c r="C143" s="82" t="s">
        <v>10174</v>
      </c>
      <c r="D143" s="521" t="s">
        <v>10046</v>
      </c>
      <c r="E143" s="522">
        <f>13/3*2</f>
        <v>8.666666667</v>
      </c>
      <c r="F143" s="522">
        <f t="shared" si="24"/>
        <v>8.666666667</v>
      </c>
      <c r="G143" s="288" t="s">
        <v>1764</v>
      </c>
    </row>
    <row r="144" ht="15.0" customHeight="1">
      <c r="A144" s="224" t="s">
        <v>9203</v>
      </c>
      <c r="B144" s="224" t="s">
        <v>52</v>
      </c>
      <c r="C144" s="442" t="s">
        <v>10175</v>
      </c>
      <c r="D144" s="83" t="s">
        <v>10046</v>
      </c>
      <c r="E144" s="162">
        <f>14/3*2</f>
        <v>9.333333333</v>
      </c>
      <c r="F144" s="162">
        <f t="shared" si="24"/>
        <v>9.333333333</v>
      </c>
      <c r="G144" s="288" t="s">
        <v>1764</v>
      </c>
    </row>
    <row r="145" ht="15.0" customHeight="1">
      <c r="A145" s="224" t="s">
        <v>9203</v>
      </c>
      <c r="B145" s="224" t="s">
        <v>52</v>
      </c>
      <c r="C145" s="442" t="s">
        <v>10176</v>
      </c>
      <c r="D145" s="83" t="s">
        <v>10046</v>
      </c>
      <c r="E145" s="162">
        <f>2/3*2</f>
        <v>1.333333333</v>
      </c>
      <c r="F145" s="162">
        <f t="shared" si="24"/>
        <v>1.333333333</v>
      </c>
      <c r="G145" s="288" t="s">
        <v>1764</v>
      </c>
    </row>
    <row r="146" ht="15.0" customHeight="1">
      <c r="A146" s="224" t="s">
        <v>9205</v>
      </c>
      <c r="B146" s="224" t="s">
        <v>52</v>
      </c>
      <c r="C146" s="82" t="s">
        <v>10177</v>
      </c>
      <c r="D146" s="83" t="s">
        <v>10046</v>
      </c>
      <c r="E146" s="83">
        <f t="shared" ref="E146:E147" si="29">74/3</f>
        <v>24.66666667</v>
      </c>
      <c r="F146" s="92">
        <f t="shared" si="24"/>
        <v>24.66666667</v>
      </c>
      <c r="G146" s="288" t="s">
        <v>71</v>
      </c>
    </row>
    <row r="147" ht="15.0" customHeight="1">
      <c r="A147" s="224" t="s">
        <v>9205</v>
      </c>
      <c r="B147" s="224" t="s">
        <v>52</v>
      </c>
      <c r="C147" s="82" t="s">
        <v>10178</v>
      </c>
      <c r="D147" s="83" t="s">
        <v>10046</v>
      </c>
      <c r="E147" s="83">
        <f t="shared" si="29"/>
        <v>24.66666667</v>
      </c>
      <c r="F147" s="92">
        <f t="shared" si="24"/>
        <v>24.66666667</v>
      </c>
      <c r="G147" s="288" t="s">
        <v>71</v>
      </c>
    </row>
    <row r="148" ht="15.0" customHeight="1">
      <c r="A148" s="224" t="s">
        <v>9205</v>
      </c>
      <c r="B148" s="224" t="s">
        <v>52</v>
      </c>
      <c r="C148" s="82" t="s">
        <v>10179</v>
      </c>
      <c r="D148" s="83" t="s">
        <v>10046</v>
      </c>
      <c r="E148" s="83">
        <f>0.25*74/3</f>
        <v>6.166666667</v>
      </c>
      <c r="F148" s="92">
        <f t="shared" si="24"/>
        <v>6.166666667</v>
      </c>
      <c r="G148" s="288" t="s">
        <v>71</v>
      </c>
    </row>
    <row r="149" ht="15.0" customHeight="1">
      <c r="A149" s="224" t="s">
        <v>9205</v>
      </c>
      <c r="B149" s="224" t="s">
        <v>52</v>
      </c>
      <c r="C149" s="82" t="s">
        <v>10180</v>
      </c>
      <c r="D149" s="83" t="s">
        <v>10046</v>
      </c>
      <c r="E149" s="83">
        <f>0.1*74/3</f>
        <v>2.466666667</v>
      </c>
      <c r="F149" s="92">
        <f t="shared" si="24"/>
        <v>2.466666667</v>
      </c>
      <c r="G149" s="288" t="s">
        <v>71</v>
      </c>
    </row>
    <row r="150" ht="15.0" customHeight="1">
      <c r="A150" s="224" t="s">
        <v>9205</v>
      </c>
      <c r="B150" s="224" t="s">
        <v>52</v>
      </c>
      <c r="C150" s="82" t="s">
        <v>10181</v>
      </c>
      <c r="D150" s="83" t="s">
        <v>10046</v>
      </c>
      <c r="E150" s="83">
        <f t="shared" ref="E150:E151" si="30">74/3</f>
        <v>24.66666667</v>
      </c>
      <c r="F150" s="92">
        <f t="shared" si="24"/>
        <v>24.66666667</v>
      </c>
      <c r="G150" s="288" t="s">
        <v>71</v>
      </c>
    </row>
    <row r="151" ht="15.0" customHeight="1">
      <c r="A151" s="224" t="s">
        <v>9205</v>
      </c>
      <c r="B151" s="224" t="s">
        <v>52</v>
      </c>
      <c r="C151" s="82" t="s">
        <v>10182</v>
      </c>
      <c r="D151" s="83" t="s">
        <v>10046</v>
      </c>
      <c r="E151" s="83">
        <f t="shared" si="30"/>
        <v>24.66666667</v>
      </c>
      <c r="F151" s="92">
        <f t="shared" si="24"/>
        <v>24.66666667</v>
      </c>
      <c r="G151" s="288" t="s">
        <v>71</v>
      </c>
    </row>
    <row r="152" ht="15.0" customHeight="1">
      <c r="A152" s="224" t="s">
        <v>9205</v>
      </c>
      <c r="B152" s="224" t="s">
        <v>52</v>
      </c>
      <c r="C152" s="82" t="s">
        <v>10183</v>
      </c>
      <c r="D152" s="83" t="s">
        <v>10046</v>
      </c>
      <c r="E152" s="83">
        <f>0.25*74/3</f>
        <v>6.166666667</v>
      </c>
      <c r="F152" s="92">
        <f t="shared" si="24"/>
        <v>6.166666667</v>
      </c>
      <c r="G152" s="288" t="s">
        <v>71</v>
      </c>
    </row>
    <row r="153" ht="15.0" customHeight="1">
      <c r="A153" s="224" t="s">
        <v>9205</v>
      </c>
      <c r="B153" s="224" t="s">
        <v>52</v>
      </c>
      <c r="C153" s="82" t="s">
        <v>10184</v>
      </c>
      <c r="D153" s="83" t="s">
        <v>10046</v>
      </c>
      <c r="E153" s="83">
        <f>0.1*74/3</f>
        <v>2.466666667</v>
      </c>
      <c r="F153" s="92">
        <f t="shared" si="24"/>
        <v>2.466666667</v>
      </c>
      <c r="G153" s="288" t="s">
        <v>71</v>
      </c>
    </row>
    <row r="154" ht="15.0" customHeight="1">
      <c r="A154" s="224" t="s">
        <v>9205</v>
      </c>
      <c r="B154" s="224" t="s">
        <v>52</v>
      </c>
      <c r="C154" s="82" t="s">
        <v>10185</v>
      </c>
      <c r="D154" s="83" t="s">
        <v>10046</v>
      </c>
      <c r="E154" s="83">
        <f t="shared" ref="E154:E155" si="31">38/3</f>
        <v>12.66666667</v>
      </c>
      <c r="F154" s="92">
        <f t="shared" si="24"/>
        <v>12.66666667</v>
      </c>
      <c r="G154" s="288" t="s">
        <v>71</v>
      </c>
    </row>
    <row r="155" ht="15.0" customHeight="1">
      <c r="A155" s="224" t="s">
        <v>9205</v>
      </c>
      <c r="B155" s="224" t="s">
        <v>52</v>
      </c>
      <c r="C155" s="82" t="s">
        <v>10186</v>
      </c>
      <c r="D155" s="83" t="s">
        <v>10046</v>
      </c>
      <c r="E155" s="83">
        <f t="shared" si="31"/>
        <v>12.66666667</v>
      </c>
      <c r="F155" s="92">
        <f t="shared" si="24"/>
        <v>12.66666667</v>
      </c>
      <c r="G155" s="288" t="s">
        <v>71</v>
      </c>
    </row>
    <row r="156" ht="15.0" customHeight="1">
      <c r="A156" s="224" t="s">
        <v>9205</v>
      </c>
      <c r="B156" s="224" t="s">
        <v>52</v>
      </c>
      <c r="C156" s="82" t="s">
        <v>10187</v>
      </c>
      <c r="D156" s="83" t="s">
        <v>10046</v>
      </c>
      <c r="E156" s="83">
        <f>0.25*38/3</f>
        <v>3.166666667</v>
      </c>
      <c r="F156" s="92">
        <f t="shared" si="24"/>
        <v>3.166666667</v>
      </c>
      <c r="G156" s="288" t="s">
        <v>71</v>
      </c>
    </row>
    <row r="157" ht="15.0" customHeight="1">
      <c r="A157" s="224" t="s">
        <v>9205</v>
      </c>
      <c r="B157" s="224" t="s">
        <v>52</v>
      </c>
      <c r="C157" s="82" t="s">
        <v>10188</v>
      </c>
      <c r="D157" s="83" t="s">
        <v>10046</v>
      </c>
      <c r="E157" s="83">
        <f>0.1*38/3</f>
        <v>1.266666667</v>
      </c>
      <c r="F157" s="92">
        <f t="shared" si="24"/>
        <v>1.266666667</v>
      </c>
      <c r="G157" s="288" t="s">
        <v>71</v>
      </c>
    </row>
    <row r="158" ht="15.0" customHeight="1">
      <c r="A158" s="224" t="s">
        <v>9205</v>
      </c>
      <c r="B158" s="224" t="s">
        <v>52</v>
      </c>
      <c r="C158" s="82" t="s">
        <v>10189</v>
      </c>
      <c r="D158" s="83" t="s">
        <v>10046</v>
      </c>
      <c r="E158" s="83">
        <f t="shared" ref="E158:E159" si="32">27/3</f>
        <v>9</v>
      </c>
      <c r="F158" s="92">
        <f t="shared" si="24"/>
        <v>9</v>
      </c>
      <c r="G158" s="288" t="s">
        <v>71</v>
      </c>
    </row>
    <row r="159" ht="15.0" customHeight="1">
      <c r="A159" s="224" t="s">
        <v>9205</v>
      </c>
      <c r="B159" s="224" t="s">
        <v>52</v>
      </c>
      <c r="C159" s="82" t="s">
        <v>10190</v>
      </c>
      <c r="D159" s="83" t="s">
        <v>10046</v>
      </c>
      <c r="E159" s="83">
        <f t="shared" si="32"/>
        <v>9</v>
      </c>
      <c r="F159" s="92">
        <f t="shared" si="24"/>
        <v>9</v>
      </c>
      <c r="G159" s="288" t="s">
        <v>71</v>
      </c>
    </row>
    <row r="160" ht="15.0" customHeight="1">
      <c r="A160" s="224" t="s">
        <v>9205</v>
      </c>
      <c r="B160" s="224" t="s">
        <v>52</v>
      </c>
      <c r="C160" s="82" t="s">
        <v>10191</v>
      </c>
      <c r="D160" s="83" t="s">
        <v>10046</v>
      </c>
      <c r="E160" s="83">
        <f>0.25*27/3</f>
        <v>2.25</v>
      </c>
      <c r="F160" s="92">
        <f t="shared" si="24"/>
        <v>2.25</v>
      </c>
      <c r="G160" s="288" t="s">
        <v>71</v>
      </c>
    </row>
    <row r="161" ht="15.0" customHeight="1">
      <c r="A161" s="224" t="s">
        <v>9205</v>
      </c>
      <c r="B161" s="224" t="s">
        <v>52</v>
      </c>
      <c r="C161" s="82" t="s">
        <v>10192</v>
      </c>
      <c r="D161" s="83" t="s">
        <v>10046</v>
      </c>
      <c r="E161" s="83">
        <f>0.1*27/3</f>
        <v>0.9</v>
      </c>
      <c r="F161" s="92">
        <f t="shared" si="24"/>
        <v>0.9</v>
      </c>
      <c r="G161" s="288" t="s">
        <v>71</v>
      </c>
    </row>
    <row r="162" ht="15.0" customHeight="1">
      <c r="A162" s="224" t="s">
        <v>9205</v>
      </c>
      <c r="B162" s="224" t="s">
        <v>52</v>
      </c>
      <c r="C162" s="82" t="s">
        <v>10193</v>
      </c>
      <c r="D162" s="83" t="s">
        <v>10046</v>
      </c>
      <c r="E162" s="83">
        <f t="shared" ref="E162:E163" si="33">13/3</f>
        <v>4.333333333</v>
      </c>
      <c r="F162" s="92">
        <f t="shared" si="24"/>
        <v>4.333333333</v>
      </c>
      <c r="G162" s="288" t="s">
        <v>71</v>
      </c>
    </row>
    <row r="163" ht="15.0" customHeight="1">
      <c r="A163" s="224" t="s">
        <v>9205</v>
      </c>
      <c r="B163" s="224" t="s">
        <v>52</v>
      </c>
      <c r="C163" s="82" t="s">
        <v>10194</v>
      </c>
      <c r="D163" s="83" t="s">
        <v>10046</v>
      </c>
      <c r="E163" s="83">
        <f t="shared" si="33"/>
        <v>4.333333333</v>
      </c>
      <c r="F163" s="92">
        <f t="shared" si="24"/>
        <v>4.333333333</v>
      </c>
      <c r="G163" s="288" t="s">
        <v>71</v>
      </c>
    </row>
    <row r="164" ht="15.0" customHeight="1">
      <c r="A164" s="224" t="s">
        <v>9205</v>
      </c>
      <c r="B164" s="224" t="s">
        <v>52</v>
      </c>
      <c r="C164" s="82" t="s">
        <v>10195</v>
      </c>
      <c r="D164" s="83" t="s">
        <v>10046</v>
      </c>
      <c r="E164" s="83">
        <f>0.25*13/3</f>
        <v>1.083333333</v>
      </c>
      <c r="F164" s="92">
        <f t="shared" si="24"/>
        <v>1.083333333</v>
      </c>
      <c r="G164" s="288" t="s">
        <v>71</v>
      </c>
    </row>
    <row r="165" ht="15.0" customHeight="1">
      <c r="A165" s="224" t="s">
        <v>9205</v>
      </c>
      <c r="B165" s="224" t="s">
        <v>52</v>
      </c>
      <c r="C165" s="82" t="s">
        <v>10196</v>
      </c>
      <c r="D165" s="83" t="s">
        <v>10046</v>
      </c>
      <c r="E165" s="83">
        <f>0.1*13/3</f>
        <v>0.4333333333</v>
      </c>
      <c r="F165" s="92">
        <f t="shared" si="24"/>
        <v>0.4333333333</v>
      </c>
      <c r="G165" s="288" t="s">
        <v>71</v>
      </c>
    </row>
    <row r="166" ht="15.0" customHeight="1">
      <c r="A166" s="224" t="s">
        <v>9205</v>
      </c>
      <c r="B166" s="224" t="s">
        <v>52</v>
      </c>
      <c r="C166" s="82" t="s">
        <v>10197</v>
      </c>
      <c r="D166" s="83" t="s">
        <v>10046</v>
      </c>
      <c r="E166" s="83">
        <f t="shared" ref="E166:E167" si="34">47/3</f>
        <v>15.66666667</v>
      </c>
      <c r="F166" s="92">
        <f t="shared" si="24"/>
        <v>15.66666667</v>
      </c>
      <c r="G166" s="288" t="s">
        <v>71</v>
      </c>
    </row>
    <row r="167" ht="15.0" customHeight="1">
      <c r="A167" s="224" t="s">
        <v>9205</v>
      </c>
      <c r="B167" s="224" t="s">
        <v>52</v>
      </c>
      <c r="C167" s="82" t="s">
        <v>10198</v>
      </c>
      <c r="D167" s="83" t="s">
        <v>10046</v>
      </c>
      <c r="E167" s="83">
        <f t="shared" si="34"/>
        <v>15.66666667</v>
      </c>
      <c r="F167" s="92">
        <f t="shared" si="24"/>
        <v>15.66666667</v>
      </c>
      <c r="G167" s="288" t="s">
        <v>71</v>
      </c>
    </row>
    <row r="168" ht="15.0" customHeight="1">
      <c r="A168" s="224" t="s">
        <v>9205</v>
      </c>
      <c r="B168" s="224" t="s">
        <v>52</v>
      </c>
      <c r="C168" s="82" t="s">
        <v>10199</v>
      </c>
      <c r="D168" s="83" t="s">
        <v>10046</v>
      </c>
      <c r="E168" s="83">
        <f>0.25*47/3</f>
        <v>3.916666667</v>
      </c>
      <c r="F168" s="92">
        <f t="shared" si="24"/>
        <v>3.916666667</v>
      </c>
      <c r="G168" s="288" t="s">
        <v>71</v>
      </c>
    </row>
    <row r="169" ht="15.0" customHeight="1">
      <c r="A169" s="224" t="s">
        <v>9205</v>
      </c>
      <c r="B169" s="224" t="s">
        <v>52</v>
      </c>
      <c r="C169" s="82" t="s">
        <v>10200</v>
      </c>
      <c r="D169" s="83" t="s">
        <v>10046</v>
      </c>
      <c r="E169" s="83">
        <f>0.1*47/3</f>
        <v>1.566666667</v>
      </c>
      <c r="F169" s="92">
        <f t="shared" si="24"/>
        <v>1.566666667</v>
      </c>
      <c r="G169" s="288" t="s">
        <v>71</v>
      </c>
    </row>
    <row r="170" ht="15.0" customHeight="1">
      <c r="A170" s="224" t="s">
        <v>9205</v>
      </c>
      <c r="B170" s="224" t="s">
        <v>52</v>
      </c>
      <c r="C170" s="82" t="s">
        <v>10201</v>
      </c>
      <c r="D170" s="83" t="s">
        <v>10046</v>
      </c>
      <c r="E170" s="83">
        <f t="shared" ref="E170:E171" si="35">35/3</f>
        <v>11.66666667</v>
      </c>
      <c r="F170" s="92">
        <f t="shared" si="24"/>
        <v>11.66666667</v>
      </c>
      <c r="G170" s="288" t="s">
        <v>71</v>
      </c>
    </row>
    <row r="171" ht="15.0" customHeight="1">
      <c r="A171" s="224" t="s">
        <v>9205</v>
      </c>
      <c r="B171" s="224" t="s">
        <v>52</v>
      </c>
      <c r="C171" s="82" t="s">
        <v>10202</v>
      </c>
      <c r="D171" s="83" t="s">
        <v>10046</v>
      </c>
      <c r="E171" s="83">
        <f t="shared" si="35"/>
        <v>11.66666667</v>
      </c>
      <c r="F171" s="92">
        <f t="shared" si="24"/>
        <v>11.66666667</v>
      </c>
      <c r="G171" s="288" t="s">
        <v>71</v>
      </c>
    </row>
    <row r="172" ht="15.0" customHeight="1">
      <c r="A172" s="224" t="s">
        <v>9205</v>
      </c>
      <c r="B172" s="224" t="s">
        <v>52</v>
      </c>
      <c r="C172" s="82" t="s">
        <v>10203</v>
      </c>
      <c r="D172" s="83" t="s">
        <v>10046</v>
      </c>
      <c r="E172" s="83">
        <f>0.25*35/3</f>
        <v>2.916666667</v>
      </c>
      <c r="F172" s="92">
        <f t="shared" si="24"/>
        <v>2.916666667</v>
      </c>
      <c r="G172" s="288" t="s">
        <v>71</v>
      </c>
    </row>
    <row r="173" ht="15.0" customHeight="1">
      <c r="A173" s="224" t="s">
        <v>9205</v>
      </c>
      <c r="B173" s="224" t="s">
        <v>52</v>
      </c>
      <c r="C173" s="82" t="s">
        <v>10204</v>
      </c>
      <c r="D173" s="83" t="s">
        <v>10046</v>
      </c>
      <c r="E173" s="83">
        <f>0.1*35/3</f>
        <v>1.166666667</v>
      </c>
      <c r="F173" s="92">
        <f t="shared" si="24"/>
        <v>1.166666667</v>
      </c>
      <c r="G173" s="288" t="s">
        <v>71</v>
      </c>
    </row>
    <row r="174" ht="15.0" customHeight="1">
      <c r="A174" s="224" t="s">
        <v>9205</v>
      </c>
      <c r="B174" s="224" t="s">
        <v>52</v>
      </c>
      <c r="C174" s="82" t="s">
        <v>10205</v>
      </c>
      <c r="D174" s="83" t="s">
        <v>10046</v>
      </c>
      <c r="E174" s="83">
        <f t="shared" ref="E174:E175" si="36">25/3</f>
        <v>8.333333333</v>
      </c>
      <c r="F174" s="92">
        <f t="shared" si="24"/>
        <v>8.333333333</v>
      </c>
      <c r="G174" s="288" t="s">
        <v>71</v>
      </c>
    </row>
    <row r="175" ht="15.0" customHeight="1">
      <c r="A175" s="224" t="s">
        <v>9205</v>
      </c>
      <c r="B175" s="224" t="s">
        <v>52</v>
      </c>
      <c r="C175" s="82" t="s">
        <v>10206</v>
      </c>
      <c r="D175" s="83" t="s">
        <v>10046</v>
      </c>
      <c r="E175" s="83">
        <f t="shared" si="36"/>
        <v>8.333333333</v>
      </c>
      <c r="F175" s="92">
        <f t="shared" si="24"/>
        <v>8.333333333</v>
      </c>
      <c r="G175" s="288" t="s">
        <v>71</v>
      </c>
    </row>
    <row r="176" ht="15.0" customHeight="1">
      <c r="A176" s="224" t="s">
        <v>9205</v>
      </c>
      <c r="B176" s="224" t="s">
        <v>52</v>
      </c>
      <c r="C176" s="82" t="s">
        <v>10207</v>
      </c>
      <c r="D176" s="83" t="s">
        <v>10046</v>
      </c>
      <c r="E176" s="83">
        <f t="shared" ref="E176:E177" si="37">0.25*25/3</f>
        <v>2.083333333</v>
      </c>
      <c r="F176" s="92">
        <f t="shared" si="24"/>
        <v>2.083333333</v>
      </c>
      <c r="G176" s="288" t="s">
        <v>71</v>
      </c>
    </row>
    <row r="177" ht="15.0" customHeight="1">
      <c r="A177" s="224" t="s">
        <v>9205</v>
      </c>
      <c r="B177" s="224" t="s">
        <v>52</v>
      </c>
      <c r="C177" s="82" t="s">
        <v>10208</v>
      </c>
      <c r="D177" s="83" t="s">
        <v>10046</v>
      </c>
      <c r="E177" s="83">
        <f t="shared" si="37"/>
        <v>2.083333333</v>
      </c>
      <c r="F177" s="92">
        <f t="shared" si="24"/>
        <v>2.083333333</v>
      </c>
      <c r="G177" s="288" t="s">
        <v>71</v>
      </c>
    </row>
    <row r="178" ht="15.0" customHeight="1">
      <c r="A178" s="224" t="s">
        <v>9205</v>
      </c>
      <c r="B178" s="224" t="s">
        <v>52</v>
      </c>
      <c r="C178" s="82" t="s">
        <v>10209</v>
      </c>
      <c r="D178" s="83" t="s">
        <v>8485</v>
      </c>
      <c r="E178" s="83">
        <f>(90+34+32)/3*2</f>
        <v>104</v>
      </c>
      <c r="F178" s="92">
        <f t="shared" si="24"/>
        <v>104</v>
      </c>
      <c r="G178" s="288" t="s">
        <v>71</v>
      </c>
    </row>
    <row r="179" ht="15.0" customHeight="1">
      <c r="A179" s="224" t="s">
        <v>9207</v>
      </c>
      <c r="B179" s="224" t="s">
        <v>10064</v>
      </c>
      <c r="C179" s="82" t="s">
        <v>10210</v>
      </c>
      <c r="D179" s="83" t="s">
        <v>10046</v>
      </c>
      <c r="E179" s="92">
        <f t="shared" ref="E179:E180" si="38">11/3</f>
        <v>3.666666667</v>
      </c>
      <c r="F179" s="92">
        <f t="shared" si="24"/>
        <v>3.666666667</v>
      </c>
      <c r="G179" s="288" t="s">
        <v>296</v>
      </c>
    </row>
    <row r="180" ht="15.0" customHeight="1">
      <c r="A180" s="224" t="s">
        <v>9207</v>
      </c>
      <c r="B180" s="224" t="s">
        <v>10064</v>
      </c>
      <c r="C180" s="82" t="s">
        <v>10211</v>
      </c>
      <c r="D180" s="83" t="s">
        <v>10212</v>
      </c>
      <c r="E180" s="92">
        <f t="shared" si="38"/>
        <v>3.666666667</v>
      </c>
      <c r="F180" s="92">
        <f>E180*0.5</f>
        <v>1.833333333</v>
      </c>
      <c r="G180" s="288" t="s">
        <v>296</v>
      </c>
    </row>
    <row r="181" ht="15.0" customHeight="1">
      <c r="A181" s="416" t="s">
        <v>9207</v>
      </c>
      <c r="B181" s="416" t="s">
        <v>52</v>
      </c>
      <c r="C181" s="82" t="s">
        <v>10213</v>
      </c>
      <c r="D181" s="489" t="s">
        <v>10046</v>
      </c>
      <c r="E181" s="489">
        <f t="shared" ref="E181:E182" si="39">7/3</f>
        <v>2.333333333</v>
      </c>
      <c r="F181" s="92">
        <f>E181</f>
        <v>2.333333333</v>
      </c>
      <c r="G181" s="288" t="s">
        <v>296</v>
      </c>
    </row>
    <row r="182" ht="15.0" customHeight="1">
      <c r="A182" s="224" t="s">
        <v>9207</v>
      </c>
      <c r="B182" s="224" t="s">
        <v>52</v>
      </c>
      <c r="C182" s="82" t="s">
        <v>10214</v>
      </c>
      <c r="D182" s="83" t="s">
        <v>10212</v>
      </c>
      <c r="E182" s="83">
        <f t="shared" si="39"/>
        <v>2.333333333</v>
      </c>
      <c r="F182" s="92">
        <f>E182*0.5</f>
        <v>1.166666667</v>
      </c>
      <c r="G182" s="288" t="s">
        <v>296</v>
      </c>
    </row>
    <row r="183" ht="15.0" customHeight="1">
      <c r="A183" s="224" t="s">
        <v>9207</v>
      </c>
      <c r="B183" s="224" t="s">
        <v>52</v>
      </c>
      <c r="C183" s="82" t="s">
        <v>10215</v>
      </c>
      <c r="D183" s="489" t="s">
        <v>10046</v>
      </c>
      <c r="E183" s="419">
        <f t="shared" ref="E183:E184" si="40">24/3</f>
        <v>8</v>
      </c>
      <c r="F183" s="92">
        <f>E183</f>
        <v>8</v>
      </c>
      <c r="G183" s="288" t="s">
        <v>296</v>
      </c>
    </row>
    <row r="184" ht="15.0" customHeight="1">
      <c r="A184" s="224" t="s">
        <v>9207</v>
      </c>
      <c r="B184" s="224" t="s">
        <v>52</v>
      </c>
      <c r="C184" s="82" t="s">
        <v>10216</v>
      </c>
      <c r="D184" s="83" t="s">
        <v>10212</v>
      </c>
      <c r="E184" s="92">
        <f t="shared" si="40"/>
        <v>8</v>
      </c>
      <c r="F184" s="463">
        <f>E184*0.5</f>
        <v>4</v>
      </c>
      <c r="G184" s="288" t="s">
        <v>296</v>
      </c>
    </row>
    <row r="185" ht="15.0" customHeight="1">
      <c r="A185" s="224" t="s">
        <v>9207</v>
      </c>
      <c r="B185" s="224" t="s">
        <v>52</v>
      </c>
      <c r="C185" s="82" t="s">
        <v>10217</v>
      </c>
      <c r="D185" s="501" t="s">
        <v>10046</v>
      </c>
      <c r="E185" s="92">
        <f t="shared" ref="E185:E186" si="41">16/3</f>
        <v>5.333333333</v>
      </c>
      <c r="F185" s="463">
        <f>E185</f>
        <v>5.333333333</v>
      </c>
      <c r="G185" s="288" t="s">
        <v>296</v>
      </c>
    </row>
    <row r="186" ht="15.0" customHeight="1">
      <c r="A186" s="224" t="s">
        <v>9207</v>
      </c>
      <c r="B186" s="224" t="s">
        <v>52</v>
      </c>
      <c r="C186" s="82" t="s">
        <v>10218</v>
      </c>
      <c r="D186" s="275" t="s">
        <v>10212</v>
      </c>
      <c r="E186" s="92">
        <f t="shared" si="41"/>
        <v>5.333333333</v>
      </c>
      <c r="F186" s="463">
        <f>E186*0.5</f>
        <v>2.666666667</v>
      </c>
      <c r="G186" s="288" t="s">
        <v>296</v>
      </c>
    </row>
    <row r="187" ht="15.0" customHeight="1">
      <c r="A187" s="224" t="s">
        <v>9207</v>
      </c>
      <c r="B187" s="224" t="s">
        <v>52</v>
      </c>
      <c r="C187" s="326" t="s">
        <v>10219</v>
      </c>
      <c r="D187" s="275" t="s">
        <v>10046</v>
      </c>
      <c r="E187" s="92">
        <v>2.33333333333333</v>
      </c>
      <c r="F187" s="463">
        <f>E187</f>
        <v>2.333333333</v>
      </c>
      <c r="G187" s="288" t="s">
        <v>296</v>
      </c>
    </row>
    <row r="188" ht="15.0" customHeight="1">
      <c r="A188" s="224" t="s">
        <v>9207</v>
      </c>
      <c r="B188" s="224" t="s">
        <v>52</v>
      </c>
      <c r="C188" s="326" t="s">
        <v>10220</v>
      </c>
      <c r="D188" s="275" t="s">
        <v>10212</v>
      </c>
      <c r="E188" s="92">
        <v>2.33333333333333</v>
      </c>
      <c r="F188" s="463">
        <f>E188*0.5</f>
        <v>1.166666667</v>
      </c>
      <c r="G188" s="288" t="s">
        <v>296</v>
      </c>
    </row>
    <row r="189" ht="15.0" customHeight="1">
      <c r="A189" s="224" t="s">
        <v>9207</v>
      </c>
      <c r="B189" s="224" t="s">
        <v>52</v>
      </c>
      <c r="C189" s="326" t="s">
        <v>10221</v>
      </c>
      <c r="D189" s="275" t="s">
        <v>10046</v>
      </c>
      <c r="E189" s="92">
        <v>8.0</v>
      </c>
      <c r="F189" s="463">
        <f>E189</f>
        <v>8</v>
      </c>
      <c r="G189" s="288" t="s">
        <v>296</v>
      </c>
    </row>
    <row r="190" ht="15.0" customHeight="1">
      <c r="A190" s="224" t="s">
        <v>9207</v>
      </c>
      <c r="B190" s="224" t="s">
        <v>52</v>
      </c>
      <c r="C190" s="326" t="s">
        <v>10222</v>
      </c>
      <c r="D190" s="275" t="s">
        <v>10212</v>
      </c>
      <c r="E190" s="92">
        <v>8.0</v>
      </c>
      <c r="F190" s="463">
        <f>E190*0.5</f>
        <v>4</v>
      </c>
      <c r="G190" s="288" t="s">
        <v>296</v>
      </c>
    </row>
    <row r="191" ht="15.0" customHeight="1">
      <c r="A191" s="224" t="s">
        <v>9207</v>
      </c>
      <c r="B191" s="224" t="s">
        <v>52</v>
      </c>
      <c r="C191" s="326" t="s">
        <v>10223</v>
      </c>
      <c r="D191" s="275" t="s">
        <v>10046</v>
      </c>
      <c r="E191" s="92">
        <v>5.333333333333333</v>
      </c>
      <c r="F191" s="463">
        <f>E191</f>
        <v>5.333333333</v>
      </c>
      <c r="G191" s="288" t="s">
        <v>296</v>
      </c>
    </row>
    <row r="192" ht="15.0" customHeight="1">
      <c r="A192" s="224" t="s">
        <v>9207</v>
      </c>
      <c r="B192" s="224" t="s">
        <v>52</v>
      </c>
      <c r="C192" s="326" t="s">
        <v>10224</v>
      </c>
      <c r="D192" s="275" t="s">
        <v>10212</v>
      </c>
      <c r="E192" s="92">
        <v>5.333333333333333</v>
      </c>
      <c r="F192" s="463">
        <f>E192*0.5</f>
        <v>2.666666667</v>
      </c>
      <c r="G192" s="288" t="s">
        <v>296</v>
      </c>
    </row>
    <row r="193" ht="15.0" customHeight="1">
      <c r="A193" s="224" t="s">
        <v>9207</v>
      </c>
      <c r="B193" s="224" t="s">
        <v>52</v>
      </c>
      <c r="C193" s="326" t="s">
        <v>10225</v>
      </c>
      <c r="D193" s="275" t="s">
        <v>10046</v>
      </c>
      <c r="E193" s="92">
        <v>2.3333333333333335</v>
      </c>
      <c r="F193" s="463">
        <f>E193</f>
        <v>2.333333333</v>
      </c>
      <c r="G193" s="288" t="s">
        <v>296</v>
      </c>
    </row>
    <row r="194" ht="15.0" customHeight="1">
      <c r="A194" s="224" t="s">
        <v>9207</v>
      </c>
      <c r="B194" s="224" t="s">
        <v>52</v>
      </c>
      <c r="C194" s="326" t="s">
        <v>10226</v>
      </c>
      <c r="D194" s="275" t="s">
        <v>10212</v>
      </c>
      <c r="E194" s="92">
        <v>2.3333333333333335</v>
      </c>
      <c r="F194" s="463">
        <f>E194*0.5</f>
        <v>1.166666667</v>
      </c>
      <c r="G194" s="288" t="s">
        <v>296</v>
      </c>
    </row>
    <row r="195" ht="15.0" customHeight="1">
      <c r="A195" s="224" t="s">
        <v>9207</v>
      </c>
      <c r="B195" s="224" t="s">
        <v>52</v>
      </c>
      <c r="C195" s="326" t="s">
        <v>10227</v>
      </c>
      <c r="D195" s="275" t="s">
        <v>10046</v>
      </c>
      <c r="E195" s="92">
        <v>8.0</v>
      </c>
      <c r="F195" s="463">
        <f>E195</f>
        <v>8</v>
      </c>
      <c r="G195" s="288" t="s">
        <v>296</v>
      </c>
    </row>
    <row r="196" ht="15.0" customHeight="1">
      <c r="A196" s="224" t="s">
        <v>9207</v>
      </c>
      <c r="B196" s="224" t="s">
        <v>52</v>
      </c>
      <c r="C196" s="326" t="s">
        <v>10228</v>
      </c>
      <c r="D196" s="275" t="s">
        <v>10212</v>
      </c>
      <c r="E196" s="92">
        <v>8.0</v>
      </c>
      <c r="F196" s="463">
        <f>E196*0.5</f>
        <v>4</v>
      </c>
      <c r="G196" s="288" t="s">
        <v>296</v>
      </c>
    </row>
    <row r="197" ht="15.0" customHeight="1">
      <c r="A197" s="224" t="s">
        <v>9207</v>
      </c>
      <c r="B197" s="224" t="s">
        <v>52</v>
      </c>
      <c r="C197" s="326" t="s">
        <v>10229</v>
      </c>
      <c r="D197" s="275" t="s">
        <v>10046</v>
      </c>
      <c r="E197" s="92">
        <v>5.333333333333333</v>
      </c>
      <c r="F197" s="463">
        <f>E197</f>
        <v>5.333333333</v>
      </c>
      <c r="G197" s="288" t="s">
        <v>296</v>
      </c>
    </row>
    <row r="198" ht="15.0" customHeight="1">
      <c r="A198" s="224" t="s">
        <v>9207</v>
      </c>
      <c r="B198" s="224" t="s">
        <v>52</v>
      </c>
      <c r="C198" s="326" t="s">
        <v>10230</v>
      </c>
      <c r="D198" s="275" t="s">
        <v>10212</v>
      </c>
      <c r="E198" s="92">
        <v>5.333333333333333</v>
      </c>
      <c r="F198" s="463">
        <f>E198*0.5</f>
        <v>2.666666667</v>
      </c>
      <c r="G198" s="288" t="s">
        <v>296</v>
      </c>
    </row>
    <row r="199" ht="15.0" customHeight="1">
      <c r="A199" s="224" t="s">
        <v>9207</v>
      </c>
      <c r="B199" s="224" t="s">
        <v>52</v>
      </c>
      <c r="C199" s="326" t="s">
        <v>10231</v>
      </c>
      <c r="D199" s="275" t="s">
        <v>10046</v>
      </c>
      <c r="E199" s="92">
        <f t="shared" ref="E199:E200" si="42">9/3</f>
        <v>3</v>
      </c>
      <c r="F199" s="463">
        <f>E199</f>
        <v>3</v>
      </c>
      <c r="G199" s="288" t="s">
        <v>296</v>
      </c>
    </row>
    <row r="200" ht="15.0" customHeight="1">
      <c r="A200" s="224" t="s">
        <v>9207</v>
      </c>
      <c r="B200" s="224" t="s">
        <v>52</v>
      </c>
      <c r="C200" s="326" t="s">
        <v>10232</v>
      </c>
      <c r="D200" s="275" t="s">
        <v>10212</v>
      </c>
      <c r="E200" s="92">
        <f t="shared" si="42"/>
        <v>3</v>
      </c>
      <c r="F200" s="463">
        <f>E200*0.5</f>
        <v>1.5</v>
      </c>
      <c r="G200" s="288" t="s">
        <v>296</v>
      </c>
    </row>
    <row r="201" ht="15.0" customHeight="1">
      <c r="A201" s="224" t="s">
        <v>9207</v>
      </c>
      <c r="B201" s="224" t="s">
        <v>52</v>
      </c>
      <c r="C201" s="326" t="s">
        <v>10233</v>
      </c>
      <c r="D201" s="275" t="s">
        <v>10046</v>
      </c>
      <c r="E201" s="92">
        <f t="shared" ref="E201:E202" si="43">26/3</f>
        <v>8.666666667</v>
      </c>
      <c r="F201" s="463">
        <f>E201</f>
        <v>8.666666667</v>
      </c>
      <c r="G201" s="288" t="s">
        <v>296</v>
      </c>
    </row>
    <row r="202" ht="15.0" customHeight="1">
      <c r="A202" s="224" t="s">
        <v>9207</v>
      </c>
      <c r="B202" s="224" t="s">
        <v>52</v>
      </c>
      <c r="C202" s="326" t="s">
        <v>10234</v>
      </c>
      <c r="D202" s="275" t="s">
        <v>10212</v>
      </c>
      <c r="E202" s="92">
        <f t="shared" si="43"/>
        <v>8.666666667</v>
      </c>
      <c r="F202" s="463">
        <f>E202*0.5</f>
        <v>4.333333333</v>
      </c>
      <c r="G202" s="288" t="s">
        <v>296</v>
      </c>
    </row>
    <row r="203" ht="15.0" customHeight="1">
      <c r="A203" s="224" t="s">
        <v>9207</v>
      </c>
      <c r="B203" s="224" t="s">
        <v>52</v>
      </c>
      <c r="C203" s="326" t="s">
        <v>10235</v>
      </c>
      <c r="D203" s="275" t="s">
        <v>10046</v>
      </c>
      <c r="E203" s="92">
        <f t="shared" ref="E203:E204" si="44">16/3</f>
        <v>5.333333333</v>
      </c>
      <c r="F203" s="463">
        <f>E203</f>
        <v>5.333333333</v>
      </c>
      <c r="G203" s="288" t="s">
        <v>296</v>
      </c>
    </row>
    <row r="204" ht="15.0" customHeight="1">
      <c r="A204" s="224" t="s">
        <v>9207</v>
      </c>
      <c r="B204" s="224" t="s">
        <v>52</v>
      </c>
      <c r="C204" s="326" t="s">
        <v>10236</v>
      </c>
      <c r="D204" s="275" t="s">
        <v>10212</v>
      </c>
      <c r="E204" s="92">
        <f t="shared" si="44"/>
        <v>5.333333333</v>
      </c>
      <c r="F204" s="463">
        <f>E204*0.5</f>
        <v>2.666666667</v>
      </c>
      <c r="G204" s="288" t="s">
        <v>296</v>
      </c>
    </row>
    <row r="205" ht="15.0" customHeight="1">
      <c r="A205" s="224" t="s">
        <v>9207</v>
      </c>
      <c r="B205" s="224" t="s">
        <v>52</v>
      </c>
      <c r="C205" s="326" t="s">
        <v>10237</v>
      </c>
      <c r="D205" s="275" t="s">
        <v>10046</v>
      </c>
      <c r="E205" s="92">
        <f t="shared" ref="E205:E207" si="45">14/3</f>
        <v>4.666666667</v>
      </c>
      <c r="F205" s="463">
        <f>E205</f>
        <v>4.666666667</v>
      </c>
      <c r="G205" s="288" t="s">
        <v>296</v>
      </c>
    </row>
    <row r="206" ht="15.0" customHeight="1">
      <c r="A206" s="224" t="s">
        <v>9207</v>
      </c>
      <c r="B206" s="224" t="s">
        <v>52</v>
      </c>
      <c r="C206" s="326" t="s">
        <v>10238</v>
      </c>
      <c r="D206" s="275" t="s">
        <v>10212</v>
      </c>
      <c r="E206" s="92">
        <f t="shared" si="45"/>
        <v>4.666666667</v>
      </c>
      <c r="F206" s="463">
        <f>E206*0.5</f>
        <v>2.333333333</v>
      </c>
      <c r="G206" s="288" t="s">
        <v>296</v>
      </c>
    </row>
    <row r="207" ht="15.0" customHeight="1">
      <c r="A207" s="224" t="s">
        <v>9207</v>
      </c>
      <c r="B207" s="224" t="s">
        <v>52</v>
      </c>
      <c r="C207" s="326" t="s">
        <v>10239</v>
      </c>
      <c r="D207" s="275" t="s">
        <v>10046</v>
      </c>
      <c r="E207" s="92">
        <f t="shared" si="45"/>
        <v>4.666666667</v>
      </c>
      <c r="F207" s="463">
        <f t="shared" ref="F207:F208" si="46">E207</f>
        <v>4.666666667</v>
      </c>
      <c r="G207" s="288" t="s">
        <v>296</v>
      </c>
    </row>
    <row r="208" ht="15.0" customHeight="1">
      <c r="A208" s="224" t="s">
        <v>9207</v>
      </c>
      <c r="B208" s="224" t="s">
        <v>52</v>
      </c>
      <c r="C208" s="82" t="s">
        <v>10240</v>
      </c>
      <c r="D208" s="489" t="s">
        <v>10046</v>
      </c>
      <c r="E208" s="92">
        <f t="shared" ref="E208:E209" si="47">7/3</f>
        <v>2.333333333</v>
      </c>
      <c r="F208" s="92">
        <f t="shared" si="46"/>
        <v>2.333333333</v>
      </c>
      <c r="G208" s="288" t="s">
        <v>296</v>
      </c>
    </row>
    <row r="209" ht="15.0" customHeight="1">
      <c r="A209" s="416" t="s">
        <v>9207</v>
      </c>
      <c r="B209" s="416" t="s">
        <v>52</v>
      </c>
      <c r="C209" s="82" t="s">
        <v>10241</v>
      </c>
      <c r="D209" s="83" t="s">
        <v>10212</v>
      </c>
      <c r="E209" s="92">
        <f t="shared" si="47"/>
        <v>2.333333333</v>
      </c>
      <c r="F209" s="92">
        <f>E209*0.5</f>
        <v>1.166666667</v>
      </c>
      <c r="G209" s="288" t="s">
        <v>296</v>
      </c>
    </row>
    <row r="210" ht="15.0" customHeight="1">
      <c r="A210" s="224" t="s">
        <v>9207</v>
      </c>
      <c r="B210" s="224" t="s">
        <v>52</v>
      </c>
      <c r="C210" s="82" t="s">
        <v>10242</v>
      </c>
      <c r="D210" s="489" t="s">
        <v>10046</v>
      </c>
      <c r="E210" s="92">
        <f>13/3*2</f>
        <v>8.666666667</v>
      </c>
      <c r="F210" s="92">
        <f t="shared" ref="F210:F212" si="48">E210</f>
        <v>8.666666667</v>
      </c>
      <c r="G210" s="288" t="s">
        <v>296</v>
      </c>
    </row>
    <row r="211" ht="15.0" customHeight="1">
      <c r="A211" s="224" t="s">
        <v>9207</v>
      </c>
      <c r="B211" s="224" t="s">
        <v>52</v>
      </c>
      <c r="C211" s="82" t="s">
        <v>10243</v>
      </c>
      <c r="D211" s="83" t="s">
        <v>10046</v>
      </c>
      <c r="E211" s="92">
        <f>32/3*2</f>
        <v>21.33333333</v>
      </c>
      <c r="F211" s="92">
        <f t="shared" si="48"/>
        <v>21.33333333</v>
      </c>
      <c r="G211" s="288" t="s">
        <v>296</v>
      </c>
    </row>
    <row r="212" ht="15.0" customHeight="1">
      <c r="A212" s="224" t="s">
        <v>9207</v>
      </c>
      <c r="B212" s="224" t="s">
        <v>52</v>
      </c>
      <c r="C212" s="82" t="s">
        <v>10244</v>
      </c>
      <c r="D212" s="83" t="s">
        <v>10046</v>
      </c>
      <c r="E212" s="92">
        <f>(24/3)*2</f>
        <v>16</v>
      </c>
      <c r="F212" s="92">
        <f t="shared" si="48"/>
        <v>16</v>
      </c>
      <c r="G212" s="288" t="s">
        <v>296</v>
      </c>
    </row>
    <row r="213" ht="15.0" customHeight="1">
      <c r="A213" s="224" t="s">
        <v>7653</v>
      </c>
      <c r="B213" s="224" t="s">
        <v>52</v>
      </c>
      <c r="C213" s="82" t="s">
        <v>10245</v>
      </c>
      <c r="D213" s="83" t="s">
        <v>10046</v>
      </c>
      <c r="E213" s="488" t="s">
        <v>10246</v>
      </c>
      <c r="F213" s="92">
        <f>23/3</f>
        <v>7.666666667</v>
      </c>
      <c r="G213" s="288" t="s">
        <v>90</v>
      </c>
    </row>
    <row r="214" ht="15.0" customHeight="1">
      <c r="A214" s="224" t="s">
        <v>7653</v>
      </c>
      <c r="B214" s="224" t="s">
        <v>52</v>
      </c>
      <c r="C214" s="82" t="s">
        <v>10247</v>
      </c>
      <c r="D214" s="83" t="s">
        <v>10072</v>
      </c>
      <c r="E214" s="488" t="s">
        <v>10248</v>
      </c>
      <c r="F214" s="92">
        <f>23/3*0.5</f>
        <v>3.833333333</v>
      </c>
      <c r="G214" s="288" t="s">
        <v>90</v>
      </c>
    </row>
    <row r="215" ht="15.0" customHeight="1">
      <c r="A215" s="224" t="s">
        <v>7653</v>
      </c>
      <c r="B215" s="224" t="s">
        <v>52</v>
      </c>
      <c r="C215" s="82" t="s">
        <v>10249</v>
      </c>
      <c r="D215" s="83" t="s">
        <v>10072</v>
      </c>
      <c r="E215" s="488" t="s">
        <v>10250</v>
      </c>
      <c r="F215" s="92">
        <f>6/3*0.5</f>
        <v>1</v>
      </c>
      <c r="G215" s="288" t="s">
        <v>90</v>
      </c>
    </row>
    <row r="216" ht="15.0" customHeight="1">
      <c r="A216" s="224" t="s">
        <v>7653</v>
      </c>
      <c r="B216" s="224" t="s">
        <v>52</v>
      </c>
      <c r="C216" s="82" t="s">
        <v>10251</v>
      </c>
      <c r="D216" s="83" t="s">
        <v>10046</v>
      </c>
      <c r="E216" s="488" t="s">
        <v>10252</v>
      </c>
      <c r="F216" s="92">
        <f>16/3</f>
        <v>5.333333333</v>
      </c>
      <c r="G216" s="288" t="s">
        <v>90</v>
      </c>
    </row>
    <row r="217" ht="15.0" customHeight="1">
      <c r="A217" s="224" t="s">
        <v>7653</v>
      </c>
      <c r="B217" s="224" t="s">
        <v>52</v>
      </c>
      <c r="C217" s="82" t="s">
        <v>10253</v>
      </c>
      <c r="D217" s="83" t="s">
        <v>10072</v>
      </c>
      <c r="E217" s="488" t="s">
        <v>10254</v>
      </c>
      <c r="F217" s="92">
        <f>16/3*0.5</f>
        <v>2.666666667</v>
      </c>
      <c r="G217" s="288" t="s">
        <v>90</v>
      </c>
    </row>
    <row r="218" ht="15.0" customHeight="1">
      <c r="A218" s="224" t="s">
        <v>7653</v>
      </c>
      <c r="B218" s="224" t="s">
        <v>52</v>
      </c>
      <c r="C218" s="82" t="s">
        <v>10255</v>
      </c>
      <c r="D218" s="83" t="s">
        <v>10072</v>
      </c>
      <c r="E218" s="488" t="s">
        <v>10256</v>
      </c>
      <c r="F218" s="92">
        <f>4/3*0.5</f>
        <v>0.6666666667</v>
      </c>
      <c r="G218" s="288" t="s">
        <v>90</v>
      </c>
    </row>
    <row r="219" ht="15.0" customHeight="1">
      <c r="A219" s="224" t="s">
        <v>7653</v>
      </c>
      <c r="B219" s="224" t="s">
        <v>52</v>
      </c>
      <c r="C219" s="82" t="s">
        <v>10257</v>
      </c>
      <c r="D219" s="83" t="s">
        <v>10046</v>
      </c>
      <c r="E219" s="488" t="s">
        <v>10258</v>
      </c>
      <c r="F219" s="92">
        <f>15/3</f>
        <v>5</v>
      </c>
      <c r="G219" s="288" t="s">
        <v>90</v>
      </c>
    </row>
    <row r="220" ht="15.0" customHeight="1">
      <c r="A220" s="224" t="s">
        <v>7653</v>
      </c>
      <c r="B220" s="224" t="s">
        <v>52</v>
      </c>
      <c r="C220" s="82" t="s">
        <v>10259</v>
      </c>
      <c r="D220" s="83" t="s">
        <v>10072</v>
      </c>
      <c r="E220" s="488" t="s">
        <v>10260</v>
      </c>
      <c r="F220" s="92">
        <f>15/3*0.5</f>
        <v>2.5</v>
      </c>
      <c r="G220" s="288" t="s">
        <v>90</v>
      </c>
    </row>
    <row r="221" ht="15.0" customHeight="1">
      <c r="A221" s="224" t="s">
        <v>7653</v>
      </c>
      <c r="B221" s="224" t="s">
        <v>52</v>
      </c>
      <c r="C221" s="82" t="s">
        <v>10261</v>
      </c>
      <c r="D221" s="83" t="s">
        <v>10072</v>
      </c>
      <c r="E221" s="488" t="s">
        <v>10256</v>
      </c>
      <c r="F221" s="92">
        <f>4/3*0.5</f>
        <v>0.6666666667</v>
      </c>
      <c r="G221" s="288" t="s">
        <v>90</v>
      </c>
    </row>
    <row r="222" ht="15.0" customHeight="1">
      <c r="A222" s="224" t="s">
        <v>7653</v>
      </c>
      <c r="B222" s="224" t="s">
        <v>52</v>
      </c>
      <c r="C222" s="82" t="s">
        <v>10262</v>
      </c>
      <c r="D222" s="83" t="s">
        <v>10046</v>
      </c>
      <c r="E222" s="488" t="s">
        <v>10246</v>
      </c>
      <c r="F222" s="92">
        <f>23/3</f>
        <v>7.666666667</v>
      </c>
      <c r="G222" s="288" t="s">
        <v>90</v>
      </c>
    </row>
    <row r="223" ht="15.0" customHeight="1">
      <c r="A223" s="224" t="s">
        <v>7653</v>
      </c>
      <c r="B223" s="224" t="s">
        <v>52</v>
      </c>
      <c r="C223" s="82" t="s">
        <v>10263</v>
      </c>
      <c r="D223" s="83" t="s">
        <v>10072</v>
      </c>
      <c r="E223" s="488" t="s">
        <v>10248</v>
      </c>
      <c r="F223" s="92">
        <f>23/3*0.5</f>
        <v>3.833333333</v>
      </c>
      <c r="G223" s="288" t="s">
        <v>90</v>
      </c>
    </row>
    <row r="224" ht="15.0" customHeight="1">
      <c r="A224" s="224" t="s">
        <v>7653</v>
      </c>
      <c r="B224" s="224" t="s">
        <v>52</v>
      </c>
      <c r="C224" s="82" t="s">
        <v>10264</v>
      </c>
      <c r="D224" s="83" t="s">
        <v>10072</v>
      </c>
      <c r="E224" s="488" t="s">
        <v>10250</v>
      </c>
      <c r="F224" s="92">
        <f>6/3*0.5</f>
        <v>1</v>
      </c>
      <c r="G224" s="288" t="s">
        <v>90</v>
      </c>
    </row>
    <row r="225" ht="15.0" customHeight="1">
      <c r="A225" s="224" t="s">
        <v>7653</v>
      </c>
      <c r="B225" s="224" t="s">
        <v>52</v>
      </c>
      <c r="C225" s="82" t="s">
        <v>10265</v>
      </c>
      <c r="D225" s="83" t="s">
        <v>10046</v>
      </c>
      <c r="E225" s="488" t="s">
        <v>10246</v>
      </c>
      <c r="F225" s="92">
        <f>23/3</f>
        <v>7.666666667</v>
      </c>
      <c r="G225" s="288" t="s">
        <v>90</v>
      </c>
    </row>
    <row r="226" ht="15.0" customHeight="1">
      <c r="A226" s="224" t="s">
        <v>7653</v>
      </c>
      <c r="B226" s="224" t="s">
        <v>52</v>
      </c>
      <c r="C226" s="82" t="s">
        <v>10266</v>
      </c>
      <c r="D226" s="83" t="s">
        <v>10072</v>
      </c>
      <c r="E226" s="488" t="s">
        <v>10248</v>
      </c>
      <c r="F226" s="92">
        <f>23/3*0.5</f>
        <v>3.833333333</v>
      </c>
      <c r="G226" s="288" t="s">
        <v>90</v>
      </c>
    </row>
    <row r="227" ht="15.0" customHeight="1">
      <c r="A227" s="224" t="s">
        <v>7653</v>
      </c>
      <c r="B227" s="224" t="s">
        <v>52</v>
      </c>
      <c r="C227" s="82" t="s">
        <v>10267</v>
      </c>
      <c r="D227" s="83" t="s">
        <v>10072</v>
      </c>
      <c r="E227" s="488" t="s">
        <v>10250</v>
      </c>
      <c r="F227" s="92">
        <f>6/3*0.5</f>
        <v>1</v>
      </c>
      <c r="G227" s="288" t="s">
        <v>90</v>
      </c>
    </row>
    <row r="228" ht="15.0" customHeight="1">
      <c r="A228" s="224" t="s">
        <v>7653</v>
      </c>
      <c r="B228" s="224" t="s">
        <v>52</v>
      </c>
      <c r="C228" s="82" t="s">
        <v>10268</v>
      </c>
      <c r="D228" s="83" t="s">
        <v>10046</v>
      </c>
      <c r="E228" s="488" t="s">
        <v>10252</v>
      </c>
      <c r="F228" s="92">
        <f>16/3</f>
        <v>5.333333333</v>
      </c>
      <c r="G228" s="288" t="s">
        <v>90</v>
      </c>
    </row>
    <row r="229" ht="15.0" customHeight="1">
      <c r="A229" s="224" t="s">
        <v>7653</v>
      </c>
      <c r="B229" s="224" t="s">
        <v>52</v>
      </c>
      <c r="C229" s="82" t="s">
        <v>10269</v>
      </c>
      <c r="D229" s="83" t="s">
        <v>10072</v>
      </c>
      <c r="E229" s="488" t="s">
        <v>10254</v>
      </c>
      <c r="F229" s="92">
        <f>16/3*0.5</f>
        <v>2.666666667</v>
      </c>
      <c r="G229" s="288" t="s">
        <v>90</v>
      </c>
    </row>
    <row r="230" ht="15.0" customHeight="1">
      <c r="A230" s="224" t="s">
        <v>7653</v>
      </c>
      <c r="B230" s="224" t="s">
        <v>52</v>
      </c>
      <c r="C230" s="82" t="s">
        <v>10270</v>
      </c>
      <c r="D230" s="83" t="s">
        <v>10072</v>
      </c>
      <c r="E230" s="488" t="s">
        <v>10256</v>
      </c>
      <c r="F230" s="92">
        <f>4/3*0.5</f>
        <v>0.6666666667</v>
      </c>
      <c r="G230" s="288" t="s">
        <v>90</v>
      </c>
    </row>
    <row r="231" ht="15.0" customHeight="1">
      <c r="A231" s="224" t="s">
        <v>7653</v>
      </c>
      <c r="B231" s="224" t="s">
        <v>52</v>
      </c>
      <c r="C231" s="82" t="s">
        <v>10271</v>
      </c>
      <c r="D231" s="83" t="s">
        <v>10046</v>
      </c>
      <c r="E231" s="488" t="s">
        <v>10272</v>
      </c>
      <c r="F231" s="92">
        <f>7/3</f>
        <v>2.333333333</v>
      </c>
      <c r="G231" s="288" t="s">
        <v>90</v>
      </c>
    </row>
    <row r="232" ht="15.0" customHeight="1">
      <c r="A232" s="224" t="s">
        <v>7653</v>
      </c>
      <c r="B232" s="224" t="s">
        <v>52</v>
      </c>
      <c r="C232" s="82" t="s">
        <v>10273</v>
      </c>
      <c r="D232" s="83" t="s">
        <v>10072</v>
      </c>
      <c r="E232" s="488" t="s">
        <v>10274</v>
      </c>
      <c r="F232" s="92">
        <f>7/3*0.5</f>
        <v>1.166666667</v>
      </c>
      <c r="G232" s="288" t="s">
        <v>90</v>
      </c>
    </row>
    <row r="233" ht="15.0" customHeight="1">
      <c r="A233" s="224" t="s">
        <v>7653</v>
      </c>
      <c r="B233" s="224" t="s">
        <v>52</v>
      </c>
      <c r="C233" s="82" t="s">
        <v>10275</v>
      </c>
      <c r="D233" s="83" t="s">
        <v>10072</v>
      </c>
      <c r="E233" s="488" t="s">
        <v>10276</v>
      </c>
      <c r="F233" s="92">
        <f>2/3*0.5</f>
        <v>0.3333333333</v>
      </c>
      <c r="G233" s="288" t="s">
        <v>90</v>
      </c>
    </row>
    <row r="234" ht="15.0" customHeight="1">
      <c r="A234" s="224" t="s">
        <v>7653</v>
      </c>
      <c r="B234" s="224" t="s">
        <v>52</v>
      </c>
      <c r="C234" s="82" t="s">
        <v>10277</v>
      </c>
      <c r="D234" s="83" t="s">
        <v>10046</v>
      </c>
      <c r="E234" s="488" t="s">
        <v>10278</v>
      </c>
      <c r="F234" s="92">
        <f>18/3</f>
        <v>6</v>
      </c>
      <c r="G234" s="288" t="s">
        <v>90</v>
      </c>
    </row>
    <row r="235" ht="15.0" customHeight="1">
      <c r="A235" s="224" t="s">
        <v>7653</v>
      </c>
      <c r="B235" s="224" t="s">
        <v>52</v>
      </c>
      <c r="C235" s="82" t="s">
        <v>10279</v>
      </c>
      <c r="D235" s="83" t="s">
        <v>10072</v>
      </c>
      <c r="E235" s="488" t="s">
        <v>10280</v>
      </c>
      <c r="F235" s="92">
        <f>18/3*0.5</f>
        <v>3</v>
      </c>
      <c r="G235" s="288" t="s">
        <v>90</v>
      </c>
    </row>
    <row r="236" ht="15.0" customHeight="1">
      <c r="A236" s="224" t="s">
        <v>7653</v>
      </c>
      <c r="B236" s="224" t="s">
        <v>52</v>
      </c>
      <c r="C236" s="82" t="s">
        <v>10281</v>
      </c>
      <c r="D236" s="83" t="s">
        <v>10072</v>
      </c>
      <c r="E236" s="488" t="s">
        <v>10282</v>
      </c>
      <c r="F236" s="92">
        <f>5/3*0.5</f>
        <v>0.8333333333</v>
      </c>
      <c r="G236" s="288" t="s">
        <v>90</v>
      </c>
    </row>
    <row r="237" ht="15.0" customHeight="1">
      <c r="A237" s="224" t="s">
        <v>7653</v>
      </c>
      <c r="B237" s="224" t="s">
        <v>52</v>
      </c>
      <c r="C237" s="82" t="s">
        <v>10283</v>
      </c>
      <c r="D237" s="83" t="s">
        <v>10046</v>
      </c>
      <c r="E237" s="488" t="s">
        <v>10284</v>
      </c>
      <c r="F237" s="92">
        <f>26/3</f>
        <v>8.666666667</v>
      </c>
      <c r="G237" s="288" t="s">
        <v>90</v>
      </c>
    </row>
    <row r="238" ht="15.0" customHeight="1">
      <c r="A238" s="224" t="s">
        <v>7653</v>
      </c>
      <c r="B238" s="224" t="s">
        <v>52</v>
      </c>
      <c r="C238" s="82" t="s">
        <v>10285</v>
      </c>
      <c r="D238" s="83" t="s">
        <v>10072</v>
      </c>
      <c r="E238" s="488" t="s">
        <v>10286</v>
      </c>
      <c r="F238" s="92">
        <f>26/3*0.5</f>
        <v>4.333333333</v>
      </c>
      <c r="G238" s="288" t="s">
        <v>90</v>
      </c>
    </row>
    <row r="239" ht="15.0" customHeight="1">
      <c r="A239" s="224" t="s">
        <v>7653</v>
      </c>
      <c r="B239" s="224" t="s">
        <v>52</v>
      </c>
      <c r="C239" s="82" t="s">
        <v>10287</v>
      </c>
      <c r="D239" s="83" t="s">
        <v>10072</v>
      </c>
      <c r="E239" s="488" t="s">
        <v>10250</v>
      </c>
      <c r="F239" s="92">
        <f>6/3*0.5</f>
        <v>1</v>
      </c>
      <c r="G239" s="288" t="s">
        <v>90</v>
      </c>
    </row>
    <row r="240" ht="15.0" customHeight="1">
      <c r="A240" s="224" t="s">
        <v>7653</v>
      </c>
      <c r="B240" s="224" t="s">
        <v>52</v>
      </c>
      <c r="C240" s="82" t="s">
        <v>10288</v>
      </c>
      <c r="D240" s="83" t="s">
        <v>10046</v>
      </c>
      <c r="E240" s="488" t="s">
        <v>10289</v>
      </c>
      <c r="F240" s="92">
        <f>9/3</f>
        <v>3</v>
      </c>
      <c r="G240" s="288" t="s">
        <v>90</v>
      </c>
    </row>
    <row r="241" ht="15.0" customHeight="1">
      <c r="A241" s="224" t="s">
        <v>7653</v>
      </c>
      <c r="B241" s="224" t="s">
        <v>52</v>
      </c>
      <c r="C241" s="82" t="s">
        <v>10290</v>
      </c>
      <c r="D241" s="83" t="s">
        <v>10072</v>
      </c>
      <c r="E241" s="488" t="s">
        <v>10291</v>
      </c>
      <c r="F241" s="92">
        <f>9/3*0.5</f>
        <v>1.5</v>
      </c>
      <c r="G241" s="288" t="s">
        <v>90</v>
      </c>
    </row>
    <row r="242" ht="15.0" customHeight="1">
      <c r="A242" s="224" t="s">
        <v>7653</v>
      </c>
      <c r="B242" s="224" t="s">
        <v>52</v>
      </c>
      <c r="C242" s="82" t="s">
        <v>10292</v>
      </c>
      <c r="D242" s="83" t="s">
        <v>10072</v>
      </c>
      <c r="E242" s="488" t="s">
        <v>10276</v>
      </c>
      <c r="F242" s="92">
        <f>2/3*0.5</f>
        <v>0.3333333333</v>
      </c>
      <c r="G242" s="288" t="s">
        <v>90</v>
      </c>
    </row>
    <row r="243" ht="15.0" customHeight="1">
      <c r="A243" s="224" t="s">
        <v>7653</v>
      </c>
      <c r="B243" s="224" t="s">
        <v>52</v>
      </c>
      <c r="C243" s="82" t="s">
        <v>10293</v>
      </c>
      <c r="D243" s="83" t="s">
        <v>10046</v>
      </c>
      <c r="E243" s="488" t="s">
        <v>10294</v>
      </c>
      <c r="F243" s="92">
        <f>10/3</f>
        <v>3.333333333</v>
      </c>
      <c r="G243" s="288" t="s">
        <v>90</v>
      </c>
    </row>
    <row r="244" ht="15.0" customHeight="1">
      <c r="A244" s="224" t="s">
        <v>7653</v>
      </c>
      <c r="B244" s="224" t="s">
        <v>52</v>
      </c>
      <c r="C244" s="82" t="s">
        <v>10295</v>
      </c>
      <c r="D244" s="83" t="s">
        <v>10072</v>
      </c>
      <c r="E244" s="488" t="s">
        <v>10296</v>
      </c>
      <c r="F244" s="92">
        <f>10/3*0.5</f>
        <v>1.666666667</v>
      </c>
      <c r="G244" s="288" t="s">
        <v>90</v>
      </c>
    </row>
    <row r="245" ht="15.0" customHeight="1">
      <c r="A245" s="224" t="s">
        <v>7653</v>
      </c>
      <c r="B245" s="224" t="s">
        <v>52</v>
      </c>
      <c r="C245" s="82" t="s">
        <v>10297</v>
      </c>
      <c r="D245" s="83" t="s">
        <v>10072</v>
      </c>
      <c r="E245" s="488" t="s">
        <v>10298</v>
      </c>
      <c r="F245" s="92">
        <f>3/3*0.5</f>
        <v>0.5</v>
      </c>
      <c r="G245" s="288" t="s">
        <v>90</v>
      </c>
    </row>
    <row r="246" ht="15.0" customHeight="1">
      <c r="A246" s="224" t="s">
        <v>54</v>
      </c>
      <c r="B246" s="224" t="s">
        <v>52</v>
      </c>
      <c r="C246" s="82" t="s">
        <v>10299</v>
      </c>
      <c r="D246" s="83" t="s">
        <v>10046</v>
      </c>
      <c r="E246" s="83">
        <v>41.0</v>
      </c>
      <c r="F246" s="92">
        <v>41.0</v>
      </c>
      <c r="G246" s="288" t="s">
        <v>54</v>
      </c>
    </row>
    <row r="247" ht="15.0" customHeight="1">
      <c r="A247" s="224" t="s">
        <v>54</v>
      </c>
      <c r="B247" s="224" t="s">
        <v>52</v>
      </c>
      <c r="C247" s="82" t="s">
        <v>10300</v>
      </c>
      <c r="D247" s="83" t="s">
        <v>10046</v>
      </c>
      <c r="E247" s="83">
        <v>41.0</v>
      </c>
      <c r="F247" s="92">
        <v>41.0</v>
      </c>
      <c r="G247" s="288" t="s">
        <v>54</v>
      </c>
    </row>
    <row r="248" ht="15.0" customHeight="1">
      <c r="A248" s="224" t="s">
        <v>54</v>
      </c>
      <c r="B248" s="224" t="s">
        <v>52</v>
      </c>
      <c r="C248" s="82" t="s">
        <v>10301</v>
      </c>
      <c r="D248" s="83" t="s">
        <v>10046</v>
      </c>
      <c r="E248" s="83">
        <v>10.0</v>
      </c>
      <c r="F248" s="92">
        <v>10.0</v>
      </c>
      <c r="G248" s="288" t="s">
        <v>54</v>
      </c>
    </row>
    <row r="249" ht="15.0" customHeight="1">
      <c r="A249" s="224" t="s">
        <v>54</v>
      </c>
      <c r="B249" s="224" t="s">
        <v>52</v>
      </c>
      <c r="C249" s="82" t="s">
        <v>10302</v>
      </c>
      <c r="D249" s="83" t="s">
        <v>10046</v>
      </c>
      <c r="E249" s="83">
        <v>4.0</v>
      </c>
      <c r="F249" s="92">
        <v>4.0</v>
      </c>
      <c r="G249" s="288" t="s">
        <v>54</v>
      </c>
    </row>
    <row r="250" ht="15.0" customHeight="1">
      <c r="A250" s="224" t="s">
        <v>54</v>
      </c>
      <c r="B250" s="224" t="s">
        <v>52</v>
      </c>
      <c r="C250" s="82" t="s">
        <v>10303</v>
      </c>
      <c r="D250" s="83" t="s">
        <v>10046</v>
      </c>
      <c r="E250" s="83">
        <v>94.0</v>
      </c>
      <c r="F250" s="92">
        <v>94.0</v>
      </c>
      <c r="G250" s="288" t="s">
        <v>54</v>
      </c>
    </row>
    <row r="251" ht="15.0" customHeight="1">
      <c r="A251" s="224" t="s">
        <v>92</v>
      </c>
      <c r="B251" s="224" t="s">
        <v>52</v>
      </c>
      <c r="C251" s="82" t="s">
        <v>10304</v>
      </c>
      <c r="D251" s="83" t="s">
        <v>10305</v>
      </c>
      <c r="E251" s="488" t="s">
        <v>10306</v>
      </c>
      <c r="F251" s="92">
        <f t="shared" ref="F251:F252" si="49">25/3</f>
        <v>8.333333333</v>
      </c>
      <c r="G251" s="288" t="s">
        <v>92</v>
      </c>
    </row>
    <row r="252" ht="15.0" customHeight="1">
      <c r="A252" s="224" t="s">
        <v>92</v>
      </c>
      <c r="B252" s="224" t="s">
        <v>52</v>
      </c>
      <c r="C252" s="82" t="s">
        <v>10307</v>
      </c>
      <c r="D252" s="83" t="s">
        <v>10305</v>
      </c>
      <c r="E252" s="488" t="s">
        <v>10306</v>
      </c>
      <c r="F252" s="92">
        <f t="shared" si="49"/>
        <v>8.333333333</v>
      </c>
      <c r="G252" s="288" t="s">
        <v>92</v>
      </c>
    </row>
    <row r="253" ht="15.0" customHeight="1">
      <c r="A253" s="224" t="s">
        <v>92</v>
      </c>
      <c r="B253" s="224" t="s">
        <v>52</v>
      </c>
      <c r="C253" s="82" t="s">
        <v>10308</v>
      </c>
      <c r="D253" s="83" t="s">
        <v>10309</v>
      </c>
      <c r="E253" s="488" t="s">
        <v>10310</v>
      </c>
      <c r="F253" s="92">
        <f>25/3*0.5</f>
        <v>4.166666667</v>
      </c>
      <c r="G253" s="288" t="s">
        <v>92</v>
      </c>
    </row>
    <row r="254" ht="15.0" customHeight="1">
      <c r="A254" s="224" t="s">
        <v>92</v>
      </c>
      <c r="B254" s="224" t="s">
        <v>52</v>
      </c>
      <c r="C254" s="82" t="s">
        <v>10311</v>
      </c>
      <c r="D254" s="83" t="s">
        <v>10309</v>
      </c>
      <c r="E254" s="488" t="s">
        <v>10312</v>
      </c>
      <c r="F254" s="92">
        <f>25/3*0.5*0.25</f>
        <v>1.041666667</v>
      </c>
      <c r="G254" s="288" t="s">
        <v>92</v>
      </c>
    </row>
    <row r="255" ht="15.0" customHeight="1">
      <c r="A255" s="224" t="s">
        <v>92</v>
      </c>
      <c r="B255" s="224" t="s">
        <v>52</v>
      </c>
      <c r="C255" s="82" t="s">
        <v>10313</v>
      </c>
      <c r="D255" s="83" t="s">
        <v>10309</v>
      </c>
      <c r="E255" s="488" t="s">
        <v>10314</v>
      </c>
      <c r="F255" s="92">
        <f>25/3*0.5*0.1</f>
        <v>0.4166666667</v>
      </c>
      <c r="G255" s="288" t="s">
        <v>92</v>
      </c>
    </row>
    <row r="256" ht="15.0" customHeight="1">
      <c r="A256" s="224" t="s">
        <v>92</v>
      </c>
      <c r="B256" s="224" t="s">
        <v>52</v>
      </c>
      <c r="C256" s="82" t="s">
        <v>10315</v>
      </c>
      <c r="D256" s="83" t="s">
        <v>10305</v>
      </c>
      <c r="E256" s="488" t="s">
        <v>10316</v>
      </c>
      <c r="F256" s="92">
        <f>53/4</f>
        <v>13.25</v>
      </c>
      <c r="G256" s="288" t="s">
        <v>92</v>
      </c>
    </row>
    <row r="257" ht="15.0" customHeight="1">
      <c r="A257" s="224" t="s">
        <v>92</v>
      </c>
      <c r="B257" s="224" t="s">
        <v>52</v>
      </c>
      <c r="C257" s="82" t="s">
        <v>10317</v>
      </c>
      <c r="D257" s="83" t="s">
        <v>10309</v>
      </c>
      <c r="E257" s="488" t="s">
        <v>10318</v>
      </c>
      <c r="F257" s="92">
        <f>53/3*0.5</f>
        <v>8.833333333</v>
      </c>
      <c r="G257" s="288" t="s">
        <v>92</v>
      </c>
    </row>
    <row r="258" ht="15.0" customHeight="1">
      <c r="A258" s="224" t="s">
        <v>92</v>
      </c>
      <c r="B258" s="224" t="s">
        <v>52</v>
      </c>
      <c r="C258" s="82" t="s">
        <v>10319</v>
      </c>
      <c r="D258" s="83" t="s">
        <v>10309</v>
      </c>
      <c r="E258" s="488" t="s">
        <v>10320</v>
      </c>
      <c r="F258" s="92">
        <f>53/3*0.5*0.25</f>
        <v>2.208333333</v>
      </c>
      <c r="G258" s="288" t="s">
        <v>92</v>
      </c>
    </row>
    <row r="259" ht="15.0" customHeight="1">
      <c r="A259" s="224" t="s">
        <v>92</v>
      </c>
      <c r="B259" s="224" t="s">
        <v>52</v>
      </c>
      <c r="C259" s="82" t="s">
        <v>10321</v>
      </c>
      <c r="D259" s="83" t="s">
        <v>10309</v>
      </c>
      <c r="E259" s="488" t="s">
        <v>10322</v>
      </c>
      <c r="F259" s="92">
        <f>53/3*0.5*0.1</f>
        <v>0.8833333333</v>
      </c>
      <c r="G259" s="288" t="s">
        <v>92</v>
      </c>
    </row>
    <row r="260" ht="15.0" customHeight="1">
      <c r="A260" s="224" t="s">
        <v>92</v>
      </c>
      <c r="B260" s="224" t="s">
        <v>52</v>
      </c>
      <c r="C260" s="82" t="s">
        <v>10323</v>
      </c>
      <c r="D260" s="83" t="s">
        <v>10305</v>
      </c>
      <c r="E260" s="488" t="s">
        <v>10278</v>
      </c>
      <c r="F260" s="92">
        <f>18/3</f>
        <v>6</v>
      </c>
      <c r="G260" s="288" t="s">
        <v>92</v>
      </c>
    </row>
    <row r="261" ht="15.0" customHeight="1">
      <c r="A261" s="224" t="s">
        <v>92</v>
      </c>
      <c r="B261" s="224" t="s">
        <v>52</v>
      </c>
      <c r="C261" s="82" t="s">
        <v>10324</v>
      </c>
      <c r="D261" s="83" t="s">
        <v>10309</v>
      </c>
      <c r="E261" s="488" t="s">
        <v>10280</v>
      </c>
      <c r="F261" s="92">
        <f>18/3*0.5</f>
        <v>3</v>
      </c>
      <c r="G261" s="288" t="s">
        <v>92</v>
      </c>
    </row>
    <row r="262" ht="15.0" customHeight="1">
      <c r="A262" s="224" t="s">
        <v>92</v>
      </c>
      <c r="B262" s="224" t="s">
        <v>52</v>
      </c>
      <c r="C262" s="82" t="s">
        <v>10325</v>
      </c>
      <c r="D262" s="83" t="s">
        <v>10309</v>
      </c>
      <c r="E262" s="488" t="s">
        <v>10326</v>
      </c>
      <c r="F262" s="92">
        <f>18/3*0.5*0.25</f>
        <v>0.75</v>
      </c>
      <c r="G262" s="288" t="s">
        <v>92</v>
      </c>
    </row>
    <row r="263" ht="15.0" customHeight="1">
      <c r="A263" s="224" t="s">
        <v>92</v>
      </c>
      <c r="B263" s="224" t="s">
        <v>52</v>
      </c>
      <c r="C263" s="82" t="s">
        <v>10327</v>
      </c>
      <c r="D263" s="83" t="s">
        <v>10309</v>
      </c>
      <c r="E263" s="488" t="s">
        <v>10328</v>
      </c>
      <c r="F263" s="92">
        <f>18/3*0.5*0.1</f>
        <v>0.3</v>
      </c>
      <c r="G263" s="288" t="s">
        <v>92</v>
      </c>
    </row>
    <row r="264" ht="15.0" customHeight="1">
      <c r="A264" s="224" t="s">
        <v>92</v>
      </c>
      <c r="B264" s="224" t="s">
        <v>52</v>
      </c>
      <c r="C264" s="82" t="s">
        <v>10329</v>
      </c>
      <c r="D264" s="83" t="s">
        <v>10305</v>
      </c>
      <c r="E264" s="488" t="s">
        <v>10330</v>
      </c>
      <c r="F264" s="92">
        <f>30/3</f>
        <v>10</v>
      </c>
      <c r="G264" s="288" t="s">
        <v>92</v>
      </c>
    </row>
    <row r="265" ht="15.0" customHeight="1">
      <c r="A265" s="224" t="s">
        <v>92</v>
      </c>
      <c r="B265" s="224" t="s">
        <v>52</v>
      </c>
      <c r="C265" s="82" t="s">
        <v>10331</v>
      </c>
      <c r="D265" s="83" t="s">
        <v>10309</v>
      </c>
      <c r="E265" s="488" t="s">
        <v>10332</v>
      </c>
      <c r="F265" s="92">
        <f>30/3*0.5</f>
        <v>5</v>
      </c>
      <c r="G265" s="288" t="s">
        <v>92</v>
      </c>
    </row>
    <row r="266" ht="15.0" customHeight="1">
      <c r="A266" s="224" t="s">
        <v>92</v>
      </c>
      <c r="B266" s="224" t="s">
        <v>52</v>
      </c>
      <c r="C266" s="82" t="s">
        <v>10333</v>
      </c>
      <c r="D266" s="83" t="s">
        <v>10309</v>
      </c>
      <c r="E266" s="488" t="s">
        <v>10334</v>
      </c>
      <c r="F266" s="92">
        <f>30/3*0.5*0.25</f>
        <v>1.25</v>
      </c>
      <c r="G266" s="288" t="s">
        <v>92</v>
      </c>
    </row>
    <row r="267" ht="15.0" customHeight="1">
      <c r="A267" s="224" t="s">
        <v>92</v>
      </c>
      <c r="B267" s="224" t="s">
        <v>52</v>
      </c>
      <c r="C267" s="82" t="s">
        <v>10335</v>
      </c>
      <c r="D267" s="83" t="s">
        <v>10309</v>
      </c>
      <c r="E267" s="488" t="s">
        <v>10336</v>
      </c>
      <c r="F267" s="92">
        <f>30/3*0.5*0.1</f>
        <v>0.5</v>
      </c>
      <c r="G267" s="288" t="s">
        <v>92</v>
      </c>
    </row>
    <row r="268" ht="15.0" customHeight="1">
      <c r="A268" s="483" t="s">
        <v>8503</v>
      </c>
      <c r="B268" s="483" t="s">
        <v>52</v>
      </c>
      <c r="C268" s="100" t="s">
        <v>10337</v>
      </c>
      <c r="D268" s="156" t="s">
        <v>10046</v>
      </c>
      <c r="E268" s="151">
        <v>2.0</v>
      </c>
      <c r="F268" s="151">
        <v>2.0</v>
      </c>
      <c r="G268" s="288" t="s">
        <v>72</v>
      </c>
    </row>
    <row r="269" ht="15.0" customHeight="1">
      <c r="A269" s="483" t="s">
        <v>8503</v>
      </c>
      <c r="B269" s="483" t="s">
        <v>52</v>
      </c>
      <c r="C269" s="100" t="s">
        <v>10338</v>
      </c>
      <c r="D269" s="156" t="s">
        <v>10046</v>
      </c>
      <c r="E269" s="151">
        <v>2.0</v>
      </c>
      <c r="F269" s="151">
        <v>2.0</v>
      </c>
      <c r="G269" s="288" t="s">
        <v>72</v>
      </c>
    </row>
    <row r="270" ht="15.0" customHeight="1">
      <c r="A270" s="483" t="s">
        <v>8503</v>
      </c>
      <c r="B270" s="483" t="s">
        <v>52</v>
      </c>
      <c r="C270" s="100" t="s">
        <v>10339</v>
      </c>
      <c r="D270" s="156" t="s">
        <v>10046</v>
      </c>
      <c r="E270" s="151">
        <v>2.0</v>
      </c>
      <c r="F270" s="151">
        <v>0.5</v>
      </c>
      <c r="G270" s="288" t="s">
        <v>72</v>
      </c>
    </row>
    <row r="271" ht="15.0" customHeight="1">
      <c r="A271" s="483" t="s">
        <v>8503</v>
      </c>
      <c r="B271" s="483" t="s">
        <v>52</v>
      </c>
      <c r="C271" s="100" t="s">
        <v>10340</v>
      </c>
      <c r="D271" s="156" t="s">
        <v>10046</v>
      </c>
      <c r="E271" s="151">
        <v>2.0</v>
      </c>
      <c r="F271" s="151">
        <v>0.2</v>
      </c>
      <c r="G271" s="288" t="s">
        <v>72</v>
      </c>
    </row>
    <row r="272" ht="15.0" customHeight="1">
      <c r="A272" s="483" t="s">
        <v>8503</v>
      </c>
      <c r="B272" s="483" t="s">
        <v>52</v>
      </c>
      <c r="C272" s="100" t="s">
        <v>10341</v>
      </c>
      <c r="D272" s="156" t="s">
        <v>10046</v>
      </c>
      <c r="E272" s="151">
        <v>7.33</v>
      </c>
      <c r="F272" s="151">
        <v>7.33</v>
      </c>
      <c r="G272" s="288" t="s">
        <v>72</v>
      </c>
    </row>
    <row r="273" ht="15.0" customHeight="1">
      <c r="A273" s="483" t="s">
        <v>8503</v>
      </c>
      <c r="B273" s="483" t="s">
        <v>52</v>
      </c>
      <c r="C273" s="100" t="s">
        <v>10342</v>
      </c>
      <c r="D273" s="156" t="s">
        <v>10046</v>
      </c>
      <c r="E273" s="151">
        <v>7.33</v>
      </c>
      <c r="F273" s="151">
        <v>7.33</v>
      </c>
      <c r="G273" s="288" t="s">
        <v>72</v>
      </c>
    </row>
    <row r="274" ht="15.0" customHeight="1">
      <c r="A274" s="483" t="s">
        <v>8503</v>
      </c>
      <c r="B274" s="483" t="s">
        <v>52</v>
      </c>
      <c r="C274" s="100" t="s">
        <v>10343</v>
      </c>
      <c r="D274" s="156" t="s">
        <v>10046</v>
      </c>
      <c r="E274" s="151">
        <v>7.33</v>
      </c>
      <c r="F274" s="151">
        <v>1.83</v>
      </c>
      <c r="G274" s="288" t="s">
        <v>72</v>
      </c>
    </row>
    <row r="275" ht="15.0" customHeight="1">
      <c r="A275" s="483" t="s">
        <v>8503</v>
      </c>
      <c r="B275" s="483" t="s">
        <v>52</v>
      </c>
      <c r="C275" s="100" t="s">
        <v>10344</v>
      </c>
      <c r="D275" s="156" t="s">
        <v>10046</v>
      </c>
      <c r="E275" s="151">
        <v>7.33</v>
      </c>
      <c r="F275" s="151">
        <v>0.73</v>
      </c>
      <c r="G275" s="288" t="s">
        <v>72</v>
      </c>
    </row>
    <row r="276" ht="15.0" customHeight="1">
      <c r="A276" s="483" t="s">
        <v>8503</v>
      </c>
      <c r="B276" s="483" t="s">
        <v>52</v>
      </c>
      <c r="C276" s="100" t="s">
        <v>10345</v>
      </c>
      <c r="D276" s="156" t="s">
        <v>10046</v>
      </c>
      <c r="E276" s="151">
        <v>2.0</v>
      </c>
      <c r="F276" s="151">
        <v>2.0</v>
      </c>
      <c r="G276" s="288" t="s">
        <v>72</v>
      </c>
    </row>
    <row r="277" ht="15.0" customHeight="1">
      <c r="A277" s="483" t="s">
        <v>8503</v>
      </c>
      <c r="B277" s="483" t="s">
        <v>52</v>
      </c>
      <c r="C277" s="100" t="s">
        <v>10346</v>
      </c>
      <c r="D277" s="156" t="s">
        <v>10046</v>
      </c>
      <c r="E277" s="151">
        <v>2.0</v>
      </c>
      <c r="F277" s="151">
        <v>2.0</v>
      </c>
      <c r="G277" s="288" t="s">
        <v>72</v>
      </c>
    </row>
    <row r="278" ht="15.0" customHeight="1">
      <c r="A278" s="483" t="s">
        <v>8503</v>
      </c>
      <c r="B278" s="483" t="s">
        <v>52</v>
      </c>
      <c r="C278" s="100" t="s">
        <v>10347</v>
      </c>
      <c r="D278" s="156" t="s">
        <v>10046</v>
      </c>
      <c r="E278" s="151">
        <v>0.5</v>
      </c>
      <c r="F278" s="151">
        <v>0.5</v>
      </c>
      <c r="G278" s="288" t="s">
        <v>72</v>
      </c>
    </row>
    <row r="279" ht="15.0" customHeight="1">
      <c r="A279" s="483" t="s">
        <v>8503</v>
      </c>
      <c r="B279" s="483" t="s">
        <v>52</v>
      </c>
      <c r="C279" s="100" t="s">
        <v>10348</v>
      </c>
      <c r="D279" s="156" t="s">
        <v>10046</v>
      </c>
      <c r="E279" s="151">
        <v>0.2</v>
      </c>
      <c r="F279" s="151">
        <v>0.2</v>
      </c>
      <c r="G279" s="288" t="s">
        <v>72</v>
      </c>
    </row>
    <row r="280" ht="15.0" customHeight="1">
      <c r="A280" s="483" t="s">
        <v>8503</v>
      </c>
      <c r="B280" s="483" t="s">
        <v>52</v>
      </c>
      <c r="C280" s="100" t="s">
        <v>10349</v>
      </c>
      <c r="D280" s="156" t="s">
        <v>10046</v>
      </c>
      <c r="E280" s="151">
        <v>7.33</v>
      </c>
      <c r="F280" s="151">
        <v>7.33</v>
      </c>
      <c r="G280" s="288" t="s">
        <v>72</v>
      </c>
    </row>
    <row r="281" ht="15.0" customHeight="1">
      <c r="A281" s="483" t="s">
        <v>8503</v>
      </c>
      <c r="B281" s="483" t="s">
        <v>52</v>
      </c>
      <c r="C281" s="100" t="s">
        <v>10350</v>
      </c>
      <c r="D281" s="156" t="s">
        <v>10046</v>
      </c>
      <c r="E281" s="151">
        <v>7.33</v>
      </c>
      <c r="F281" s="151">
        <v>7.33</v>
      </c>
      <c r="G281" s="288" t="s">
        <v>72</v>
      </c>
    </row>
    <row r="282" ht="15.0" customHeight="1">
      <c r="A282" s="483" t="s">
        <v>8503</v>
      </c>
      <c r="B282" s="483" t="s">
        <v>52</v>
      </c>
      <c r="C282" s="100" t="s">
        <v>10351</v>
      </c>
      <c r="D282" s="156" t="s">
        <v>10046</v>
      </c>
      <c r="E282" s="151">
        <v>7.33</v>
      </c>
      <c r="F282" s="151">
        <v>1.83</v>
      </c>
      <c r="G282" s="288" t="s">
        <v>72</v>
      </c>
    </row>
    <row r="283" ht="15.0" customHeight="1">
      <c r="A283" s="483" t="s">
        <v>8503</v>
      </c>
      <c r="B283" s="483" t="s">
        <v>52</v>
      </c>
      <c r="C283" s="100" t="s">
        <v>10352</v>
      </c>
      <c r="D283" s="156" t="s">
        <v>10046</v>
      </c>
      <c r="E283" s="151">
        <v>7.33</v>
      </c>
      <c r="F283" s="151">
        <v>0.73</v>
      </c>
      <c r="G283" s="288" t="s">
        <v>72</v>
      </c>
    </row>
    <row r="284" ht="15.0" customHeight="1">
      <c r="A284" s="483" t="s">
        <v>8503</v>
      </c>
      <c r="B284" s="483" t="s">
        <v>52</v>
      </c>
      <c r="C284" s="100" t="s">
        <v>10353</v>
      </c>
      <c r="D284" s="156" t="s">
        <v>10046</v>
      </c>
      <c r="E284" s="151">
        <v>3.67</v>
      </c>
      <c r="F284" s="151">
        <v>3.67</v>
      </c>
      <c r="G284" s="288" t="s">
        <v>72</v>
      </c>
    </row>
    <row r="285" ht="15.0" customHeight="1">
      <c r="A285" s="483" t="s">
        <v>8503</v>
      </c>
      <c r="B285" s="483" t="s">
        <v>52</v>
      </c>
      <c r="C285" s="100" t="s">
        <v>10354</v>
      </c>
      <c r="D285" s="156" t="s">
        <v>10046</v>
      </c>
      <c r="E285" s="151">
        <v>3.67</v>
      </c>
      <c r="F285" s="151">
        <v>3.67</v>
      </c>
      <c r="G285" s="288" t="s">
        <v>72</v>
      </c>
    </row>
    <row r="286" ht="15.0" customHeight="1">
      <c r="A286" s="483" t="s">
        <v>8503</v>
      </c>
      <c r="B286" s="483" t="s">
        <v>52</v>
      </c>
      <c r="C286" s="100" t="s">
        <v>10355</v>
      </c>
      <c r="D286" s="156" t="s">
        <v>10046</v>
      </c>
      <c r="E286" s="151">
        <v>3.67</v>
      </c>
      <c r="F286" s="151">
        <v>0.92</v>
      </c>
      <c r="G286" s="288" t="s">
        <v>72</v>
      </c>
    </row>
    <row r="287" ht="15.0" customHeight="1">
      <c r="A287" s="483" t="s">
        <v>8503</v>
      </c>
      <c r="B287" s="483" t="s">
        <v>52</v>
      </c>
      <c r="C287" s="100" t="s">
        <v>10356</v>
      </c>
      <c r="D287" s="156" t="s">
        <v>10046</v>
      </c>
      <c r="E287" s="151">
        <v>3.67</v>
      </c>
      <c r="F287" s="151">
        <v>0.37</v>
      </c>
      <c r="G287" s="288" t="s">
        <v>72</v>
      </c>
    </row>
    <row r="288" ht="15.0" customHeight="1">
      <c r="A288" s="483" t="s">
        <v>8503</v>
      </c>
      <c r="B288" s="483" t="s">
        <v>52</v>
      </c>
      <c r="C288" s="100" t="s">
        <v>10357</v>
      </c>
      <c r="D288" s="156" t="s">
        <v>10046</v>
      </c>
      <c r="E288" s="151">
        <v>3.67</v>
      </c>
      <c r="F288" s="151">
        <v>3.67</v>
      </c>
      <c r="G288" s="288" t="s">
        <v>72</v>
      </c>
    </row>
    <row r="289" ht="15.0" customHeight="1">
      <c r="A289" s="483" t="s">
        <v>8503</v>
      </c>
      <c r="B289" s="483" t="s">
        <v>52</v>
      </c>
      <c r="C289" s="100" t="s">
        <v>10358</v>
      </c>
      <c r="D289" s="156" t="s">
        <v>10046</v>
      </c>
      <c r="E289" s="151">
        <v>3.67</v>
      </c>
      <c r="F289" s="151">
        <v>3.67</v>
      </c>
      <c r="G289" s="288" t="s">
        <v>72</v>
      </c>
    </row>
    <row r="290" ht="15.0" customHeight="1">
      <c r="A290" s="483" t="s">
        <v>8503</v>
      </c>
      <c r="B290" s="483" t="s">
        <v>52</v>
      </c>
      <c r="C290" s="100" t="s">
        <v>10359</v>
      </c>
      <c r="D290" s="156" t="s">
        <v>10046</v>
      </c>
      <c r="E290" s="151">
        <v>3.67</v>
      </c>
      <c r="F290" s="151">
        <v>3.67</v>
      </c>
      <c r="G290" s="288" t="s">
        <v>72</v>
      </c>
    </row>
    <row r="291" ht="15.0" customHeight="1">
      <c r="A291" s="483" t="s">
        <v>8503</v>
      </c>
      <c r="B291" s="483" t="s">
        <v>52</v>
      </c>
      <c r="C291" s="100" t="s">
        <v>10360</v>
      </c>
      <c r="D291" s="156" t="s">
        <v>10046</v>
      </c>
      <c r="E291" s="151">
        <v>3.67</v>
      </c>
      <c r="F291" s="151">
        <v>0.92</v>
      </c>
      <c r="G291" s="288" t="s">
        <v>72</v>
      </c>
    </row>
    <row r="292" ht="15.0" customHeight="1">
      <c r="A292" s="483" t="s">
        <v>8503</v>
      </c>
      <c r="B292" s="483" t="s">
        <v>52</v>
      </c>
      <c r="C292" s="100" t="s">
        <v>10361</v>
      </c>
      <c r="D292" s="156" t="s">
        <v>10046</v>
      </c>
      <c r="E292" s="151">
        <v>3.67</v>
      </c>
      <c r="F292" s="151">
        <v>0.37</v>
      </c>
      <c r="G292" s="288" t="s">
        <v>72</v>
      </c>
    </row>
    <row r="293" ht="15.0" customHeight="1">
      <c r="A293" s="483" t="s">
        <v>8503</v>
      </c>
      <c r="B293" s="483" t="s">
        <v>52</v>
      </c>
      <c r="C293" s="100" t="s">
        <v>10362</v>
      </c>
      <c r="D293" s="156" t="s">
        <v>10046</v>
      </c>
      <c r="E293" s="151">
        <v>3.67</v>
      </c>
      <c r="F293" s="151">
        <v>3.67</v>
      </c>
      <c r="G293" s="288" t="s">
        <v>72</v>
      </c>
    </row>
    <row r="294" ht="15.0" customHeight="1">
      <c r="A294" s="483" t="s">
        <v>8503</v>
      </c>
      <c r="B294" s="483" t="s">
        <v>52</v>
      </c>
      <c r="C294" s="100" t="s">
        <v>10363</v>
      </c>
      <c r="D294" s="156" t="s">
        <v>10046</v>
      </c>
      <c r="E294" s="151">
        <v>3.67</v>
      </c>
      <c r="F294" s="151">
        <v>3.67</v>
      </c>
      <c r="G294" s="288" t="s">
        <v>72</v>
      </c>
    </row>
    <row r="295" ht="15.0" customHeight="1">
      <c r="A295" s="483" t="s">
        <v>8503</v>
      </c>
      <c r="B295" s="483" t="s">
        <v>52</v>
      </c>
      <c r="C295" s="100" t="s">
        <v>10364</v>
      </c>
      <c r="D295" s="156" t="s">
        <v>10046</v>
      </c>
      <c r="E295" s="151">
        <v>3.67</v>
      </c>
      <c r="F295" s="151">
        <v>0.92</v>
      </c>
      <c r="G295" s="288" t="s">
        <v>72</v>
      </c>
    </row>
    <row r="296" ht="15.0" customHeight="1">
      <c r="A296" s="483" t="s">
        <v>8503</v>
      </c>
      <c r="B296" s="483" t="s">
        <v>52</v>
      </c>
      <c r="C296" s="100" t="s">
        <v>10365</v>
      </c>
      <c r="D296" s="156" t="s">
        <v>10046</v>
      </c>
      <c r="E296" s="151">
        <v>3.67</v>
      </c>
      <c r="F296" s="151">
        <v>0.37</v>
      </c>
      <c r="G296" s="288" t="s">
        <v>72</v>
      </c>
    </row>
    <row r="297" ht="15.0" customHeight="1">
      <c r="A297" s="483" t="s">
        <v>8503</v>
      </c>
      <c r="B297" s="483" t="s">
        <v>52</v>
      </c>
      <c r="C297" s="100" t="s">
        <v>10366</v>
      </c>
      <c r="D297" s="156" t="s">
        <v>10046</v>
      </c>
      <c r="E297" s="151">
        <v>3.67</v>
      </c>
      <c r="F297" s="151">
        <v>3.67</v>
      </c>
      <c r="G297" s="288" t="s">
        <v>72</v>
      </c>
    </row>
    <row r="298" ht="15.0" customHeight="1">
      <c r="A298" s="483" t="s">
        <v>8503</v>
      </c>
      <c r="B298" s="483" t="s">
        <v>52</v>
      </c>
      <c r="C298" s="100" t="s">
        <v>10367</v>
      </c>
      <c r="D298" s="156" t="s">
        <v>10046</v>
      </c>
      <c r="E298" s="151">
        <v>3.67</v>
      </c>
      <c r="F298" s="151">
        <v>3.67</v>
      </c>
      <c r="G298" s="288" t="s">
        <v>72</v>
      </c>
    </row>
    <row r="299" ht="15.0" customHeight="1">
      <c r="A299" s="483" t="s">
        <v>8503</v>
      </c>
      <c r="B299" s="483" t="s">
        <v>52</v>
      </c>
      <c r="C299" s="100" t="s">
        <v>10368</v>
      </c>
      <c r="D299" s="156" t="s">
        <v>10046</v>
      </c>
      <c r="E299" s="151">
        <v>3.67</v>
      </c>
      <c r="F299" s="151">
        <v>0.92</v>
      </c>
      <c r="G299" s="288" t="s">
        <v>72</v>
      </c>
    </row>
    <row r="300" ht="15.0" customHeight="1">
      <c r="A300" s="483" t="s">
        <v>8503</v>
      </c>
      <c r="B300" s="483" t="s">
        <v>52</v>
      </c>
      <c r="C300" s="100" t="s">
        <v>10369</v>
      </c>
      <c r="D300" s="156" t="s">
        <v>10046</v>
      </c>
      <c r="E300" s="151">
        <v>3.67</v>
      </c>
      <c r="F300" s="151">
        <v>0.37</v>
      </c>
      <c r="G300" s="288" t="s">
        <v>72</v>
      </c>
    </row>
    <row r="301" ht="15.0" customHeight="1">
      <c r="A301" s="483" t="s">
        <v>8503</v>
      </c>
      <c r="B301" s="483" t="s">
        <v>52</v>
      </c>
      <c r="C301" s="100" t="s">
        <v>10370</v>
      </c>
      <c r="D301" s="156" t="s">
        <v>10046</v>
      </c>
      <c r="E301" s="151">
        <v>3.67</v>
      </c>
      <c r="F301" s="151">
        <v>3.67</v>
      </c>
      <c r="G301" s="288" t="s">
        <v>72</v>
      </c>
    </row>
    <row r="302" ht="15.0" customHeight="1">
      <c r="A302" s="483" t="s">
        <v>8503</v>
      </c>
      <c r="B302" s="483" t="s">
        <v>52</v>
      </c>
      <c r="C302" s="100" t="s">
        <v>10371</v>
      </c>
      <c r="D302" s="156" t="s">
        <v>10046</v>
      </c>
      <c r="E302" s="151">
        <v>3.67</v>
      </c>
      <c r="F302" s="151">
        <v>3.67</v>
      </c>
      <c r="G302" s="288" t="s">
        <v>72</v>
      </c>
    </row>
    <row r="303" ht="15.0" customHeight="1">
      <c r="A303" s="483" t="s">
        <v>8503</v>
      </c>
      <c r="B303" s="483" t="s">
        <v>52</v>
      </c>
      <c r="C303" s="100" t="s">
        <v>10372</v>
      </c>
      <c r="D303" s="156" t="s">
        <v>10046</v>
      </c>
      <c r="E303" s="151">
        <v>3.67</v>
      </c>
      <c r="F303" s="151">
        <v>0.92</v>
      </c>
      <c r="G303" s="288" t="s">
        <v>72</v>
      </c>
    </row>
    <row r="304" ht="15.0" customHeight="1">
      <c r="A304" s="483" t="s">
        <v>8503</v>
      </c>
      <c r="B304" s="483" t="s">
        <v>52</v>
      </c>
      <c r="C304" s="100" t="s">
        <v>10373</v>
      </c>
      <c r="D304" s="156" t="s">
        <v>10046</v>
      </c>
      <c r="E304" s="151">
        <v>3.67</v>
      </c>
      <c r="F304" s="151">
        <v>0.37</v>
      </c>
      <c r="G304" s="288" t="s">
        <v>72</v>
      </c>
    </row>
    <row r="305" ht="15.0" customHeight="1">
      <c r="A305" s="483" t="s">
        <v>8503</v>
      </c>
      <c r="B305" s="483" t="s">
        <v>52</v>
      </c>
      <c r="C305" s="100" t="s">
        <v>10374</v>
      </c>
      <c r="D305" s="156" t="s">
        <v>10046</v>
      </c>
      <c r="E305" s="151">
        <v>4.33</v>
      </c>
      <c r="F305" s="151">
        <v>8.77</v>
      </c>
      <c r="G305" s="288" t="s">
        <v>72</v>
      </c>
    </row>
    <row r="306" ht="15.0" customHeight="1">
      <c r="A306" s="224" t="s">
        <v>9211</v>
      </c>
      <c r="B306" s="224" t="s">
        <v>52</v>
      </c>
      <c r="C306" s="82" t="s">
        <v>10375</v>
      </c>
      <c r="D306" s="83" t="s">
        <v>10046</v>
      </c>
      <c r="E306" s="82">
        <v>2.0</v>
      </c>
      <c r="F306" s="92">
        <v>2.0</v>
      </c>
      <c r="G306" s="288" t="s">
        <v>76</v>
      </c>
    </row>
    <row r="307" ht="15.0" customHeight="1">
      <c r="A307" s="224" t="s">
        <v>9211</v>
      </c>
      <c r="B307" s="224" t="s">
        <v>52</v>
      </c>
      <c r="C307" s="82" t="s">
        <v>10376</v>
      </c>
      <c r="D307" s="83" t="s">
        <v>10046</v>
      </c>
      <c r="E307" s="82">
        <v>2.0</v>
      </c>
      <c r="F307" s="92">
        <v>2.0</v>
      </c>
      <c r="G307" s="288" t="s">
        <v>76</v>
      </c>
    </row>
    <row r="308" ht="15.0" customHeight="1">
      <c r="A308" s="224" t="s">
        <v>9211</v>
      </c>
      <c r="B308" s="224" t="s">
        <v>52</v>
      </c>
      <c r="C308" s="82" t="s">
        <v>10377</v>
      </c>
      <c r="D308" s="83" t="s">
        <v>10046</v>
      </c>
      <c r="E308" s="82">
        <v>0.5</v>
      </c>
      <c r="F308" s="92">
        <v>0.5</v>
      </c>
      <c r="G308" s="288" t="s">
        <v>76</v>
      </c>
    </row>
    <row r="309" ht="15.0" customHeight="1">
      <c r="A309" s="224" t="s">
        <v>9211</v>
      </c>
      <c r="B309" s="224" t="s">
        <v>52</v>
      </c>
      <c r="C309" s="82" t="s">
        <v>10378</v>
      </c>
      <c r="D309" s="83" t="s">
        <v>10046</v>
      </c>
      <c r="E309" s="82">
        <v>0.2</v>
      </c>
      <c r="F309" s="92">
        <v>0.2</v>
      </c>
      <c r="G309" s="288" t="s">
        <v>76</v>
      </c>
    </row>
    <row r="310" ht="15.0" customHeight="1">
      <c r="A310" s="224" t="s">
        <v>9211</v>
      </c>
      <c r="B310" s="224" t="s">
        <v>52</v>
      </c>
      <c r="C310" s="82" t="s">
        <v>10379</v>
      </c>
      <c r="D310" s="83" t="s">
        <v>10046</v>
      </c>
      <c r="E310" s="82">
        <v>7.33</v>
      </c>
      <c r="F310" s="92">
        <v>7.33</v>
      </c>
      <c r="G310" s="288" t="s">
        <v>76</v>
      </c>
    </row>
    <row r="311" ht="15.0" customHeight="1">
      <c r="A311" s="224" t="s">
        <v>9211</v>
      </c>
      <c r="B311" s="224" t="s">
        <v>52</v>
      </c>
      <c r="C311" s="82" t="s">
        <v>10380</v>
      </c>
      <c r="D311" s="83" t="s">
        <v>10046</v>
      </c>
      <c r="E311" s="82">
        <v>7.33</v>
      </c>
      <c r="F311" s="92">
        <v>7.33</v>
      </c>
      <c r="G311" s="288" t="s">
        <v>76</v>
      </c>
    </row>
    <row r="312" ht="15.0" customHeight="1">
      <c r="A312" s="224" t="s">
        <v>9211</v>
      </c>
      <c r="B312" s="224" t="s">
        <v>52</v>
      </c>
      <c r="C312" s="82" t="s">
        <v>10381</v>
      </c>
      <c r="D312" s="83" t="s">
        <v>10046</v>
      </c>
      <c r="E312" s="82">
        <v>1.83</v>
      </c>
      <c r="F312" s="92">
        <v>1.83</v>
      </c>
      <c r="G312" s="288" t="s">
        <v>76</v>
      </c>
    </row>
    <row r="313" ht="15.0" customHeight="1">
      <c r="A313" s="224" t="s">
        <v>9211</v>
      </c>
      <c r="B313" s="224" t="s">
        <v>52</v>
      </c>
      <c r="C313" s="82" t="s">
        <v>10382</v>
      </c>
      <c r="D313" s="83" t="s">
        <v>10046</v>
      </c>
      <c r="E313" s="82">
        <v>0.73</v>
      </c>
      <c r="F313" s="92">
        <v>0.73</v>
      </c>
      <c r="G313" s="288" t="s">
        <v>76</v>
      </c>
    </row>
    <row r="314" ht="15.0" customHeight="1">
      <c r="A314" s="224" t="s">
        <v>9211</v>
      </c>
      <c r="B314" s="224" t="s">
        <v>52</v>
      </c>
      <c r="C314" s="82" t="s">
        <v>10383</v>
      </c>
      <c r="D314" s="83" t="s">
        <v>10046</v>
      </c>
      <c r="E314" s="82">
        <v>2.0</v>
      </c>
      <c r="F314" s="92">
        <v>2.0</v>
      </c>
      <c r="G314" s="288" t="s">
        <v>76</v>
      </c>
    </row>
    <row r="315" ht="15.0" customHeight="1">
      <c r="A315" s="224" t="s">
        <v>9211</v>
      </c>
      <c r="B315" s="224" t="s">
        <v>52</v>
      </c>
      <c r="C315" s="82" t="s">
        <v>10384</v>
      </c>
      <c r="D315" s="83" t="s">
        <v>10046</v>
      </c>
      <c r="E315" s="82">
        <v>2.0</v>
      </c>
      <c r="F315" s="92">
        <v>2.0</v>
      </c>
      <c r="G315" s="288" t="s">
        <v>76</v>
      </c>
    </row>
    <row r="316" ht="15.0" customHeight="1">
      <c r="A316" s="224" t="s">
        <v>9211</v>
      </c>
      <c r="B316" s="224" t="s">
        <v>52</v>
      </c>
      <c r="C316" s="82" t="s">
        <v>10385</v>
      </c>
      <c r="D316" s="83" t="s">
        <v>10046</v>
      </c>
      <c r="E316" s="82">
        <v>0.5</v>
      </c>
      <c r="F316" s="92">
        <v>0.5</v>
      </c>
      <c r="G316" s="288" t="s">
        <v>76</v>
      </c>
    </row>
    <row r="317" ht="15.0" customHeight="1">
      <c r="A317" s="224" t="s">
        <v>9211</v>
      </c>
      <c r="B317" s="224" t="s">
        <v>52</v>
      </c>
      <c r="C317" s="82" t="s">
        <v>10386</v>
      </c>
      <c r="D317" s="83" t="s">
        <v>10046</v>
      </c>
      <c r="E317" s="82">
        <v>0.2</v>
      </c>
      <c r="F317" s="92">
        <v>0.2</v>
      </c>
      <c r="G317" s="288" t="s">
        <v>76</v>
      </c>
    </row>
    <row r="318" ht="15.0" customHeight="1">
      <c r="A318" s="224" t="s">
        <v>9211</v>
      </c>
      <c r="B318" s="224" t="s">
        <v>52</v>
      </c>
      <c r="C318" s="82" t="s">
        <v>10387</v>
      </c>
      <c r="D318" s="83" t="s">
        <v>10046</v>
      </c>
      <c r="E318" s="82">
        <v>7.33</v>
      </c>
      <c r="F318" s="92">
        <v>7.33</v>
      </c>
      <c r="G318" s="288" t="s">
        <v>76</v>
      </c>
    </row>
    <row r="319" ht="15.0" customHeight="1">
      <c r="A319" s="224" t="s">
        <v>9211</v>
      </c>
      <c r="B319" s="224" t="s">
        <v>52</v>
      </c>
      <c r="C319" s="82" t="s">
        <v>10388</v>
      </c>
      <c r="D319" s="83" t="s">
        <v>10046</v>
      </c>
      <c r="E319" s="82">
        <v>7.33</v>
      </c>
      <c r="F319" s="92">
        <v>7.33</v>
      </c>
      <c r="G319" s="288" t="s">
        <v>76</v>
      </c>
    </row>
    <row r="320" ht="15.0" customHeight="1">
      <c r="A320" s="224" t="s">
        <v>9211</v>
      </c>
      <c r="B320" s="224" t="s">
        <v>52</v>
      </c>
      <c r="C320" s="82" t="s">
        <v>10389</v>
      </c>
      <c r="D320" s="83" t="s">
        <v>10046</v>
      </c>
      <c r="E320" s="82">
        <v>1.83</v>
      </c>
      <c r="F320" s="92">
        <v>1.83</v>
      </c>
      <c r="G320" s="288" t="s">
        <v>76</v>
      </c>
    </row>
    <row r="321" ht="15.0" customHeight="1">
      <c r="A321" s="224" t="s">
        <v>9211</v>
      </c>
      <c r="B321" s="224" t="s">
        <v>52</v>
      </c>
      <c r="C321" s="82" t="s">
        <v>10390</v>
      </c>
      <c r="D321" s="83" t="s">
        <v>10046</v>
      </c>
      <c r="E321" s="82">
        <v>0.73</v>
      </c>
      <c r="F321" s="92">
        <v>0.73</v>
      </c>
      <c r="G321" s="288" t="s">
        <v>76</v>
      </c>
    </row>
    <row r="322" ht="15.0" customHeight="1">
      <c r="A322" s="224" t="s">
        <v>9211</v>
      </c>
      <c r="B322" s="224" t="s">
        <v>52</v>
      </c>
      <c r="C322" s="82" t="s">
        <v>10391</v>
      </c>
      <c r="D322" s="83" t="s">
        <v>10046</v>
      </c>
      <c r="E322" s="82">
        <v>7.33</v>
      </c>
      <c r="F322" s="92">
        <v>7.33</v>
      </c>
      <c r="G322" s="288" t="s">
        <v>76</v>
      </c>
    </row>
    <row r="323" ht="15.0" customHeight="1">
      <c r="A323" s="224" t="s">
        <v>9211</v>
      </c>
      <c r="B323" s="224" t="s">
        <v>52</v>
      </c>
      <c r="C323" s="82" t="s">
        <v>10392</v>
      </c>
      <c r="D323" s="83" t="s">
        <v>10046</v>
      </c>
      <c r="E323" s="82">
        <v>7.33</v>
      </c>
      <c r="F323" s="92">
        <v>7.33</v>
      </c>
      <c r="G323" s="288" t="s">
        <v>76</v>
      </c>
    </row>
    <row r="324" ht="15.0" customHeight="1">
      <c r="A324" s="224" t="s">
        <v>9211</v>
      </c>
      <c r="B324" s="224" t="s">
        <v>52</v>
      </c>
      <c r="C324" s="82" t="s">
        <v>10393</v>
      </c>
      <c r="D324" s="83" t="s">
        <v>10046</v>
      </c>
      <c r="E324" s="82">
        <v>2.0</v>
      </c>
      <c r="F324" s="92">
        <v>2.0</v>
      </c>
      <c r="G324" s="288" t="s">
        <v>76</v>
      </c>
    </row>
    <row r="325" ht="15.0" customHeight="1">
      <c r="A325" s="224" t="s">
        <v>9211</v>
      </c>
      <c r="B325" s="224" t="s">
        <v>52</v>
      </c>
      <c r="C325" s="82" t="s">
        <v>10394</v>
      </c>
      <c r="D325" s="83" t="s">
        <v>10046</v>
      </c>
      <c r="E325" s="82">
        <v>2.0</v>
      </c>
      <c r="F325" s="92">
        <v>2.0</v>
      </c>
      <c r="G325" s="288" t="s">
        <v>76</v>
      </c>
    </row>
    <row r="326" ht="15.0" customHeight="1">
      <c r="A326" s="224" t="s">
        <v>9211</v>
      </c>
      <c r="B326" s="224" t="s">
        <v>52</v>
      </c>
      <c r="C326" s="82" t="s">
        <v>10395</v>
      </c>
      <c r="D326" s="83" t="s">
        <v>10046</v>
      </c>
      <c r="E326" s="82">
        <v>0.5</v>
      </c>
      <c r="F326" s="92">
        <v>0.5</v>
      </c>
      <c r="G326" s="288" t="s">
        <v>76</v>
      </c>
    </row>
    <row r="327" ht="15.0" customHeight="1">
      <c r="A327" s="224" t="s">
        <v>9211</v>
      </c>
      <c r="B327" s="224" t="s">
        <v>52</v>
      </c>
      <c r="C327" s="82" t="s">
        <v>10396</v>
      </c>
      <c r="D327" s="83" t="s">
        <v>10046</v>
      </c>
      <c r="E327" s="82">
        <v>0.2</v>
      </c>
      <c r="F327" s="92">
        <v>0.2</v>
      </c>
      <c r="G327" s="288" t="s">
        <v>76</v>
      </c>
    </row>
    <row r="328" ht="15.0" customHeight="1">
      <c r="A328" s="224" t="s">
        <v>9211</v>
      </c>
      <c r="B328" s="224" t="s">
        <v>52</v>
      </c>
      <c r="C328" s="82" t="s">
        <v>10397</v>
      </c>
      <c r="D328" s="83" t="s">
        <v>10046</v>
      </c>
      <c r="E328" s="82">
        <v>7.33</v>
      </c>
      <c r="F328" s="92">
        <v>7.33</v>
      </c>
      <c r="G328" s="288" t="s">
        <v>76</v>
      </c>
    </row>
    <row r="329" ht="15.0" customHeight="1">
      <c r="A329" s="224" t="s">
        <v>9211</v>
      </c>
      <c r="B329" s="224" t="s">
        <v>52</v>
      </c>
      <c r="C329" s="82" t="s">
        <v>10388</v>
      </c>
      <c r="D329" s="83" t="s">
        <v>10046</v>
      </c>
      <c r="E329" s="82">
        <v>7.33</v>
      </c>
      <c r="F329" s="92">
        <v>7.33</v>
      </c>
      <c r="G329" s="288" t="s">
        <v>76</v>
      </c>
    </row>
    <row r="330" ht="15.0" customHeight="1">
      <c r="A330" s="224" t="s">
        <v>9211</v>
      </c>
      <c r="B330" s="224" t="s">
        <v>52</v>
      </c>
      <c r="C330" s="82" t="s">
        <v>10389</v>
      </c>
      <c r="D330" s="83" t="s">
        <v>10046</v>
      </c>
      <c r="E330" s="82">
        <v>1.83</v>
      </c>
      <c r="F330" s="92">
        <v>1.83</v>
      </c>
      <c r="G330" s="288" t="s">
        <v>76</v>
      </c>
    </row>
    <row r="331" ht="15.0" customHeight="1">
      <c r="A331" s="224" t="s">
        <v>9211</v>
      </c>
      <c r="B331" s="224" t="s">
        <v>52</v>
      </c>
      <c r="C331" s="82" t="s">
        <v>10390</v>
      </c>
      <c r="D331" s="83" t="s">
        <v>10046</v>
      </c>
      <c r="E331" s="82">
        <v>0.73</v>
      </c>
      <c r="F331" s="92">
        <v>0.73</v>
      </c>
      <c r="G331" s="288" t="s">
        <v>76</v>
      </c>
    </row>
    <row r="332" ht="15.0" customHeight="1">
      <c r="A332" s="224" t="s">
        <v>9211</v>
      </c>
      <c r="B332" s="224" t="s">
        <v>52</v>
      </c>
      <c r="C332" s="82" t="s">
        <v>10398</v>
      </c>
      <c r="D332" s="83" t="s">
        <v>10046</v>
      </c>
      <c r="E332" s="82">
        <v>6.0</v>
      </c>
      <c r="F332" s="92">
        <v>6.0</v>
      </c>
      <c r="G332" s="288" t="s">
        <v>76</v>
      </c>
    </row>
    <row r="333" ht="15.0" customHeight="1">
      <c r="A333" s="224" t="s">
        <v>9211</v>
      </c>
      <c r="B333" s="224" t="s">
        <v>52</v>
      </c>
      <c r="C333" s="82" t="s">
        <v>10399</v>
      </c>
      <c r="D333" s="83" t="s">
        <v>10046</v>
      </c>
      <c r="E333" s="82">
        <v>6.0</v>
      </c>
      <c r="F333" s="92">
        <v>6.0</v>
      </c>
      <c r="G333" s="288" t="s">
        <v>76</v>
      </c>
    </row>
    <row r="334" ht="15.0" customHeight="1">
      <c r="A334" s="224" t="s">
        <v>9211</v>
      </c>
      <c r="B334" s="224" t="s">
        <v>52</v>
      </c>
      <c r="C334" s="82" t="s">
        <v>10400</v>
      </c>
      <c r="D334" s="83" t="s">
        <v>10046</v>
      </c>
      <c r="E334" s="82">
        <v>1.5</v>
      </c>
      <c r="F334" s="92">
        <v>1.5</v>
      </c>
      <c r="G334" s="288" t="s">
        <v>76</v>
      </c>
    </row>
    <row r="335" ht="15.0" customHeight="1">
      <c r="A335" s="224" t="s">
        <v>9211</v>
      </c>
      <c r="B335" s="224" t="s">
        <v>52</v>
      </c>
      <c r="C335" s="82" t="s">
        <v>10401</v>
      </c>
      <c r="D335" s="83" t="s">
        <v>10046</v>
      </c>
      <c r="E335" s="82">
        <v>0.6</v>
      </c>
      <c r="F335" s="92">
        <v>0.6</v>
      </c>
      <c r="G335" s="288" t="s">
        <v>76</v>
      </c>
    </row>
    <row r="336" ht="15.0" customHeight="1">
      <c r="A336" s="224" t="s">
        <v>9211</v>
      </c>
      <c r="B336" s="224" t="s">
        <v>52</v>
      </c>
      <c r="C336" s="82" t="s">
        <v>10402</v>
      </c>
      <c r="D336" s="83" t="s">
        <v>10046</v>
      </c>
      <c r="E336" s="82">
        <v>6.0</v>
      </c>
      <c r="F336" s="92">
        <v>6.0</v>
      </c>
      <c r="G336" s="288" t="s">
        <v>76</v>
      </c>
    </row>
    <row r="337" ht="15.0" customHeight="1">
      <c r="A337" s="224" t="s">
        <v>9211</v>
      </c>
      <c r="B337" s="224" t="s">
        <v>52</v>
      </c>
      <c r="C337" s="82" t="s">
        <v>10403</v>
      </c>
      <c r="D337" s="83" t="s">
        <v>10046</v>
      </c>
      <c r="E337" s="82">
        <v>5.0</v>
      </c>
      <c r="F337" s="92">
        <v>5.0</v>
      </c>
      <c r="G337" s="288" t="s">
        <v>76</v>
      </c>
    </row>
    <row r="338" ht="15.0" customHeight="1">
      <c r="A338" s="224" t="s">
        <v>9211</v>
      </c>
      <c r="B338" s="224" t="s">
        <v>52</v>
      </c>
      <c r="C338" s="82" t="s">
        <v>10404</v>
      </c>
      <c r="D338" s="83" t="s">
        <v>10046</v>
      </c>
      <c r="E338" s="82">
        <v>5.0</v>
      </c>
      <c r="F338" s="92">
        <v>5.0</v>
      </c>
      <c r="G338" s="288" t="s">
        <v>76</v>
      </c>
    </row>
    <row r="339" ht="15.0" customHeight="1">
      <c r="A339" s="224" t="s">
        <v>9211</v>
      </c>
      <c r="B339" s="224" t="s">
        <v>52</v>
      </c>
      <c r="C339" s="82" t="s">
        <v>10405</v>
      </c>
      <c r="D339" s="83" t="s">
        <v>10046</v>
      </c>
      <c r="E339" s="82">
        <v>1.25</v>
      </c>
      <c r="F339" s="92">
        <v>1.25</v>
      </c>
      <c r="G339" s="288" t="s">
        <v>76</v>
      </c>
    </row>
    <row r="340" ht="15.0" customHeight="1">
      <c r="A340" s="224" t="s">
        <v>9211</v>
      </c>
      <c r="B340" s="224" t="s">
        <v>52</v>
      </c>
      <c r="C340" s="82" t="s">
        <v>10406</v>
      </c>
      <c r="D340" s="83" t="s">
        <v>10046</v>
      </c>
      <c r="E340" s="82">
        <v>0.3</v>
      </c>
      <c r="F340" s="92">
        <v>0.3</v>
      </c>
      <c r="G340" s="288" t="s">
        <v>76</v>
      </c>
    </row>
    <row r="341" ht="15.0" customHeight="1">
      <c r="A341" s="224" t="s">
        <v>9211</v>
      </c>
      <c r="B341" s="224" t="s">
        <v>52</v>
      </c>
      <c r="C341" s="82" t="s">
        <v>10407</v>
      </c>
      <c r="D341" s="83" t="s">
        <v>10046</v>
      </c>
      <c r="E341" s="82">
        <v>5.0</v>
      </c>
      <c r="F341" s="92">
        <v>5.0</v>
      </c>
      <c r="G341" s="288" t="s">
        <v>76</v>
      </c>
    </row>
    <row r="342" ht="15.0" customHeight="1">
      <c r="A342" s="224" t="s">
        <v>9211</v>
      </c>
      <c r="B342" s="224" t="s">
        <v>52</v>
      </c>
      <c r="C342" s="82" t="s">
        <v>10408</v>
      </c>
      <c r="D342" s="83" t="s">
        <v>10046</v>
      </c>
      <c r="E342" s="82">
        <v>6.0</v>
      </c>
      <c r="F342" s="92">
        <v>6.0</v>
      </c>
      <c r="G342" s="288" t="s">
        <v>76</v>
      </c>
    </row>
    <row r="343" ht="15.0" customHeight="1">
      <c r="A343" s="224" t="s">
        <v>9211</v>
      </c>
      <c r="B343" s="224" t="s">
        <v>52</v>
      </c>
      <c r="C343" s="82" t="s">
        <v>10409</v>
      </c>
      <c r="D343" s="83" t="s">
        <v>10046</v>
      </c>
      <c r="E343" s="82">
        <v>6.0</v>
      </c>
      <c r="F343" s="92">
        <v>6.0</v>
      </c>
      <c r="G343" s="288" t="s">
        <v>76</v>
      </c>
    </row>
    <row r="344" ht="15.0" customHeight="1">
      <c r="A344" s="224" t="s">
        <v>9211</v>
      </c>
      <c r="B344" s="224" t="s">
        <v>52</v>
      </c>
      <c r="C344" s="82" t="s">
        <v>10410</v>
      </c>
      <c r="D344" s="83" t="s">
        <v>10046</v>
      </c>
      <c r="E344" s="82">
        <v>1.5</v>
      </c>
      <c r="F344" s="92">
        <v>1.5</v>
      </c>
      <c r="G344" s="288" t="s">
        <v>76</v>
      </c>
    </row>
    <row r="345" ht="15.0" customHeight="1">
      <c r="A345" s="224" t="s">
        <v>9211</v>
      </c>
      <c r="B345" s="224" t="s">
        <v>52</v>
      </c>
      <c r="C345" s="82" t="s">
        <v>10411</v>
      </c>
      <c r="D345" s="83" t="s">
        <v>10046</v>
      </c>
      <c r="E345" s="82">
        <v>0.6</v>
      </c>
      <c r="F345" s="92">
        <v>0.6</v>
      </c>
      <c r="G345" s="288" t="s">
        <v>76</v>
      </c>
    </row>
    <row r="346" ht="15.0" customHeight="1">
      <c r="A346" s="224" t="s">
        <v>9211</v>
      </c>
      <c r="B346" s="224" t="s">
        <v>52</v>
      </c>
      <c r="C346" s="82" t="s">
        <v>10412</v>
      </c>
      <c r="D346" s="83" t="s">
        <v>10046</v>
      </c>
      <c r="E346" s="82">
        <v>6.0</v>
      </c>
      <c r="F346" s="92">
        <v>6.0</v>
      </c>
      <c r="G346" s="288" t="s">
        <v>76</v>
      </c>
    </row>
    <row r="347" ht="15.0" customHeight="1">
      <c r="A347" s="224" t="s">
        <v>9211</v>
      </c>
      <c r="B347" s="224" t="s">
        <v>52</v>
      </c>
      <c r="C347" s="82" t="s">
        <v>10413</v>
      </c>
      <c r="D347" s="83" t="s">
        <v>10046</v>
      </c>
      <c r="E347" s="82">
        <v>3.67</v>
      </c>
      <c r="F347" s="92">
        <v>3.67</v>
      </c>
      <c r="G347" s="288" t="s">
        <v>76</v>
      </c>
    </row>
    <row r="348" ht="15.0" customHeight="1">
      <c r="A348" s="416" t="s">
        <v>9211</v>
      </c>
      <c r="B348" s="416" t="s">
        <v>52</v>
      </c>
      <c r="C348" s="352" t="s">
        <v>10414</v>
      </c>
      <c r="D348" s="489" t="s">
        <v>10046</v>
      </c>
      <c r="E348" s="489">
        <v>2.0</v>
      </c>
      <c r="F348" s="419">
        <v>2.0</v>
      </c>
      <c r="G348" s="288" t="s">
        <v>76</v>
      </c>
    </row>
    <row r="349" ht="15.0" customHeight="1">
      <c r="A349" s="416" t="s">
        <v>9211</v>
      </c>
      <c r="B349" s="416" t="s">
        <v>52</v>
      </c>
      <c r="C349" s="82" t="s">
        <v>10415</v>
      </c>
      <c r="D349" s="83" t="s">
        <v>10046</v>
      </c>
      <c r="E349" s="82">
        <v>8.67</v>
      </c>
      <c r="F349" s="92">
        <v>8.67</v>
      </c>
      <c r="G349" s="288" t="s">
        <v>76</v>
      </c>
    </row>
    <row r="350" ht="15.0" customHeight="1">
      <c r="A350" s="416" t="s">
        <v>9211</v>
      </c>
      <c r="B350" s="416" t="s">
        <v>52</v>
      </c>
      <c r="C350" s="352" t="s">
        <v>10416</v>
      </c>
      <c r="D350" s="489" t="s">
        <v>10046</v>
      </c>
      <c r="E350" s="352">
        <v>10.67</v>
      </c>
      <c r="F350" s="419">
        <v>10.67</v>
      </c>
      <c r="G350" s="288" t="s">
        <v>76</v>
      </c>
    </row>
    <row r="351" ht="15.0" customHeight="1">
      <c r="A351" s="224" t="s">
        <v>9211</v>
      </c>
      <c r="B351" s="224" t="s">
        <v>52</v>
      </c>
      <c r="C351" s="82" t="s">
        <v>10417</v>
      </c>
      <c r="D351" s="83" t="s">
        <v>10046</v>
      </c>
      <c r="E351" s="83">
        <v>0.67</v>
      </c>
      <c r="F351" s="92">
        <v>1.0</v>
      </c>
      <c r="G351" s="288" t="s">
        <v>76</v>
      </c>
    </row>
    <row r="352" ht="15.0" customHeight="1">
      <c r="A352" s="224" t="s">
        <v>57</v>
      </c>
      <c r="B352" s="253" t="s">
        <v>52</v>
      </c>
      <c r="C352" s="82" t="s">
        <v>10418</v>
      </c>
      <c r="D352" s="83" t="s">
        <v>10305</v>
      </c>
      <c r="E352" s="92">
        <f t="shared" ref="E352:E355" si="50">22/3</f>
        <v>7.333333333</v>
      </c>
      <c r="F352" s="92">
        <f>E352*1.35</f>
        <v>9.9</v>
      </c>
      <c r="G352" s="288" t="s">
        <v>57</v>
      </c>
    </row>
    <row r="353" ht="15.0" customHeight="1">
      <c r="A353" s="224" t="s">
        <v>57</v>
      </c>
      <c r="B353" s="253" t="s">
        <v>52</v>
      </c>
      <c r="C353" s="82" t="s">
        <v>10419</v>
      </c>
      <c r="D353" s="83" t="s">
        <v>10305</v>
      </c>
      <c r="E353" s="92">
        <f t="shared" si="50"/>
        <v>7.333333333</v>
      </c>
      <c r="F353" s="92">
        <f t="shared" ref="F353:F355" si="51">E353</f>
        <v>7.333333333</v>
      </c>
      <c r="G353" s="288" t="s">
        <v>57</v>
      </c>
    </row>
    <row r="354" ht="15.0" customHeight="1">
      <c r="A354" s="224" t="s">
        <v>57</v>
      </c>
      <c r="B354" s="253" t="s">
        <v>52</v>
      </c>
      <c r="C354" s="82" t="s">
        <v>10420</v>
      </c>
      <c r="D354" s="83" t="s">
        <v>10305</v>
      </c>
      <c r="E354" s="92">
        <f t="shared" si="50"/>
        <v>7.333333333</v>
      </c>
      <c r="F354" s="92">
        <f t="shared" si="51"/>
        <v>7.333333333</v>
      </c>
      <c r="G354" s="288" t="s">
        <v>57</v>
      </c>
    </row>
    <row r="355" ht="15.0" customHeight="1">
      <c r="A355" s="224" t="s">
        <v>57</v>
      </c>
      <c r="B355" s="253" t="s">
        <v>52</v>
      </c>
      <c r="C355" s="82" t="s">
        <v>10421</v>
      </c>
      <c r="D355" s="83" t="s">
        <v>10305</v>
      </c>
      <c r="E355" s="92">
        <f t="shared" si="50"/>
        <v>7.333333333</v>
      </c>
      <c r="F355" s="92">
        <f t="shared" si="51"/>
        <v>7.333333333</v>
      </c>
      <c r="G355" s="288" t="s">
        <v>57</v>
      </c>
    </row>
    <row r="356" ht="15.0" customHeight="1">
      <c r="A356" s="224" t="s">
        <v>57</v>
      </c>
      <c r="B356" s="253" t="s">
        <v>52</v>
      </c>
      <c r="C356" s="82" t="s">
        <v>10422</v>
      </c>
      <c r="D356" s="83" t="s">
        <v>10305</v>
      </c>
      <c r="E356" s="92">
        <f t="shared" ref="E356:E358" si="52">43/3</f>
        <v>14.33333333</v>
      </c>
      <c r="F356" s="92">
        <f>E356*1.35</f>
        <v>19.35</v>
      </c>
      <c r="G356" s="288" t="s">
        <v>57</v>
      </c>
    </row>
    <row r="357" ht="15.0" customHeight="1">
      <c r="A357" s="224" t="s">
        <v>57</v>
      </c>
      <c r="B357" s="253" t="s">
        <v>52</v>
      </c>
      <c r="C357" s="82" t="s">
        <v>10423</v>
      </c>
      <c r="D357" s="83" t="s">
        <v>10305</v>
      </c>
      <c r="E357" s="92">
        <f t="shared" si="52"/>
        <v>14.33333333</v>
      </c>
      <c r="F357" s="92">
        <f t="shared" ref="F357:F358" si="53">E357</f>
        <v>14.33333333</v>
      </c>
      <c r="G357" s="288" t="s">
        <v>57</v>
      </c>
    </row>
    <row r="358" ht="15.0" customHeight="1">
      <c r="A358" s="224" t="s">
        <v>57</v>
      </c>
      <c r="B358" s="253" t="s">
        <v>52</v>
      </c>
      <c r="C358" s="82" t="s">
        <v>10424</v>
      </c>
      <c r="D358" s="83" t="s">
        <v>10305</v>
      </c>
      <c r="E358" s="92">
        <f t="shared" si="52"/>
        <v>14.33333333</v>
      </c>
      <c r="F358" s="92">
        <f t="shared" si="53"/>
        <v>14.33333333</v>
      </c>
      <c r="G358" s="288" t="s">
        <v>57</v>
      </c>
    </row>
    <row r="359" ht="15.0" customHeight="1">
      <c r="A359" s="224" t="s">
        <v>57</v>
      </c>
      <c r="B359" s="253" t="s">
        <v>52</v>
      </c>
      <c r="C359" s="82" t="s">
        <v>10425</v>
      </c>
      <c r="D359" s="83" t="s">
        <v>10305</v>
      </c>
      <c r="E359" s="92">
        <f t="shared" ref="E359:E361" si="54">13/3</f>
        <v>4.333333333</v>
      </c>
      <c r="F359" s="92">
        <f>E359*1.35</f>
        <v>5.85</v>
      </c>
      <c r="G359" s="288" t="s">
        <v>57</v>
      </c>
    </row>
    <row r="360" ht="15.0" customHeight="1">
      <c r="A360" s="224" t="s">
        <v>57</v>
      </c>
      <c r="B360" s="253" t="s">
        <v>52</v>
      </c>
      <c r="C360" s="82" t="s">
        <v>10426</v>
      </c>
      <c r="D360" s="83" t="s">
        <v>10305</v>
      </c>
      <c r="E360" s="92">
        <f t="shared" si="54"/>
        <v>4.333333333</v>
      </c>
      <c r="F360" s="92">
        <f t="shared" ref="F360:F363" si="55">E360</f>
        <v>4.333333333</v>
      </c>
      <c r="G360" s="288" t="s">
        <v>57</v>
      </c>
    </row>
    <row r="361" ht="15.0" customHeight="1">
      <c r="A361" s="224" t="s">
        <v>57</v>
      </c>
      <c r="B361" s="253" t="s">
        <v>52</v>
      </c>
      <c r="C361" s="82" t="s">
        <v>10427</v>
      </c>
      <c r="D361" s="83" t="s">
        <v>10305</v>
      </c>
      <c r="E361" s="92">
        <f t="shared" si="54"/>
        <v>4.333333333</v>
      </c>
      <c r="F361" s="92">
        <f t="shared" si="55"/>
        <v>4.333333333</v>
      </c>
      <c r="G361" s="288" t="s">
        <v>57</v>
      </c>
    </row>
    <row r="362" ht="15.0" customHeight="1">
      <c r="A362" s="224" t="s">
        <v>57</v>
      </c>
      <c r="B362" s="253" t="s">
        <v>52</v>
      </c>
      <c r="C362" s="82" t="s">
        <v>10428</v>
      </c>
      <c r="D362" s="83" t="s">
        <v>10305</v>
      </c>
      <c r="E362" s="92">
        <f t="shared" ref="E362:E363" si="56">22/3</f>
        <v>7.333333333</v>
      </c>
      <c r="F362" s="92">
        <f t="shared" si="55"/>
        <v>7.333333333</v>
      </c>
      <c r="G362" s="288" t="s">
        <v>57</v>
      </c>
    </row>
    <row r="363" ht="15.0" customHeight="1">
      <c r="A363" s="224" t="s">
        <v>57</v>
      </c>
      <c r="B363" s="253" t="s">
        <v>52</v>
      </c>
      <c r="C363" s="82" t="s">
        <v>10429</v>
      </c>
      <c r="D363" s="83" t="s">
        <v>10305</v>
      </c>
      <c r="E363" s="92">
        <f t="shared" si="56"/>
        <v>7.333333333</v>
      </c>
      <c r="F363" s="92">
        <f t="shared" si="55"/>
        <v>7.333333333</v>
      </c>
      <c r="G363" s="288" t="s">
        <v>57</v>
      </c>
    </row>
    <row r="364" ht="15.0" customHeight="1">
      <c r="A364" s="224" t="s">
        <v>57</v>
      </c>
      <c r="B364" s="253" t="s">
        <v>52</v>
      </c>
      <c r="C364" s="82" t="s">
        <v>10430</v>
      </c>
      <c r="D364" s="83" t="s">
        <v>8507</v>
      </c>
      <c r="E364" s="92">
        <f>13/3</f>
        <v>4.333333333</v>
      </c>
      <c r="F364" s="92">
        <f>E364*2</f>
        <v>8.666666667</v>
      </c>
      <c r="G364" s="288" t="s">
        <v>57</v>
      </c>
    </row>
    <row r="365" ht="15.0" customHeight="1">
      <c r="A365" s="224" t="s">
        <v>7659</v>
      </c>
      <c r="B365" s="224" t="s">
        <v>52</v>
      </c>
      <c r="C365" s="82" t="s">
        <v>10431</v>
      </c>
      <c r="D365" s="83" t="s">
        <v>10305</v>
      </c>
      <c r="E365" s="92">
        <f>11/3</f>
        <v>3.666666667</v>
      </c>
      <c r="F365" s="92">
        <f t="shared" ref="F365:F406" si="57">E365</f>
        <v>3.666666667</v>
      </c>
      <c r="G365" s="288" t="s">
        <v>60</v>
      </c>
    </row>
    <row r="366" ht="15.0" customHeight="1">
      <c r="A366" s="224" t="s">
        <v>7659</v>
      </c>
      <c r="B366" s="224" t="s">
        <v>10064</v>
      </c>
      <c r="C366" s="82" t="s">
        <v>10432</v>
      </c>
      <c r="D366" s="83" t="s">
        <v>10305</v>
      </c>
      <c r="E366" s="92">
        <f>30/3</f>
        <v>10</v>
      </c>
      <c r="F366" s="92">
        <f t="shared" si="57"/>
        <v>10</v>
      </c>
      <c r="G366" s="288" t="s">
        <v>60</v>
      </c>
    </row>
    <row r="367" ht="15.0" customHeight="1">
      <c r="A367" s="224" t="s">
        <v>7659</v>
      </c>
      <c r="B367" s="224" t="s">
        <v>10064</v>
      </c>
      <c r="C367" s="82" t="s">
        <v>10433</v>
      </c>
      <c r="D367" s="83" t="s">
        <v>10305</v>
      </c>
      <c r="E367" s="92">
        <f>(27+18)/3</f>
        <v>15</v>
      </c>
      <c r="F367" s="92">
        <f t="shared" si="57"/>
        <v>15</v>
      </c>
      <c r="G367" s="288" t="s">
        <v>60</v>
      </c>
    </row>
    <row r="368" ht="15.0" customHeight="1">
      <c r="A368" s="224" t="s">
        <v>7659</v>
      </c>
      <c r="B368" s="224" t="s">
        <v>10064</v>
      </c>
      <c r="C368" s="82" t="s">
        <v>10434</v>
      </c>
      <c r="D368" s="83" t="s">
        <v>10305</v>
      </c>
      <c r="E368" s="92">
        <f>27/3</f>
        <v>9</v>
      </c>
      <c r="F368" s="92">
        <f t="shared" si="57"/>
        <v>9</v>
      </c>
      <c r="G368" s="288" t="s">
        <v>60</v>
      </c>
    </row>
    <row r="369" ht="15.0" customHeight="1">
      <c r="A369" s="224" t="s">
        <v>7659</v>
      </c>
      <c r="B369" s="224" t="s">
        <v>10064</v>
      </c>
      <c r="C369" s="82" t="s">
        <v>10435</v>
      </c>
      <c r="D369" s="83" t="s">
        <v>10305</v>
      </c>
      <c r="E369" s="92">
        <f>11/3</f>
        <v>3.666666667</v>
      </c>
      <c r="F369" s="92">
        <f t="shared" si="57"/>
        <v>3.666666667</v>
      </c>
      <c r="G369" s="288" t="s">
        <v>60</v>
      </c>
    </row>
    <row r="370" ht="15.0" customHeight="1">
      <c r="A370" s="224" t="s">
        <v>7659</v>
      </c>
      <c r="B370" s="224" t="s">
        <v>10064</v>
      </c>
      <c r="C370" s="82" t="s">
        <v>10436</v>
      </c>
      <c r="D370" s="83" t="s">
        <v>10305</v>
      </c>
      <c r="E370" s="92">
        <f>30/3</f>
        <v>10</v>
      </c>
      <c r="F370" s="92">
        <f t="shared" si="57"/>
        <v>10</v>
      </c>
      <c r="G370" s="288" t="s">
        <v>60</v>
      </c>
    </row>
    <row r="371" ht="15.0" customHeight="1">
      <c r="A371" s="224" t="s">
        <v>7659</v>
      </c>
      <c r="B371" s="224" t="s">
        <v>10064</v>
      </c>
      <c r="C371" s="82" t="s">
        <v>10437</v>
      </c>
      <c r="D371" s="83" t="s">
        <v>10305</v>
      </c>
      <c r="E371" s="92">
        <f>(27+18)/3</f>
        <v>15</v>
      </c>
      <c r="F371" s="92">
        <f t="shared" si="57"/>
        <v>15</v>
      </c>
      <c r="G371" s="288" t="s">
        <v>60</v>
      </c>
    </row>
    <row r="372" ht="15.0" customHeight="1">
      <c r="A372" s="224" t="s">
        <v>7659</v>
      </c>
      <c r="B372" s="224" t="s">
        <v>10064</v>
      </c>
      <c r="C372" s="82" t="s">
        <v>10438</v>
      </c>
      <c r="D372" s="83" t="s">
        <v>10305</v>
      </c>
      <c r="E372" s="92">
        <f>27/3</f>
        <v>9</v>
      </c>
      <c r="F372" s="92">
        <f t="shared" si="57"/>
        <v>9</v>
      </c>
      <c r="G372" s="288" t="s">
        <v>60</v>
      </c>
    </row>
    <row r="373" ht="15.0" customHeight="1">
      <c r="A373" s="224" t="s">
        <v>7659</v>
      </c>
      <c r="B373" s="224" t="s">
        <v>52</v>
      </c>
      <c r="C373" s="82" t="s">
        <v>10439</v>
      </c>
      <c r="D373" s="83" t="s">
        <v>10305</v>
      </c>
      <c r="E373" s="92">
        <f>11/3*0.25</f>
        <v>0.9166666667</v>
      </c>
      <c r="F373" s="92">
        <f t="shared" si="57"/>
        <v>0.9166666667</v>
      </c>
      <c r="G373" s="288" t="s">
        <v>60</v>
      </c>
    </row>
    <row r="374" ht="15.0" customHeight="1">
      <c r="A374" s="224" t="s">
        <v>7659</v>
      </c>
      <c r="B374" s="224" t="s">
        <v>10064</v>
      </c>
      <c r="C374" s="82" t="s">
        <v>10440</v>
      </c>
      <c r="D374" s="83" t="s">
        <v>10305</v>
      </c>
      <c r="E374" s="92">
        <f>30/3*0.25</f>
        <v>2.5</v>
      </c>
      <c r="F374" s="92">
        <f t="shared" si="57"/>
        <v>2.5</v>
      </c>
      <c r="G374" s="288" t="s">
        <v>60</v>
      </c>
    </row>
    <row r="375" ht="15.0" customHeight="1">
      <c r="A375" s="224" t="s">
        <v>7659</v>
      </c>
      <c r="B375" s="224" t="s">
        <v>10064</v>
      </c>
      <c r="C375" s="82" t="s">
        <v>10441</v>
      </c>
      <c r="D375" s="83" t="s">
        <v>10305</v>
      </c>
      <c r="E375" s="92">
        <f>(27+18)/3*0.25</f>
        <v>3.75</v>
      </c>
      <c r="F375" s="92">
        <f t="shared" si="57"/>
        <v>3.75</v>
      </c>
      <c r="G375" s="288" t="s">
        <v>60</v>
      </c>
    </row>
    <row r="376" ht="15.0" customHeight="1">
      <c r="A376" s="224" t="s">
        <v>7659</v>
      </c>
      <c r="B376" s="224" t="s">
        <v>10064</v>
      </c>
      <c r="C376" s="82" t="s">
        <v>10442</v>
      </c>
      <c r="D376" s="83" t="s">
        <v>10305</v>
      </c>
      <c r="E376" s="92">
        <f>27/3*0.25</f>
        <v>2.25</v>
      </c>
      <c r="F376" s="92">
        <f t="shared" si="57"/>
        <v>2.25</v>
      </c>
      <c r="G376" s="288" t="s">
        <v>60</v>
      </c>
    </row>
    <row r="377" ht="15.0" customHeight="1">
      <c r="A377" s="224" t="s">
        <v>7659</v>
      </c>
      <c r="B377" s="224" t="s">
        <v>52</v>
      </c>
      <c r="C377" s="82" t="s">
        <v>10443</v>
      </c>
      <c r="D377" s="83" t="s">
        <v>10046</v>
      </c>
      <c r="E377" s="92">
        <f>13/3*2</f>
        <v>8.666666667</v>
      </c>
      <c r="F377" s="92">
        <f t="shared" si="57"/>
        <v>8.666666667</v>
      </c>
      <c r="G377" s="288" t="s">
        <v>60</v>
      </c>
    </row>
    <row r="378" ht="15.0" customHeight="1">
      <c r="A378" s="224" t="s">
        <v>7659</v>
      </c>
      <c r="B378" s="224" t="s">
        <v>52</v>
      </c>
      <c r="C378" s="82" t="s">
        <v>10092</v>
      </c>
      <c r="D378" s="83" t="s">
        <v>10046</v>
      </c>
      <c r="E378" s="92">
        <f>38/3*2</f>
        <v>25.33333333</v>
      </c>
      <c r="F378" s="92">
        <f t="shared" si="57"/>
        <v>25.33333333</v>
      </c>
      <c r="G378" s="288" t="s">
        <v>60</v>
      </c>
    </row>
    <row r="379" ht="15.0" customHeight="1">
      <c r="A379" s="224" t="s">
        <v>7659</v>
      </c>
      <c r="B379" s="224" t="s">
        <v>10064</v>
      </c>
      <c r="C379" s="82" t="s">
        <v>10444</v>
      </c>
      <c r="D379" s="83" t="s">
        <v>10046</v>
      </c>
      <c r="E379" s="92">
        <f>15/3*2</f>
        <v>10</v>
      </c>
      <c r="F379" s="92">
        <f t="shared" si="57"/>
        <v>10</v>
      </c>
      <c r="G379" s="288" t="s">
        <v>60</v>
      </c>
    </row>
    <row r="380" ht="15.0" customHeight="1">
      <c r="A380" s="224" t="s">
        <v>7659</v>
      </c>
      <c r="B380" s="224" t="s">
        <v>52</v>
      </c>
      <c r="C380" s="82" t="s">
        <v>10093</v>
      </c>
      <c r="D380" s="83" t="s">
        <v>10046</v>
      </c>
      <c r="E380" s="92">
        <f>18/3*3</f>
        <v>18</v>
      </c>
      <c r="F380" s="92">
        <f t="shared" si="57"/>
        <v>18</v>
      </c>
      <c r="G380" s="288" t="s">
        <v>60</v>
      </c>
    </row>
    <row r="381" ht="15.0" customHeight="1">
      <c r="A381" s="224" t="s">
        <v>7659</v>
      </c>
      <c r="B381" s="224" t="s">
        <v>52</v>
      </c>
      <c r="C381" s="82" t="s">
        <v>10094</v>
      </c>
      <c r="D381" s="83" t="s">
        <v>10046</v>
      </c>
      <c r="E381" s="92">
        <f>16/3*3</f>
        <v>16</v>
      </c>
      <c r="F381" s="92">
        <f t="shared" si="57"/>
        <v>16</v>
      </c>
      <c r="G381" s="288" t="s">
        <v>60</v>
      </c>
    </row>
    <row r="382" ht="15.0" customHeight="1">
      <c r="A382" s="224" t="s">
        <v>7659</v>
      </c>
      <c r="B382" s="224" t="s">
        <v>52</v>
      </c>
      <c r="C382" s="82" t="s">
        <v>10445</v>
      </c>
      <c r="D382" s="83" t="s">
        <v>10046</v>
      </c>
      <c r="E382" s="92">
        <f>1/3*3</f>
        <v>1</v>
      </c>
      <c r="F382" s="92">
        <f t="shared" si="57"/>
        <v>1</v>
      </c>
      <c r="G382" s="288" t="s">
        <v>60</v>
      </c>
    </row>
    <row r="383" ht="15.0" customHeight="1">
      <c r="A383" s="224" t="s">
        <v>7659</v>
      </c>
      <c r="B383" s="224" t="s">
        <v>10064</v>
      </c>
      <c r="C383" s="82" t="s">
        <v>10446</v>
      </c>
      <c r="D383" s="83" t="s">
        <v>10046</v>
      </c>
      <c r="E383" s="92">
        <f>2*56/3</f>
        <v>37.33333333</v>
      </c>
      <c r="F383" s="92">
        <f t="shared" si="57"/>
        <v>37.33333333</v>
      </c>
      <c r="G383" s="288" t="s">
        <v>60</v>
      </c>
    </row>
    <row r="384" ht="15.0" customHeight="1">
      <c r="A384" s="224" t="s">
        <v>7659</v>
      </c>
      <c r="B384" s="224" t="s">
        <v>52</v>
      </c>
      <c r="C384" s="82" t="s">
        <v>10447</v>
      </c>
      <c r="D384" s="83" t="s">
        <v>10046</v>
      </c>
      <c r="E384" s="92">
        <f>3*8/3</f>
        <v>8</v>
      </c>
      <c r="F384" s="92">
        <f t="shared" si="57"/>
        <v>8</v>
      </c>
      <c r="G384" s="288" t="s">
        <v>60</v>
      </c>
    </row>
    <row r="385" ht="15.0" customHeight="1">
      <c r="A385" s="224" t="s">
        <v>7704</v>
      </c>
      <c r="B385" s="224" t="s">
        <v>52</v>
      </c>
      <c r="C385" s="82" t="s">
        <v>10448</v>
      </c>
      <c r="D385" s="83" t="s">
        <v>10046</v>
      </c>
      <c r="E385" s="92">
        <f>16/3</f>
        <v>5.333333333</v>
      </c>
      <c r="F385" s="92">
        <f t="shared" si="57"/>
        <v>5.333333333</v>
      </c>
      <c r="G385" s="288" t="s">
        <v>82</v>
      </c>
    </row>
    <row r="386" ht="15.0" customHeight="1">
      <c r="A386" s="224" t="s">
        <v>7704</v>
      </c>
      <c r="B386" s="224" t="s">
        <v>52</v>
      </c>
      <c r="C386" s="352" t="s">
        <v>10449</v>
      </c>
      <c r="D386" s="489" t="s">
        <v>10072</v>
      </c>
      <c r="E386" s="92">
        <f>16/3*0.5</f>
        <v>2.666666667</v>
      </c>
      <c r="F386" s="92">
        <f t="shared" si="57"/>
        <v>2.666666667</v>
      </c>
      <c r="G386" s="288" t="s">
        <v>82</v>
      </c>
    </row>
    <row r="387" ht="15.0" customHeight="1">
      <c r="A387" s="224" t="s">
        <v>7704</v>
      </c>
      <c r="B387" s="224" t="s">
        <v>52</v>
      </c>
      <c r="C387" s="352" t="s">
        <v>10450</v>
      </c>
      <c r="D387" s="489" t="s">
        <v>10072</v>
      </c>
      <c r="E387" s="92">
        <f>16/3*0.5*0.25</f>
        <v>0.6666666667</v>
      </c>
      <c r="F387" s="92">
        <f t="shared" si="57"/>
        <v>0.6666666667</v>
      </c>
      <c r="G387" s="288" t="s">
        <v>82</v>
      </c>
    </row>
    <row r="388" ht="15.0" customHeight="1">
      <c r="A388" s="224" t="s">
        <v>7704</v>
      </c>
      <c r="B388" s="224" t="s">
        <v>52</v>
      </c>
      <c r="C388" s="82" t="s">
        <v>10451</v>
      </c>
      <c r="D388" s="83" t="s">
        <v>10046</v>
      </c>
      <c r="E388" s="92">
        <f>10/3</f>
        <v>3.333333333</v>
      </c>
      <c r="F388" s="92">
        <f t="shared" si="57"/>
        <v>3.333333333</v>
      </c>
      <c r="G388" s="288" t="s">
        <v>82</v>
      </c>
    </row>
    <row r="389" ht="15.0" customHeight="1">
      <c r="A389" s="224" t="s">
        <v>7704</v>
      </c>
      <c r="B389" s="224" t="s">
        <v>52</v>
      </c>
      <c r="C389" s="352" t="s">
        <v>10452</v>
      </c>
      <c r="D389" s="489" t="s">
        <v>10072</v>
      </c>
      <c r="E389" s="92">
        <f>10/3*0.5</f>
        <v>1.666666667</v>
      </c>
      <c r="F389" s="92">
        <f t="shared" si="57"/>
        <v>1.666666667</v>
      </c>
      <c r="G389" s="288" t="s">
        <v>82</v>
      </c>
    </row>
    <row r="390" ht="15.0" customHeight="1">
      <c r="A390" s="224" t="s">
        <v>7704</v>
      </c>
      <c r="B390" s="224" t="s">
        <v>52</v>
      </c>
      <c r="C390" s="352" t="s">
        <v>10453</v>
      </c>
      <c r="D390" s="489" t="s">
        <v>10072</v>
      </c>
      <c r="E390" s="92">
        <f>10/3*0.5*0.25</f>
        <v>0.4166666667</v>
      </c>
      <c r="F390" s="92">
        <f t="shared" si="57"/>
        <v>0.4166666667</v>
      </c>
      <c r="G390" s="288" t="s">
        <v>82</v>
      </c>
    </row>
    <row r="391" ht="15.0" customHeight="1">
      <c r="A391" s="224" t="s">
        <v>7704</v>
      </c>
      <c r="B391" s="224" t="s">
        <v>52</v>
      </c>
      <c r="C391" s="82" t="s">
        <v>10454</v>
      </c>
      <c r="D391" s="83" t="s">
        <v>10046</v>
      </c>
      <c r="E391" s="92">
        <f>26/3</f>
        <v>8.666666667</v>
      </c>
      <c r="F391" s="92">
        <f t="shared" si="57"/>
        <v>8.666666667</v>
      </c>
      <c r="G391" s="288" t="s">
        <v>82</v>
      </c>
    </row>
    <row r="392" ht="15.0" customHeight="1">
      <c r="A392" s="224" t="s">
        <v>7704</v>
      </c>
      <c r="B392" s="224" t="s">
        <v>52</v>
      </c>
      <c r="C392" s="352" t="s">
        <v>10455</v>
      </c>
      <c r="D392" s="489" t="s">
        <v>10072</v>
      </c>
      <c r="E392" s="92">
        <f>26/3*0.5</f>
        <v>4.333333333</v>
      </c>
      <c r="F392" s="92">
        <f t="shared" si="57"/>
        <v>4.333333333</v>
      </c>
      <c r="G392" s="288" t="s">
        <v>82</v>
      </c>
    </row>
    <row r="393" ht="15.0" customHeight="1">
      <c r="A393" s="224" t="s">
        <v>7704</v>
      </c>
      <c r="B393" s="224" t="s">
        <v>52</v>
      </c>
      <c r="C393" s="352" t="s">
        <v>10456</v>
      </c>
      <c r="D393" s="489" t="s">
        <v>10072</v>
      </c>
      <c r="E393" s="92">
        <f>26/3*0.5*0.25</f>
        <v>1.083333333</v>
      </c>
      <c r="F393" s="92">
        <f t="shared" si="57"/>
        <v>1.083333333</v>
      </c>
      <c r="G393" s="288" t="s">
        <v>82</v>
      </c>
    </row>
    <row r="394" ht="15.0" customHeight="1">
      <c r="A394" s="224" t="s">
        <v>7704</v>
      </c>
      <c r="B394" s="224" t="s">
        <v>52</v>
      </c>
      <c r="C394" s="82" t="s">
        <v>10457</v>
      </c>
      <c r="D394" s="83" t="s">
        <v>10046</v>
      </c>
      <c r="E394" s="92">
        <f>24/3</f>
        <v>8</v>
      </c>
      <c r="F394" s="92">
        <f t="shared" si="57"/>
        <v>8</v>
      </c>
      <c r="G394" s="288" t="s">
        <v>82</v>
      </c>
    </row>
    <row r="395" ht="15.0" customHeight="1">
      <c r="A395" s="224" t="s">
        <v>7704</v>
      </c>
      <c r="B395" s="224" t="s">
        <v>52</v>
      </c>
      <c r="C395" s="352" t="s">
        <v>10458</v>
      </c>
      <c r="D395" s="489" t="s">
        <v>10072</v>
      </c>
      <c r="E395" s="92">
        <f>47/3*0.5</f>
        <v>7.833333333</v>
      </c>
      <c r="F395" s="92">
        <f t="shared" si="57"/>
        <v>7.833333333</v>
      </c>
      <c r="G395" s="288" t="s">
        <v>82</v>
      </c>
    </row>
    <row r="396" ht="15.0" customHeight="1">
      <c r="A396" s="224" t="s">
        <v>7704</v>
      </c>
      <c r="B396" s="224" t="s">
        <v>52</v>
      </c>
      <c r="C396" s="352" t="s">
        <v>10459</v>
      </c>
      <c r="D396" s="489" t="s">
        <v>10072</v>
      </c>
      <c r="E396" s="92">
        <f>47/3*0.5*0.25</f>
        <v>1.958333333</v>
      </c>
      <c r="F396" s="92">
        <f t="shared" si="57"/>
        <v>1.958333333</v>
      </c>
      <c r="G396" s="288" t="s">
        <v>82</v>
      </c>
    </row>
    <row r="397" ht="15.0" customHeight="1">
      <c r="A397" s="224" t="s">
        <v>7704</v>
      </c>
      <c r="B397" s="224" t="s">
        <v>52</v>
      </c>
      <c r="C397" s="82" t="s">
        <v>10460</v>
      </c>
      <c r="D397" s="83" t="s">
        <v>10046</v>
      </c>
      <c r="E397" s="92">
        <f>6/3</f>
        <v>2</v>
      </c>
      <c r="F397" s="92">
        <f t="shared" si="57"/>
        <v>2</v>
      </c>
      <c r="G397" s="288" t="s">
        <v>82</v>
      </c>
    </row>
    <row r="398" ht="15.0" customHeight="1">
      <c r="A398" s="224" t="s">
        <v>7704</v>
      </c>
      <c r="B398" s="224" t="s">
        <v>52</v>
      </c>
      <c r="C398" s="352" t="s">
        <v>10461</v>
      </c>
      <c r="D398" s="489" t="s">
        <v>10072</v>
      </c>
      <c r="E398" s="92">
        <f>6/3*0.5</f>
        <v>1</v>
      </c>
      <c r="F398" s="92">
        <f t="shared" si="57"/>
        <v>1</v>
      </c>
      <c r="G398" s="288" t="s">
        <v>82</v>
      </c>
    </row>
    <row r="399" ht="15.0" customHeight="1">
      <c r="A399" s="224" t="s">
        <v>7704</v>
      </c>
      <c r="B399" s="224" t="s">
        <v>52</v>
      </c>
      <c r="C399" s="352" t="s">
        <v>10462</v>
      </c>
      <c r="D399" s="489" t="s">
        <v>10072</v>
      </c>
      <c r="E399" s="92">
        <f>6/3*0.5*0.25</f>
        <v>0.25</v>
      </c>
      <c r="F399" s="92">
        <f t="shared" si="57"/>
        <v>0.25</v>
      </c>
      <c r="G399" s="288" t="s">
        <v>82</v>
      </c>
    </row>
    <row r="400" ht="15.0" customHeight="1">
      <c r="A400" s="224" t="s">
        <v>7704</v>
      </c>
      <c r="B400" s="224" t="s">
        <v>52</v>
      </c>
      <c r="C400" s="82" t="s">
        <v>10463</v>
      </c>
      <c r="D400" s="83" t="s">
        <v>10046</v>
      </c>
      <c r="E400" s="92">
        <f>13/3</f>
        <v>4.333333333</v>
      </c>
      <c r="F400" s="92">
        <f t="shared" si="57"/>
        <v>4.333333333</v>
      </c>
      <c r="G400" s="288" t="s">
        <v>82</v>
      </c>
    </row>
    <row r="401" ht="15.0" customHeight="1">
      <c r="A401" s="224" t="s">
        <v>7704</v>
      </c>
      <c r="B401" s="224" t="s">
        <v>52</v>
      </c>
      <c r="C401" s="352" t="s">
        <v>10464</v>
      </c>
      <c r="D401" s="489" t="s">
        <v>10072</v>
      </c>
      <c r="E401" s="92">
        <f>26/3*0.5</f>
        <v>4.333333333</v>
      </c>
      <c r="F401" s="92">
        <f t="shared" si="57"/>
        <v>4.333333333</v>
      </c>
      <c r="G401" s="288" t="s">
        <v>82</v>
      </c>
    </row>
    <row r="402" ht="15.0" customHeight="1">
      <c r="A402" s="224" t="s">
        <v>7704</v>
      </c>
      <c r="B402" s="224" t="s">
        <v>52</v>
      </c>
      <c r="C402" s="352" t="s">
        <v>10465</v>
      </c>
      <c r="D402" s="489" t="s">
        <v>10072</v>
      </c>
      <c r="E402" s="92">
        <f>26/3*0.5*0.25</f>
        <v>1.083333333</v>
      </c>
      <c r="F402" s="92">
        <f t="shared" si="57"/>
        <v>1.083333333</v>
      </c>
      <c r="G402" s="288" t="s">
        <v>82</v>
      </c>
    </row>
    <row r="403" ht="15.0" customHeight="1">
      <c r="A403" s="224" t="s">
        <v>7704</v>
      </c>
      <c r="B403" s="224" t="s">
        <v>52</v>
      </c>
      <c r="C403" s="82" t="s">
        <v>10466</v>
      </c>
      <c r="D403" s="83" t="s">
        <v>10046</v>
      </c>
      <c r="E403" s="92">
        <f>1/3*2</f>
        <v>0.6666666667</v>
      </c>
      <c r="F403" s="92">
        <f t="shared" si="57"/>
        <v>0.6666666667</v>
      </c>
      <c r="G403" s="288" t="s">
        <v>82</v>
      </c>
    </row>
    <row r="404" ht="15.0" customHeight="1">
      <c r="A404" s="224" t="s">
        <v>7704</v>
      </c>
      <c r="B404" s="224" t="s">
        <v>52</v>
      </c>
      <c r="C404" s="82" t="s">
        <v>10467</v>
      </c>
      <c r="D404" s="83" t="s">
        <v>10046</v>
      </c>
      <c r="E404" s="92">
        <f>14/3*2</f>
        <v>9.333333333</v>
      </c>
      <c r="F404" s="92">
        <f t="shared" si="57"/>
        <v>9.333333333</v>
      </c>
      <c r="G404" s="288" t="s">
        <v>82</v>
      </c>
    </row>
    <row r="405" ht="15.0" customHeight="1">
      <c r="A405" s="224" t="s">
        <v>7704</v>
      </c>
      <c r="B405" s="224" t="s">
        <v>52</v>
      </c>
      <c r="C405" s="82" t="s">
        <v>10061</v>
      </c>
      <c r="D405" s="83" t="s">
        <v>10046</v>
      </c>
      <c r="E405" s="92">
        <f>32/3*2</f>
        <v>21.33333333</v>
      </c>
      <c r="F405" s="92">
        <f t="shared" si="57"/>
        <v>21.33333333</v>
      </c>
      <c r="G405" s="288" t="s">
        <v>82</v>
      </c>
    </row>
    <row r="406" ht="15.0" customHeight="1">
      <c r="A406" s="224" t="s">
        <v>7704</v>
      </c>
      <c r="B406" s="224" t="s">
        <v>52</v>
      </c>
      <c r="C406" s="82" t="s">
        <v>10468</v>
      </c>
      <c r="D406" s="83" t="s">
        <v>10046</v>
      </c>
      <c r="E406" s="92">
        <f>(24/3)*2</f>
        <v>16</v>
      </c>
      <c r="F406" s="92">
        <f t="shared" si="57"/>
        <v>16</v>
      </c>
      <c r="G406" s="288" t="s">
        <v>82</v>
      </c>
    </row>
    <row r="407" ht="15.0" customHeight="1">
      <c r="A407" s="224" t="s">
        <v>80</v>
      </c>
      <c r="B407" s="224" t="s">
        <v>1783</v>
      </c>
      <c r="C407" s="82" t="s">
        <v>10469</v>
      </c>
      <c r="D407" s="83" t="s">
        <v>10046</v>
      </c>
      <c r="E407" s="83" t="s">
        <v>10470</v>
      </c>
      <c r="F407" s="92">
        <f t="shared" ref="F407:F414" si="58">11/3</f>
        <v>3.666666667</v>
      </c>
      <c r="G407" s="288" t="s">
        <v>80</v>
      </c>
    </row>
    <row r="408" ht="15.0" customHeight="1">
      <c r="A408" s="224" t="s">
        <v>80</v>
      </c>
      <c r="B408" s="224" t="s">
        <v>1783</v>
      </c>
      <c r="C408" s="82" t="s">
        <v>10471</v>
      </c>
      <c r="D408" s="83" t="s">
        <v>10046</v>
      </c>
      <c r="E408" s="83" t="s">
        <v>10470</v>
      </c>
      <c r="F408" s="92">
        <f t="shared" si="58"/>
        <v>3.666666667</v>
      </c>
      <c r="G408" s="288" t="s">
        <v>80</v>
      </c>
    </row>
    <row r="409" ht="15.0" customHeight="1">
      <c r="A409" s="224" t="s">
        <v>80</v>
      </c>
      <c r="B409" s="224" t="s">
        <v>1783</v>
      </c>
      <c r="C409" s="82" t="s">
        <v>10472</v>
      </c>
      <c r="D409" s="83" t="s">
        <v>10046</v>
      </c>
      <c r="E409" s="83" t="s">
        <v>10470</v>
      </c>
      <c r="F409" s="92">
        <f t="shared" si="58"/>
        <v>3.666666667</v>
      </c>
      <c r="G409" s="288" t="s">
        <v>80</v>
      </c>
    </row>
    <row r="410" ht="15.0" customHeight="1">
      <c r="A410" s="224" t="s">
        <v>80</v>
      </c>
      <c r="B410" s="224" t="s">
        <v>1783</v>
      </c>
      <c r="C410" s="82" t="s">
        <v>10473</v>
      </c>
      <c r="D410" s="83" t="s">
        <v>10046</v>
      </c>
      <c r="E410" s="83" t="s">
        <v>10470</v>
      </c>
      <c r="F410" s="92">
        <f t="shared" si="58"/>
        <v>3.666666667</v>
      </c>
      <c r="G410" s="288" t="s">
        <v>80</v>
      </c>
    </row>
    <row r="411" ht="15.0" customHeight="1">
      <c r="A411" s="224" t="s">
        <v>80</v>
      </c>
      <c r="B411" s="224" t="s">
        <v>1783</v>
      </c>
      <c r="C411" s="82" t="s">
        <v>10474</v>
      </c>
      <c r="D411" s="83" t="s">
        <v>10046</v>
      </c>
      <c r="E411" s="83" t="s">
        <v>10470</v>
      </c>
      <c r="F411" s="92">
        <f t="shared" si="58"/>
        <v>3.666666667</v>
      </c>
      <c r="G411" s="288" t="s">
        <v>80</v>
      </c>
    </row>
    <row r="412" ht="15.0" customHeight="1">
      <c r="A412" s="224" t="s">
        <v>80</v>
      </c>
      <c r="B412" s="224" t="s">
        <v>1783</v>
      </c>
      <c r="C412" s="82" t="s">
        <v>10475</v>
      </c>
      <c r="D412" s="83" t="s">
        <v>10046</v>
      </c>
      <c r="E412" s="83" t="s">
        <v>10470</v>
      </c>
      <c r="F412" s="92">
        <f t="shared" si="58"/>
        <v>3.666666667</v>
      </c>
      <c r="G412" s="288" t="s">
        <v>80</v>
      </c>
    </row>
    <row r="413" ht="15.0" customHeight="1">
      <c r="A413" s="224" t="s">
        <v>80</v>
      </c>
      <c r="B413" s="224" t="s">
        <v>1783</v>
      </c>
      <c r="C413" s="82" t="s">
        <v>10476</v>
      </c>
      <c r="D413" s="83" t="s">
        <v>10046</v>
      </c>
      <c r="E413" s="83" t="s">
        <v>10470</v>
      </c>
      <c r="F413" s="92">
        <f t="shared" si="58"/>
        <v>3.666666667</v>
      </c>
      <c r="G413" s="288" t="s">
        <v>80</v>
      </c>
    </row>
    <row r="414" ht="15.0" customHeight="1">
      <c r="A414" s="224" t="s">
        <v>80</v>
      </c>
      <c r="B414" s="224" t="s">
        <v>1783</v>
      </c>
      <c r="C414" s="82" t="s">
        <v>10477</v>
      </c>
      <c r="D414" s="83" t="s">
        <v>10046</v>
      </c>
      <c r="E414" s="83" t="s">
        <v>10470</v>
      </c>
      <c r="F414" s="92">
        <f t="shared" si="58"/>
        <v>3.666666667</v>
      </c>
      <c r="G414" s="288" t="s">
        <v>80</v>
      </c>
    </row>
    <row r="415" ht="15.0" customHeight="1">
      <c r="A415" s="224" t="s">
        <v>80</v>
      </c>
      <c r="B415" s="224" t="s">
        <v>1783</v>
      </c>
      <c r="C415" s="82" t="s">
        <v>10478</v>
      </c>
      <c r="D415" s="83" t="s">
        <v>10046</v>
      </c>
      <c r="E415" s="83" t="s">
        <v>10479</v>
      </c>
      <c r="F415" s="92">
        <f t="shared" ref="F415:F418" si="59">15/3</f>
        <v>5</v>
      </c>
      <c r="G415" s="288" t="s">
        <v>80</v>
      </c>
    </row>
    <row r="416" ht="15.0" customHeight="1">
      <c r="A416" s="224" t="s">
        <v>80</v>
      </c>
      <c r="B416" s="224" t="s">
        <v>1783</v>
      </c>
      <c r="C416" s="82" t="s">
        <v>10480</v>
      </c>
      <c r="D416" s="83" t="s">
        <v>10046</v>
      </c>
      <c r="E416" s="83" t="s">
        <v>10479</v>
      </c>
      <c r="F416" s="92">
        <f t="shared" si="59"/>
        <v>5</v>
      </c>
      <c r="G416" s="288" t="s">
        <v>80</v>
      </c>
    </row>
    <row r="417" ht="15.0" customHeight="1">
      <c r="A417" s="224" t="s">
        <v>80</v>
      </c>
      <c r="B417" s="224" t="s">
        <v>1783</v>
      </c>
      <c r="C417" s="82" t="s">
        <v>10481</v>
      </c>
      <c r="D417" s="83" t="s">
        <v>10046</v>
      </c>
      <c r="E417" s="83" t="s">
        <v>10479</v>
      </c>
      <c r="F417" s="92">
        <f t="shared" si="59"/>
        <v>5</v>
      </c>
      <c r="G417" s="288" t="s">
        <v>80</v>
      </c>
    </row>
    <row r="418" ht="15.0" customHeight="1">
      <c r="A418" s="224" t="s">
        <v>80</v>
      </c>
      <c r="B418" s="224" t="s">
        <v>1783</v>
      </c>
      <c r="C418" s="82" t="s">
        <v>10482</v>
      </c>
      <c r="D418" s="83" t="s">
        <v>10046</v>
      </c>
      <c r="E418" s="83" t="s">
        <v>10479</v>
      </c>
      <c r="F418" s="92">
        <f t="shared" si="59"/>
        <v>5</v>
      </c>
      <c r="G418" s="288" t="s">
        <v>80</v>
      </c>
    </row>
    <row r="419" ht="15.0" customHeight="1">
      <c r="A419" s="416" t="s">
        <v>80</v>
      </c>
      <c r="B419" s="416" t="s">
        <v>1783</v>
      </c>
      <c r="C419" s="352" t="s">
        <v>10483</v>
      </c>
      <c r="D419" s="489" t="s">
        <v>10046</v>
      </c>
      <c r="E419" s="489" t="s">
        <v>10470</v>
      </c>
      <c r="F419" s="419">
        <f t="shared" ref="F419:F420" si="60">11/3</f>
        <v>3.666666667</v>
      </c>
      <c r="G419" s="288" t="s">
        <v>80</v>
      </c>
    </row>
    <row r="420" ht="15.0" customHeight="1">
      <c r="A420" s="224" t="s">
        <v>80</v>
      </c>
      <c r="B420" s="224" t="s">
        <v>1783</v>
      </c>
      <c r="C420" s="82" t="s">
        <v>10484</v>
      </c>
      <c r="D420" s="83" t="s">
        <v>10046</v>
      </c>
      <c r="E420" s="83" t="s">
        <v>10470</v>
      </c>
      <c r="F420" s="92">
        <f t="shared" si="60"/>
        <v>3.666666667</v>
      </c>
      <c r="G420" s="288" t="s">
        <v>80</v>
      </c>
    </row>
    <row r="421" ht="15.0" customHeight="1">
      <c r="A421" s="224" t="s">
        <v>67</v>
      </c>
      <c r="B421" s="224" t="s">
        <v>52</v>
      </c>
      <c r="C421" s="82" t="s">
        <v>10485</v>
      </c>
      <c r="D421" s="83" t="s">
        <v>10305</v>
      </c>
      <c r="E421" s="83" t="s">
        <v>10486</v>
      </c>
      <c r="F421" s="92">
        <v>10.0</v>
      </c>
      <c r="G421" s="288" t="s">
        <v>67</v>
      </c>
    </row>
    <row r="422" ht="15.0" customHeight="1">
      <c r="A422" s="224" t="s">
        <v>67</v>
      </c>
      <c r="B422" s="224" t="s">
        <v>52</v>
      </c>
      <c r="C422" s="82" t="s">
        <v>10487</v>
      </c>
      <c r="D422" s="83" t="s">
        <v>10305</v>
      </c>
      <c r="E422" s="83" t="s">
        <v>10488</v>
      </c>
      <c r="F422" s="92">
        <v>5.0</v>
      </c>
      <c r="G422" s="288" t="s">
        <v>67</v>
      </c>
    </row>
    <row r="423" ht="15.0" customHeight="1">
      <c r="A423" s="224" t="s">
        <v>67</v>
      </c>
      <c r="B423" s="224" t="s">
        <v>52</v>
      </c>
      <c r="C423" s="82" t="s">
        <v>10489</v>
      </c>
      <c r="D423" s="83" t="s">
        <v>10305</v>
      </c>
      <c r="E423" s="83" t="s">
        <v>10490</v>
      </c>
      <c r="F423" s="92">
        <v>8.67</v>
      </c>
      <c r="G423" s="288" t="s">
        <v>67</v>
      </c>
    </row>
    <row r="424" ht="15.0" customHeight="1">
      <c r="A424" s="224" t="s">
        <v>67</v>
      </c>
      <c r="B424" s="224" t="s">
        <v>52</v>
      </c>
      <c r="C424" s="82" t="s">
        <v>10491</v>
      </c>
      <c r="D424" s="83" t="s">
        <v>10305</v>
      </c>
      <c r="E424" s="83" t="s">
        <v>10492</v>
      </c>
      <c r="F424" s="92">
        <v>5.34</v>
      </c>
      <c r="G424" s="288" t="s">
        <v>67</v>
      </c>
    </row>
    <row r="425" ht="15.0" customHeight="1">
      <c r="A425" s="224" t="s">
        <v>67</v>
      </c>
      <c r="B425" s="224" t="s">
        <v>52</v>
      </c>
      <c r="C425" s="82" t="s">
        <v>10493</v>
      </c>
      <c r="D425" s="83" t="s">
        <v>10305</v>
      </c>
      <c r="E425" s="83" t="s">
        <v>10494</v>
      </c>
      <c r="F425" s="92">
        <v>3.67</v>
      </c>
      <c r="G425" s="288" t="s">
        <v>67</v>
      </c>
    </row>
    <row r="426" ht="15.0" customHeight="1">
      <c r="A426" s="224" t="s">
        <v>67</v>
      </c>
      <c r="B426" s="224" t="s">
        <v>52</v>
      </c>
      <c r="C426" s="82" t="s">
        <v>10495</v>
      </c>
      <c r="D426" s="83" t="s">
        <v>10305</v>
      </c>
      <c r="E426" s="83" t="s">
        <v>10494</v>
      </c>
      <c r="F426" s="92">
        <v>3.67</v>
      </c>
      <c r="G426" s="288" t="s">
        <v>67</v>
      </c>
    </row>
    <row r="427" ht="15.0" customHeight="1">
      <c r="A427" s="224" t="s">
        <v>67</v>
      </c>
      <c r="B427" s="224" t="s">
        <v>52</v>
      </c>
      <c r="C427" s="82" t="s">
        <v>10496</v>
      </c>
      <c r="D427" s="83" t="s">
        <v>10305</v>
      </c>
      <c r="E427" s="83" t="s">
        <v>10497</v>
      </c>
      <c r="F427" s="92">
        <v>4.67</v>
      </c>
      <c r="G427" s="288" t="s">
        <v>67</v>
      </c>
    </row>
    <row r="428" ht="15.0" customHeight="1">
      <c r="A428" s="224" t="s">
        <v>67</v>
      </c>
      <c r="B428" s="224" t="s">
        <v>52</v>
      </c>
      <c r="C428" s="82" t="s">
        <v>10498</v>
      </c>
      <c r="D428" s="83" t="s">
        <v>10305</v>
      </c>
      <c r="E428" s="83" t="s">
        <v>10499</v>
      </c>
      <c r="F428" s="92">
        <v>9.0</v>
      </c>
      <c r="G428" s="288" t="s">
        <v>67</v>
      </c>
    </row>
    <row r="429" ht="15.0" customHeight="1">
      <c r="A429" s="224" t="s">
        <v>67</v>
      </c>
      <c r="B429" s="224" t="s">
        <v>52</v>
      </c>
      <c r="C429" s="82" t="s">
        <v>10500</v>
      </c>
      <c r="D429" s="83" t="s">
        <v>10501</v>
      </c>
      <c r="E429" s="83">
        <v>1.0</v>
      </c>
      <c r="F429" s="92">
        <v>0.67</v>
      </c>
      <c r="G429" s="288" t="s">
        <v>67</v>
      </c>
    </row>
    <row r="430" ht="15.0" customHeight="1">
      <c r="A430" s="224" t="s">
        <v>67</v>
      </c>
      <c r="B430" s="224" t="s">
        <v>52</v>
      </c>
      <c r="C430" s="82" t="s">
        <v>10502</v>
      </c>
      <c r="D430" s="83" t="s">
        <v>10503</v>
      </c>
      <c r="E430" s="83" t="s">
        <v>10504</v>
      </c>
      <c r="F430" s="92">
        <v>8.67</v>
      </c>
      <c r="G430" s="288" t="s">
        <v>67</v>
      </c>
    </row>
    <row r="431" ht="15.0" customHeight="1">
      <c r="A431" s="224" t="s">
        <v>67</v>
      </c>
      <c r="B431" s="224" t="s">
        <v>52</v>
      </c>
      <c r="C431" s="82" t="s">
        <v>10505</v>
      </c>
      <c r="D431" s="83" t="s">
        <v>10501</v>
      </c>
      <c r="E431" s="83" t="s">
        <v>10506</v>
      </c>
      <c r="F431" s="92">
        <v>9.34</v>
      </c>
      <c r="G431" s="288" t="s">
        <v>67</v>
      </c>
    </row>
    <row r="432" ht="15.0" customHeight="1">
      <c r="A432" s="224" t="s">
        <v>67</v>
      </c>
      <c r="B432" s="224" t="s">
        <v>52</v>
      </c>
      <c r="C432" s="82" t="s">
        <v>10507</v>
      </c>
      <c r="D432" s="83" t="s">
        <v>10501</v>
      </c>
      <c r="E432" s="83" t="s">
        <v>10508</v>
      </c>
      <c r="F432" s="92">
        <v>6.67</v>
      </c>
      <c r="G432" s="288" t="s">
        <v>67</v>
      </c>
    </row>
    <row r="433" ht="15.75" customHeight="1">
      <c r="A433" s="224" t="s">
        <v>67</v>
      </c>
      <c r="B433" s="224" t="s">
        <v>52</v>
      </c>
      <c r="C433" s="82" t="s">
        <v>10509</v>
      </c>
      <c r="D433" s="83" t="s">
        <v>10503</v>
      </c>
      <c r="E433" s="83" t="s">
        <v>10510</v>
      </c>
      <c r="F433" s="92">
        <v>55.34</v>
      </c>
      <c r="G433" s="288" t="s">
        <v>67</v>
      </c>
    </row>
    <row r="434" ht="15.75" customHeight="1">
      <c r="A434" s="253" t="s">
        <v>8536</v>
      </c>
      <c r="B434" s="253" t="s">
        <v>52</v>
      </c>
      <c r="C434" s="148" t="s">
        <v>10511</v>
      </c>
      <c r="D434" s="191" t="s">
        <v>10072</v>
      </c>
      <c r="E434" s="162">
        <f>16/3*0.5</f>
        <v>2.666666667</v>
      </c>
      <c r="F434" s="162">
        <f t="shared" ref="F434:F477" si="61">E434</f>
        <v>2.666666667</v>
      </c>
      <c r="G434" s="288" t="s">
        <v>87</v>
      </c>
    </row>
    <row r="435" ht="15.75" customHeight="1">
      <c r="A435" s="253" t="s">
        <v>8536</v>
      </c>
      <c r="B435" s="253" t="s">
        <v>52</v>
      </c>
      <c r="C435" s="148" t="s">
        <v>10512</v>
      </c>
      <c r="D435" s="191" t="s">
        <v>10072</v>
      </c>
      <c r="E435" s="162">
        <f>27/3*0.5</f>
        <v>4.5</v>
      </c>
      <c r="F435" s="162">
        <f t="shared" si="61"/>
        <v>4.5</v>
      </c>
      <c r="G435" s="288" t="s">
        <v>87</v>
      </c>
    </row>
    <row r="436" ht="15.75" customHeight="1">
      <c r="A436" s="253" t="s">
        <v>8536</v>
      </c>
      <c r="B436" s="253" t="s">
        <v>52</v>
      </c>
      <c r="C436" s="148" t="s">
        <v>10513</v>
      </c>
      <c r="D436" s="191" t="s">
        <v>10072</v>
      </c>
      <c r="E436" s="162">
        <f>13/3*0.5</f>
        <v>2.166666667</v>
      </c>
      <c r="F436" s="162">
        <f t="shared" si="61"/>
        <v>2.166666667</v>
      </c>
      <c r="G436" s="288" t="s">
        <v>87</v>
      </c>
    </row>
    <row r="437" ht="15.75" customHeight="1">
      <c r="A437" s="253" t="s">
        <v>8536</v>
      </c>
      <c r="B437" s="253" t="s">
        <v>52</v>
      </c>
      <c r="C437" s="148" t="s">
        <v>10514</v>
      </c>
      <c r="D437" s="191" t="s">
        <v>10072</v>
      </c>
      <c r="E437" s="162">
        <f>24/3*0.5</f>
        <v>4</v>
      </c>
      <c r="F437" s="162">
        <f t="shared" si="61"/>
        <v>4</v>
      </c>
      <c r="G437" s="288" t="s">
        <v>87</v>
      </c>
    </row>
    <row r="438" ht="15.75" customHeight="1">
      <c r="A438" s="253" t="s">
        <v>8536</v>
      </c>
      <c r="B438" s="253" t="s">
        <v>52</v>
      </c>
      <c r="C438" s="148" t="s">
        <v>10515</v>
      </c>
      <c r="D438" s="191" t="s">
        <v>10072</v>
      </c>
      <c r="E438" s="162">
        <f>17/3*0.5</f>
        <v>2.833333333</v>
      </c>
      <c r="F438" s="162">
        <f t="shared" si="61"/>
        <v>2.833333333</v>
      </c>
      <c r="G438" s="288" t="s">
        <v>87</v>
      </c>
    </row>
    <row r="439" ht="15.75" customHeight="1">
      <c r="A439" s="253" t="s">
        <v>8536</v>
      </c>
      <c r="B439" s="253" t="s">
        <v>52</v>
      </c>
      <c r="C439" s="148" t="s">
        <v>10516</v>
      </c>
      <c r="D439" s="191" t="s">
        <v>10072</v>
      </c>
      <c r="E439" s="523">
        <f>22/3*0.5</f>
        <v>3.666666667</v>
      </c>
      <c r="F439" s="162">
        <f t="shared" si="61"/>
        <v>3.666666667</v>
      </c>
      <c r="G439" s="288" t="s">
        <v>87</v>
      </c>
    </row>
    <row r="440" ht="15.75" customHeight="1">
      <c r="A440" s="253" t="s">
        <v>8536</v>
      </c>
      <c r="B440" s="253" t="s">
        <v>52</v>
      </c>
      <c r="C440" s="148" t="s">
        <v>10517</v>
      </c>
      <c r="D440" s="191" t="s">
        <v>10072</v>
      </c>
      <c r="E440" s="302">
        <f>21/3*0.5</f>
        <v>3.5</v>
      </c>
      <c r="F440" s="162">
        <f t="shared" si="61"/>
        <v>3.5</v>
      </c>
      <c r="G440" s="288" t="s">
        <v>87</v>
      </c>
    </row>
    <row r="441" ht="15.75" customHeight="1">
      <c r="A441" s="253" t="s">
        <v>8536</v>
      </c>
      <c r="B441" s="253" t="s">
        <v>52</v>
      </c>
      <c r="C441" s="148" t="s">
        <v>10518</v>
      </c>
      <c r="D441" s="191" t="s">
        <v>10072</v>
      </c>
      <c r="E441" s="524">
        <f>22/3*0.5</f>
        <v>3.666666667</v>
      </c>
      <c r="F441" s="162">
        <f t="shared" si="61"/>
        <v>3.666666667</v>
      </c>
      <c r="G441" s="288" t="s">
        <v>87</v>
      </c>
    </row>
    <row r="442" ht="15.75" customHeight="1">
      <c r="A442" s="253" t="s">
        <v>8536</v>
      </c>
      <c r="B442" s="253" t="s">
        <v>52</v>
      </c>
      <c r="C442" s="148" t="s">
        <v>10519</v>
      </c>
      <c r="D442" s="191" t="s">
        <v>10072</v>
      </c>
      <c r="E442" s="162">
        <f>7/3*0.5</f>
        <v>1.166666667</v>
      </c>
      <c r="F442" s="162">
        <f t="shared" si="61"/>
        <v>1.166666667</v>
      </c>
      <c r="G442" s="288" t="s">
        <v>87</v>
      </c>
    </row>
    <row r="443" ht="15.75" customHeight="1">
      <c r="A443" s="253" t="s">
        <v>8536</v>
      </c>
      <c r="B443" s="253" t="s">
        <v>52</v>
      </c>
      <c r="C443" s="148" t="s">
        <v>10520</v>
      </c>
      <c r="D443" s="191" t="s">
        <v>10072</v>
      </c>
      <c r="E443" s="162">
        <f>13/3*0.5</f>
        <v>2.166666667</v>
      </c>
      <c r="F443" s="162">
        <f t="shared" si="61"/>
        <v>2.166666667</v>
      </c>
      <c r="G443" s="288" t="s">
        <v>87</v>
      </c>
    </row>
    <row r="444" ht="15.75" customHeight="1">
      <c r="A444" s="253" t="s">
        <v>8536</v>
      </c>
      <c r="B444" s="253" t="s">
        <v>52</v>
      </c>
      <c r="C444" s="148" t="s">
        <v>10521</v>
      </c>
      <c r="D444" s="191" t="s">
        <v>10072</v>
      </c>
      <c r="E444" s="162">
        <f>22/3</f>
        <v>7.333333333</v>
      </c>
      <c r="F444" s="162">
        <f t="shared" si="61"/>
        <v>7.333333333</v>
      </c>
      <c r="G444" s="288" t="s">
        <v>87</v>
      </c>
    </row>
    <row r="445" ht="15.75" customHeight="1">
      <c r="A445" s="253" t="s">
        <v>8536</v>
      </c>
      <c r="B445" s="253" t="s">
        <v>52</v>
      </c>
      <c r="C445" s="148" t="s">
        <v>10522</v>
      </c>
      <c r="D445" s="191" t="s">
        <v>10072</v>
      </c>
      <c r="E445" s="162">
        <f>21/3*0.5</f>
        <v>3.5</v>
      </c>
      <c r="F445" s="162">
        <f t="shared" si="61"/>
        <v>3.5</v>
      </c>
      <c r="G445" s="288" t="s">
        <v>87</v>
      </c>
    </row>
    <row r="446" ht="15.75" customHeight="1">
      <c r="A446" s="253" t="s">
        <v>8536</v>
      </c>
      <c r="B446" s="253" t="s">
        <v>52</v>
      </c>
      <c r="C446" s="148" t="s">
        <v>10523</v>
      </c>
      <c r="D446" s="191" t="s">
        <v>10072</v>
      </c>
      <c r="E446" s="162">
        <f t="shared" ref="E446:E447" si="62">(22+21+13)*0.25/3*0.5</f>
        <v>2.333333333</v>
      </c>
      <c r="F446" s="162">
        <f t="shared" si="61"/>
        <v>2.333333333</v>
      </c>
      <c r="G446" s="288" t="s">
        <v>87</v>
      </c>
    </row>
    <row r="447" ht="15.75" customHeight="1">
      <c r="A447" s="253" t="s">
        <v>8536</v>
      </c>
      <c r="B447" s="253" t="s">
        <v>52</v>
      </c>
      <c r="C447" s="148" t="s">
        <v>10524</v>
      </c>
      <c r="D447" s="191" t="s">
        <v>10072</v>
      </c>
      <c r="E447" s="162">
        <f t="shared" si="62"/>
        <v>2.333333333</v>
      </c>
      <c r="F447" s="162">
        <f t="shared" si="61"/>
        <v>2.333333333</v>
      </c>
      <c r="G447" s="288" t="s">
        <v>87</v>
      </c>
    </row>
    <row r="448" ht="15.75" customHeight="1">
      <c r="A448" s="253" t="s">
        <v>8536</v>
      </c>
      <c r="B448" s="253" t="s">
        <v>52</v>
      </c>
      <c r="C448" s="148" t="s">
        <v>10525</v>
      </c>
      <c r="D448" s="191" t="s">
        <v>10072</v>
      </c>
      <c r="E448" s="162">
        <f t="shared" ref="E448:E449" si="63">(22+21+13)*0.1/3*0.5</f>
        <v>0.9333333333</v>
      </c>
      <c r="F448" s="162">
        <f t="shared" si="61"/>
        <v>0.9333333333</v>
      </c>
      <c r="G448" s="288" t="s">
        <v>87</v>
      </c>
    </row>
    <row r="449" ht="15.75" customHeight="1">
      <c r="A449" s="253" t="s">
        <v>8536</v>
      </c>
      <c r="B449" s="253" t="s">
        <v>52</v>
      </c>
      <c r="C449" s="148" t="s">
        <v>10526</v>
      </c>
      <c r="D449" s="191" t="s">
        <v>10072</v>
      </c>
      <c r="E449" s="162">
        <f t="shared" si="63"/>
        <v>0.9333333333</v>
      </c>
      <c r="F449" s="162">
        <f t="shared" si="61"/>
        <v>0.9333333333</v>
      </c>
      <c r="G449" s="288" t="s">
        <v>87</v>
      </c>
    </row>
    <row r="450" ht="15.75" customHeight="1">
      <c r="A450" s="253" t="s">
        <v>8536</v>
      </c>
      <c r="B450" s="253" t="s">
        <v>52</v>
      </c>
      <c r="C450" s="148" t="s">
        <v>10527</v>
      </c>
      <c r="D450" s="191" t="s">
        <v>10072</v>
      </c>
      <c r="E450" s="524">
        <f>(24+16+27+7)*0.25/3*0.5</f>
        <v>3.083333333</v>
      </c>
      <c r="F450" s="162">
        <f t="shared" si="61"/>
        <v>3.083333333</v>
      </c>
      <c r="G450" s="288" t="s">
        <v>87</v>
      </c>
    </row>
    <row r="451" ht="15.75" customHeight="1">
      <c r="A451" s="253" t="s">
        <v>8536</v>
      </c>
      <c r="B451" s="253" t="s">
        <v>52</v>
      </c>
      <c r="C451" s="148" t="s">
        <v>10528</v>
      </c>
      <c r="D451" s="191" t="s">
        <v>10072</v>
      </c>
      <c r="E451" s="524">
        <f>(24+16+27+7)*0.1/3*0.5</f>
        <v>1.233333333</v>
      </c>
      <c r="F451" s="162">
        <f t="shared" si="61"/>
        <v>1.233333333</v>
      </c>
      <c r="G451" s="288" t="s">
        <v>87</v>
      </c>
    </row>
    <row r="452" ht="15.75" customHeight="1">
      <c r="A452" s="253" t="s">
        <v>8536</v>
      </c>
      <c r="B452" s="253" t="s">
        <v>52</v>
      </c>
      <c r="C452" s="148" t="s">
        <v>10529</v>
      </c>
      <c r="D452" s="191" t="s">
        <v>10072</v>
      </c>
      <c r="E452" s="524">
        <f>(17+22)*0.25/3*0.5</f>
        <v>1.625</v>
      </c>
      <c r="F452" s="162">
        <f t="shared" si="61"/>
        <v>1.625</v>
      </c>
      <c r="G452" s="288" t="s">
        <v>87</v>
      </c>
    </row>
    <row r="453" ht="15.75" customHeight="1">
      <c r="A453" s="253" t="s">
        <v>8536</v>
      </c>
      <c r="B453" s="253" t="s">
        <v>52</v>
      </c>
      <c r="C453" s="148" t="s">
        <v>10530</v>
      </c>
      <c r="D453" s="191" t="s">
        <v>10072</v>
      </c>
      <c r="E453" s="524">
        <f>(17+22)*0.1/3*0.5</f>
        <v>0.65</v>
      </c>
      <c r="F453" s="162">
        <f t="shared" si="61"/>
        <v>0.65</v>
      </c>
      <c r="G453" s="288" t="s">
        <v>87</v>
      </c>
    </row>
    <row r="454" ht="15.75" customHeight="1">
      <c r="A454" s="253" t="s">
        <v>8536</v>
      </c>
      <c r="B454" s="253" t="s">
        <v>52</v>
      </c>
      <c r="C454" s="525" t="s">
        <v>10531</v>
      </c>
      <c r="D454" s="526" t="s">
        <v>10046</v>
      </c>
      <c r="E454" s="524">
        <f>16/3</f>
        <v>5.333333333</v>
      </c>
      <c r="F454" s="524">
        <f t="shared" si="61"/>
        <v>5.333333333</v>
      </c>
      <c r="G454" s="288" t="s">
        <v>87</v>
      </c>
    </row>
    <row r="455" ht="15.75" customHeight="1">
      <c r="A455" s="253" t="s">
        <v>8536</v>
      </c>
      <c r="B455" s="527" t="s">
        <v>52</v>
      </c>
      <c r="C455" s="525" t="s">
        <v>10532</v>
      </c>
      <c r="D455" s="526" t="s">
        <v>10046</v>
      </c>
      <c r="E455" s="302">
        <f>24/3</f>
        <v>8</v>
      </c>
      <c r="F455" s="302">
        <f t="shared" si="61"/>
        <v>8</v>
      </c>
      <c r="G455" s="288" t="s">
        <v>87</v>
      </c>
    </row>
    <row r="456" ht="15.75" customHeight="1">
      <c r="A456" s="253" t="s">
        <v>8536</v>
      </c>
      <c r="B456" s="527" t="s">
        <v>52</v>
      </c>
      <c r="C456" s="525" t="s">
        <v>10533</v>
      </c>
      <c r="D456" s="526" t="s">
        <v>10046</v>
      </c>
      <c r="E456" s="302">
        <f>27/3</f>
        <v>9</v>
      </c>
      <c r="F456" s="302">
        <f t="shared" si="61"/>
        <v>9</v>
      </c>
      <c r="G456" s="288" t="s">
        <v>87</v>
      </c>
    </row>
    <row r="457" ht="15.75" customHeight="1">
      <c r="A457" s="253" t="s">
        <v>8536</v>
      </c>
      <c r="B457" s="527" t="s">
        <v>52</v>
      </c>
      <c r="C457" s="525" t="s">
        <v>10534</v>
      </c>
      <c r="D457" s="526" t="s">
        <v>10046</v>
      </c>
      <c r="E457" s="302">
        <f>13/3</f>
        <v>4.333333333</v>
      </c>
      <c r="F457" s="302">
        <f t="shared" si="61"/>
        <v>4.333333333</v>
      </c>
      <c r="G457" s="288" t="s">
        <v>87</v>
      </c>
    </row>
    <row r="458" ht="15.75" customHeight="1">
      <c r="A458" s="253" t="s">
        <v>8536</v>
      </c>
      <c r="B458" s="527" t="s">
        <v>52</v>
      </c>
      <c r="C458" s="525" t="s">
        <v>10535</v>
      </c>
      <c r="D458" s="526" t="s">
        <v>10046</v>
      </c>
      <c r="E458" s="302">
        <f>17/3</f>
        <v>5.666666667</v>
      </c>
      <c r="F458" s="302">
        <f t="shared" si="61"/>
        <v>5.666666667</v>
      </c>
      <c r="G458" s="288" t="s">
        <v>87</v>
      </c>
    </row>
    <row r="459" ht="15.75" customHeight="1">
      <c r="A459" s="253" t="s">
        <v>8536</v>
      </c>
      <c r="B459" s="527" t="s">
        <v>52</v>
      </c>
      <c r="C459" s="525" t="s">
        <v>10536</v>
      </c>
      <c r="D459" s="526" t="s">
        <v>10046</v>
      </c>
      <c r="E459" s="302">
        <f>22/3</f>
        <v>7.333333333</v>
      </c>
      <c r="F459" s="302">
        <f t="shared" si="61"/>
        <v>7.333333333</v>
      </c>
      <c r="G459" s="288" t="s">
        <v>87</v>
      </c>
    </row>
    <row r="460" ht="15.75" customHeight="1">
      <c r="A460" s="253" t="s">
        <v>8536</v>
      </c>
      <c r="B460" s="527" t="s">
        <v>52</v>
      </c>
      <c r="C460" s="525" t="s">
        <v>10537</v>
      </c>
      <c r="D460" s="526" t="s">
        <v>10046</v>
      </c>
      <c r="E460" s="302">
        <f>21/3</f>
        <v>7</v>
      </c>
      <c r="F460" s="302">
        <f t="shared" si="61"/>
        <v>7</v>
      </c>
      <c r="G460" s="288" t="s">
        <v>87</v>
      </c>
    </row>
    <row r="461" ht="15.75" customHeight="1">
      <c r="A461" s="253" t="s">
        <v>8536</v>
      </c>
      <c r="B461" s="527" t="s">
        <v>52</v>
      </c>
      <c r="C461" s="525" t="s">
        <v>10538</v>
      </c>
      <c r="D461" s="526" t="s">
        <v>10046</v>
      </c>
      <c r="E461" s="302">
        <f t="shared" ref="E461:E462" si="64">22/3</f>
        <v>7.333333333</v>
      </c>
      <c r="F461" s="302">
        <f t="shared" si="61"/>
        <v>7.333333333</v>
      </c>
      <c r="G461" s="288" t="s">
        <v>87</v>
      </c>
    </row>
    <row r="462" ht="15.0" customHeight="1">
      <c r="A462" s="253" t="s">
        <v>9219</v>
      </c>
      <c r="B462" s="253" t="s">
        <v>52</v>
      </c>
      <c r="C462" s="148" t="s">
        <v>10539</v>
      </c>
      <c r="D462" s="191" t="s">
        <v>10046</v>
      </c>
      <c r="E462" s="162">
        <f t="shared" si="64"/>
        <v>7.333333333</v>
      </c>
      <c r="F462" s="162">
        <f t="shared" si="61"/>
        <v>7.333333333</v>
      </c>
      <c r="G462" s="288" t="s">
        <v>59</v>
      </c>
    </row>
    <row r="463" ht="15.0" customHeight="1">
      <c r="A463" s="253" t="s">
        <v>9219</v>
      </c>
      <c r="B463" s="253" t="s">
        <v>52</v>
      </c>
      <c r="C463" s="148" t="s">
        <v>10540</v>
      </c>
      <c r="D463" s="191" t="s">
        <v>10046</v>
      </c>
      <c r="E463" s="162">
        <f>21/3</f>
        <v>7</v>
      </c>
      <c r="F463" s="162">
        <f t="shared" si="61"/>
        <v>7</v>
      </c>
      <c r="G463" s="288" t="s">
        <v>59</v>
      </c>
    </row>
    <row r="464" ht="15.0" customHeight="1">
      <c r="A464" s="253" t="s">
        <v>9219</v>
      </c>
      <c r="B464" s="253" t="s">
        <v>52</v>
      </c>
      <c r="C464" s="148" t="s">
        <v>10541</v>
      </c>
      <c r="D464" s="191" t="s">
        <v>10046</v>
      </c>
      <c r="E464" s="162">
        <f>13/3</f>
        <v>4.333333333</v>
      </c>
      <c r="F464" s="162">
        <f t="shared" si="61"/>
        <v>4.333333333</v>
      </c>
      <c r="G464" s="288" t="s">
        <v>59</v>
      </c>
    </row>
    <row r="465" ht="15.0" customHeight="1">
      <c r="A465" s="253" t="s">
        <v>9219</v>
      </c>
      <c r="B465" s="253" t="s">
        <v>52</v>
      </c>
      <c r="C465" s="148" t="s">
        <v>10542</v>
      </c>
      <c r="D465" s="191" t="s">
        <v>10046</v>
      </c>
      <c r="E465" s="162">
        <f>25/3</f>
        <v>8.333333333</v>
      </c>
      <c r="F465" s="162">
        <f t="shared" si="61"/>
        <v>8.333333333</v>
      </c>
      <c r="G465" s="288" t="s">
        <v>59</v>
      </c>
    </row>
    <row r="466" ht="15.0" customHeight="1">
      <c r="A466" s="253" t="s">
        <v>9219</v>
      </c>
      <c r="B466" s="253" t="s">
        <v>52</v>
      </c>
      <c r="C466" s="148" t="s">
        <v>10543</v>
      </c>
      <c r="D466" s="191" t="s">
        <v>10046</v>
      </c>
      <c r="E466" s="162">
        <f>22/3</f>
        <v>7.333333333</v>
      </c>
      <c r="F466" s="162">
        <f t="shared" si="61"/>
        <v>7.333333333</v>
      </c>
      <c r="G466" s="288" t="s">
        <v>59</v>
      </c>
    </row>
    <row r="467" ht="15.0" customHeight="1">
      <c r="A467" s="253" t="s">
        <v>9219</v>
      </c>
      <c r="B467" s="253" t="s">
        <v>52</v>
      </c>
      <c r="C467" s="148" t="s">
        <v>10544</v>
      </c>
      <c r="D467" s="191" t="s">
        <v>10046</v>
      </c>
      <c r="E467" s="162">
        <f>21/3</f>
        <v>7</v>
      </c>
      <c r="F467" s="162">
        <f t="shared" si="61"/>
        <v>7</v>
      </c>
      <c r="G467" s="288" t="s">
        <v>59</v>
      </c>
    </row>
    <row r="468" ht="15.0" customHeight="1">
      <c r="A468" s="253" t="s">
        <v>9219</v>
      </c>
      <c r="B468" s="253" t="s">
        <v>52</v>
      </c>
      <c r="C468" s="148" t="s">
        <v>10545</v>
      </c>
      <c r="D468" s="191" t="s">
        <v>10046</v>
      </c>
      <c r="E468" s="162">
        <f>13/3</f>
        <v>4.333333333</v>
      </c>
      <c r="F468" s="162">
        <f t="shared" si="61"/>
        <v>4.333333333</v>
      </c>
      <c r="G468" s="288" t="s">
        <v>59</v>
      </c>
    </row>
    <row r="469" ht="15.0" customHeight="1">
      <c r="A469" s="253" t="s">
        <v>9219</v>
      </c>
      <c r="B469" s="253" t="s">
        <v>52</v>
      </c>
      <c r="C469" s="148" t="s">
        <v>10546</v>
      </c>
      <c r="D469" s="191" t="s">
        <v>10046</v>
      </c>
      <c r="E469" s="162">
        <f>(22+21+13)*0.25/3</f>
        <v>4.666666667</v>
      </c>
      <c r="F469" s="162">
        <f t="shared" si="61"/>
        <v>4.666666667</v>
      </c>
      <c r="G469" s="288" t="s">
        <v>59</v>
      </c>
    </row>
    <row r="470" ht="15.0" customHeight="1">
      <c r="A470" s="253" t="s">
        <v>9219</v>
      </c>
      <c r="B470" s="253" t="s">
        <v>52</v>
      </c>
      <c r="C470" s="148" t="s">
        <v>10547</v>
      </c>
      <c r="D470" s="191" t="s">
        <v>10046</v>
      </c>
      <c r="E470" s="162">
        <f>25*0.25/3</f>
        <v>2.083333333</v>
      </c>
      <c r="F470" s="162">
        <f t="shared" si="61"/>
        <v>2.083333333</v>
      </c>
      <c r="G470" s="288" t="s">
        <v>59</v>
      </c>
    </row>
    <row r="471" ht="15.0" customHeight="1">
      <c r="A471" s="253" t="s">
        <v>9219</v>
      </c>
      <c r="B471" s="253" t="s">
        <v>52</v>
      </c>
      <c r="C471" s="148" t="s">
        <v>10548</v>
      </c>
      <c r="D471" s="191" t="s">
        <v>10046</v>
      </c>
      <c r="E471" s="162">
        <f>(22+21+13)*0.25/3</f>
        <v>4.666666667</v>
      </c>
      <c r="F471" s="162">
        <f t="shared" si="61"/>
        <v>4.666666667</v>
      </c>
      <c r="G471" s="288" t="s">
        <v>59</v>
      </c>
    </row>
    <row r="472" ht="15.0" customHeight="1">
      <c r="A472" s="253" t="s">
        <v>9219</v>
      </c>
      <c r="B472" s="253" t="s">
        <v>52</v>
      </c>
      <c r="C472" s="148" t="s">
        <v>10549</v>
      </c>
      <c r="D472" s="191" t="s">
        <v>10046</v>
      </c>
      <c r="E472" s="162">
        <f>(22+21+13)*0.1/3</f>
        <v>1.866666667</v>
      </c>
      <c r="F472" s="162">
        <f t="shared" si="61"/>
        <v>1.866666667</v>
      </c>
      <c r="G472" s="288" t="s">
        <v>59</v>
      </c>
    </row>
    <row r="473" ht="15.0" customHeight="1">
      <c r="A473" s="253" t="s">
        <v>9219</v>
      </c>
      <c r="B473" s="253" t="s">
        <v>52</v>
      </c>
      <c r="C473" s="148" t="s">
        <v>10550</v>
      </c>
      <c r="D473" s="191" t="s">
        <v>10046</v>
      </c>
      <c r="E473" s="162">
        <f>25*0.1/3</f>
        <v>0.8333333333</v>
      </c>
      <c r="F473" s="162">
        <f t="shared" si="61"/>
        <v>0.8333333333</v>
      </c>
      <c r="G473" s="288" t="s">
        <v>59</v>
      </c>
    </row>
    <row r="474" ht="15.0" customHeight="1">
      <c r="A474" s="253" t="s">
        <v>9219</v>
      </c>
      <c r="B474" s="253" t="s">
        <v>52</v>
      </c>
      <c r="C474" s="148" t="s">
        <v>10551</v>
      </c>
      <c r="D474" s="191" t="s">
        <v>10046</v>
      </c>
      <c r="E474" s="162">
        <f>(22+21+13)*0.1/3</f>
        <v>1.866666667</v>
      </c>
      <c r="F474" s="162">
        <f t="shared" si="61"/>
        <v>1.866666667</v>
      </c>
      <c r="G474" s="288" t="s">
        <v>59</v>
      </c>
    </row>
    <row r="475" ht="15.75" customHeight="1">
      <c r="A475" s="513" t="s">
        <v>9219</v>
      </c>
      <c r="B475" s="513" t="s">
        <v>52</v>
      </c>
      <c r="C475" s="164" t="s">
        <v>10062</v>
      </c>
      <c r="D475" s="168" t="s">
        <v>10046</v>
      </c>
      <c r="E475" s="404">
        <f>8*3/3</f>
        <v>8</v>
      </c>
      <c r="F475" s="404">
        <f t="shared" si="61"/>
        <v>8</v>
      </c>
      <c r="G475" s="288" t="s">
        <v>59</v>
      </c>
    </row>
    <row r="476" ht="15.0" customHeight="1">
      <c r="A476" s="253" t="s">
        <v>9219</v>
      </c>
      <c r="B476" s="253" t="s">
        <v>52</v>
      </c>
      <c r="C476" s="148" t="s">
        <v>10552</v>
      </c>
      <c r="D476" s="191" t="s">
        <v>10046</v>
      </c>
      <c r="E476" s="162">
        <f>13*2/3</f>
        <v>8.666666667</v>
      </c>
      <c r="F476" s="162">
        <f t="shared" si="61"/>
        <v>8.666666667</v>
      </c>
      <c r="G476" s="288" t="s">
        <v>59</v>
      </c>
    </row>
    <row r="477" ht="15.0" customHeight="1">
      <c r="A477" s="253" t="s">
        <v>9219</v>
      </c>
      <c r="B477" s="253" t="s">
        <v>52</v>
      </c>
      <c r="C477" s="148" t="s">
        <v>10553</v>
      </c>
      <c r="D477" s="191" t="s">
        <v>10046</v>
      </c>
      <c r="E477" s="162">
        <f>14*2/3</f>
        <v>9.333333333</v>
      </c>
      <c r="F477" s="162">
        <f t="shared" si="61"/>
        <v>9.333333333</v>
      </c>
      <c r="G477" s="288" t="s">
        <v>59</v>
      </c>
    </row>
    <row r="478" ht="15.0" customHeight="1">
      <c r="A478" s="224" t="s">
        <v>7730</v>
      </c>
      <c r="B478" s="224" t="s">
        <v>52</v>
      </c>
      <c r="C478" s="82" t="s">
        <v>10554</v>
      </c>
      <c r="D478" s="83" t="s">
        <v>10046</v>
      </c>
      <c r="E478" s="488" t="s">
        <v>10555</v>
      </c>
      <c r="F478" s="92">
        <f>27/3</f>
        <v>9</v>
      </c>
      <c r="G478" s="288" t="s">
        <v>91</v>
      </c>
    </row>
    <row r="479" ht="15.0" customHeight="1">
      <c r="A479" s="224" t="s">
        <v>7730</v>
      </c>
      <c r="B479" s="224" t="s">
        <v>52</v>
      </c>
      <c r="C479" s="82" t="s">
        <v>10556</v>
      </c>
      <c r="D479" s="83" t="s">
        <v>10072</v>
      </c>
      <c r="E479" s="488" t="s">
        <v>10557</v>
      </c>
      <c r="F479" s="92">
        <f>27/3*0.5</f>
        <v>4.5</v>
      </c>
      <c r="G479" s="288" t="s">
        <v>91</v>
      </c>
    </row>
    <row r="480" ht="15.0" customHeight="1">
      <c r="A480" s="224" t="s">
        <v>7730</v>
      </c>
      <c r="B480" s="224" t="s">
        <v>52</v>
      </c>
      <c r="C480" s="82" t="s">
        <v>10558</v>
      </c>
      <c r="D480" s="83" t="s">
        <v>10072</v>
      </c>
      <c r="E480" s="488" t="s">
        <v>10559</v>
      </c>
      <c r="F480" s="92">
        <f>27/3*0.5*0.25</f>
        <v>1.125</v>
      </c>
      <c r="G480" s="288" t="s">
        <v>91</v>
      </c>
    </row>
    <row r="481" ht="15.0" customHeight="1">
      <c r="A481" s="224" t="s">
        <v>7730</v>
      </c>
      <c r="B481" s="224" t="s">
        <v>52</v>
      </c>
      <c r="C481" s="82" t="s">
        <v>10560</v>
      </c>
      <c r="D481" s="83" t="s">
        <v>10046</v>
      </c>
      <c r="E481" s="488" t="s">
        <v>10555</v>
      </c>
      <c r="F481" s="92">
        <f>27/3</f>
        <v>9</v>
      </c>
      <c r="G481" s="288" t="s">
        <v>91</v>
      </c>
    </row>
    <row r="482" ht="15.0" customHeight="1">
      <c r="A482" s="224" t="s">
        <v>7730</v>
      </c>
      <c r="B482" s="224" t="s">
        <v>52</v>
      </c>
      <c r="C482" s="82" t="s">
        <v>10561</v>
      </c>
      <c r="D482" s="83" t="s">
        <v>10072</v>
      </c>
      <c r="E482" s="488" t="s">
        <v>10557</v>
      </c>
      <c r="F482" s="92">
        <f>27/3*0.5</f>
        <v>4.5</v>
      </c>
      <c r="G482" s="288" t="s">
        <v>91</v>
      </c>
    </row>
    <row r="483" ht="15.0" customHeight="1">
      <c r="A483" s="224" t="s">
        <v>7730</v>
      </c>
      <c r="B483" s="224" t="s">
        <v>52</v>
      </c>
      <c r="C483" s="82" t="s">
        <v>10562</v>
      </c>
      <c r="D483" s="83" t="s">
        <v>10072</v>
      </c>
      <c r="E483" s="488" t="s">
        <v>10559</v>
      </c>
      <c r="F483" s="92">
        <f>27/3*0.5*0.25</f>
        <v>1.125</v>
      </c>
      <c r="G483" s="288" t="s">
        <v>91</v>
      </c>
    </row>
    <row r="484" ht="15.0" customHeight="1">
      <c r="A484" s="224" t="s">
        <v>7730</v>
      </c>
      <c r="B484" s="224" t="s">
        <v>52</v>
      </c>
      <c r="C484" s="82" t="s">
        <v>10563</v>
      </c>
      <c r="D484" s="83" t="s">
        <v>10046</v>
      </c>
      <c r="E484" s="488" t="s">
        <v>10278</v>
      </c>
      <c r="F484" s="92">
        <f>18/3</f>
        <v>6</v>
      </c>
      <c r="G484" s="288" t="s">
        <v>91</v>
      </c>
    </row>
    <row r="485" ht="15.0" customHeight="1">
      <c r="A485" s="224" t="s">
        <v>7730</v>
      </c>
      <c r="B485" s="224" t="s">
        <v>52</v>
      </c>
      <c r="C485" s="82" t="s">
        <v>10564</v>
      </c>
      <c r="D485" s="83" t="s">
        <v>10072</v>
      </c>
      <c r="E485" s="488" t="s">
        <v>10280</v>
      </c>
      <c r="F485" s="92">
        <f>18/3*0.5</f>
        <v>3</v>
      </c>
      <c r="G485" s="288" t="s">
        <v>91</v>
      </c>
    </row>
    <row r="486" ht="15.0" customHeight="1">
      <c r="A486" s="224" t="s">
        <v>7730</v>
      </c>
      <c r="B486" s="224" t="s">
        <v>52</v>
      </c>
      <c r="C486" s="82" t="s">
        <v>10565</v>
      </c>
      <c r="D486" s="83" t="s">
        <v>10072</v>
      </c>
      <c r="E486" s="488" t="s">
        <v>10566</v>
      </c>
      <c r="F486" s="92">
        <f>18/3*0.5*0.25</f>
        <v>0.75</v>
      </c>
      <c r="G486" s="288" t="s">
        <v>91</v>
      </c>
    </row>
    <row r="487" ht="15.0" customHeight="1">
      <c r="A487" s="224" t="s">
        <v>7730</v>
      </c>
      <c r="B487" s="224" t="s">
        <v>52</v>
      </c>
      <c r="C487" s="82" t="s">
        <v>10567</v>
      </c>
      <c r="D487" s="83" t="s">
        <v>10046</v>
      </c>
      <c r="E487" s="488" t="s">
        <v>10258</v>
      </c>
      <c r="F487" s="92">
        <f>15/3</f>
        <v>5</v>
      </c>
      <c r="G487" s="288" t="s">
        <v>91</v>
      </c>
    </row>
    <row r="488" ht="15.0" customHeight="1">
      <c r="A488" s="224" t="s">
        <v>7730</v>
      </c>
      <c r="B488" s="224" t="s">
        <v>52</v>
      </c>
      <c r="C488" s="82" t="s">
        <v>10568</v>
      </c>
      <c r="D488" s="83" t="s">
        <v>10072</v>
      </c>
      <c r="E488" s="488" t="s">
        <v>10260</v>
      </c>
      <c r="F488" s="92">
        <f>15/3*0.5</f>
        <v>2.5</v>
      </c>
      <c r="G488" s="288" t="s">
        <v>91</v>
      </c>
    </row>
    <row r="489" ht="15.0" customHeight="1">
      <c r="A489" s="224" t="s">
        <v>7730</v>
      </c>
      <c r="B489" s="224" t="s">
        <v>52</v>
      </c>
      <c r="C489" s="82" t="s">
        <v>10569</v>
      </c>
      <c r="D489" s="83" t="s">
        <v>10072</v>
      </c>
      <c r="E489" s="488" t="s">
        <v>10570</v>
      </c>
      <c r="F489" s="92">
        <f>15/3*0.5*0.25</f>
        <v>0.625</v>
      </c>
      <c r="G489" s="288" t="s">
        <v>91</v>
      </c>
    </row>
    <row r="490" ht="15.0" customHeight="1">
      <c r="A490" s="224" t="s">
        <v>7730</v>
      </c>
      <c r="B490" s="224" t="s">
        <v>52</v>
      </c>
      <c r="C490" s="82" t="s">
        <v>10571</v>
      </c>
      <c r="D490" s="83" t="s">
        <v>10046</v>
      </c>
      <c r="E490" s="488" t="s">
        <v>10258</v>
      </c>
      <c r="F490" s="92">
        <f>15/3</f>
        <v>5</v>
      </c>
      <c r="G490" s="288" t="s">
        <v>91</v>
      </c>
    </row>
    <row r="491" ht="15.0" customHeight="1">
      <c r="A491" s="224" t="s">
        <v>7730</v>
      </c>
      <c r="B491" s="224" t="s">
        <v>52</v>
      </c>
      <c r="C491" s="82" t="s">
        <v>10572</v>
      </c>
      <c r="D491" s="83" t="s">
        <v>10072</v>
      </c>
      <c r="E491" s="488" t="s">
        <v>10260</v>
      </c>
      <c r="F491" s="92">
        <f>15/3*0.5</f>
        <v>2.5</v>
      </c>
      <c r="G491" s="288" t="s">
        <v>91</v>
      </c>
    </row>
    <row r="492" ht="15.0" customHeight="1">
      <c r="A492" s="224" t="s">
        <v>7730</v>
      </c>
      <c r="B492" s="224" t="s">
        <v>52</v>
      </c>
      <c r="C492" s="82" t="s">
        <v>10573</v>
      </c>
      <c r="D492" s="83" t="s">
        <v>10072</v>
      </c>
      <c r="E492" s="488" t="s">
        <v>10570</v>
      </c>
      <c r="F492" s="92">
        <f>15/3*0.5*0.25</f>
        <v>0.625</v>
      </c>
      <c r="G492" s="288" t="s">
        <v>91</v>
      </c>
    </row>
    <row r="493" ht="15.0" customHeight="1">
      <c r="A493" s="224" t="s">
        <v>7730</v>
      </c>
      <c r="B493" s="224" t="s">
        <v>52</v>
      </c>
      <c r="C493" s="82" t="s">
        <v>10574</v>
      </c>
      <c r="D493" s="83" t="s">
        <v>10046</v>
      </c>
      <c r="E493" s="488" t="s">
        <v>10575</v>
      </c>
      <c r="F493" s="92">
        <f>30/3</f>
        <v>10</v>
      </c>
      <c r="G493" s="288" t="s">
        <v>91</v>
      </c>
    </row>
    <row r="494" ht="15.0" customHeight="1">
      <c r="A494" s="224" t="s">
        <v>7730</v>
      </c>
      <c r="B494" s="224" t="s">
        <v>52</v>
      </c>
      <c r="C494" s="82" t="s">
        <v>10576</v>
      </c>
      <c r="D494" s="83" t="s">
        <v>10072</v>
      </c>
      <c r="E494" s="488" t="s">
        <v>10332</v>
      </c>
      <c r="F494" s="92">
        <f>30/3*0.5</f>
        <v>5</v>
      </c>
      <c r="G494" s="288" t="s">
        <v>91</v>
      </c>
    </row>
    <row r="495" ht="15.0" customHeight="1">
      <c r="A495" s="224" t="s">
        <v>7730</v>
      </c>
      <c r="B495" s="224" t="s">
        <v>52</v>
      </c>
      <c r="C495" s="82" t="s">
        <v>10577</v>
      </c>
      <c r="D495" s="83" t="s">
        <v>10072</v>
      </c>
      <c r="E495" s="488" t="s">
        <v>10334</v>
      </c>
      <c r="F495" s="92">
        <f>30/3*0.5*0.25</f>
        <v>1.25</v>
      </c>
      <c r="G495" s="288" t="s">
        <v>91</v>
      </c>
    </row>
    <row r="496" ht="15.0" customHeight="1">
      <c r="A496" s="224" t="s">
        <v>7730</v>
      </c>
      <c r="B496" s="224" t="s">
        <v>52</v>
      </c>
      <c r="C496" s="82" t="s">
        <v>10578</v>
      </c>
      <c r="D496" s="83" t="s">
        <v>10046</v>
      </c>
      <c r="E496" s="488" t="s">
        <v>10575</v>
      </c>
      <c r="F496" s="92">
        <f>30/3</f>
        <v>10</v>
      </c>
      <c r="G496" s="288" t="s">
        <v>91</v>
      </c>
    </row>
    <row r="497" ht="15.0" customHeight="1">
      <c r="A497" s="224" t="s">
        <v>7730</v>
      </c>
      <c r="B497" s="224" t="s">
        <v>52</v>
      </c>
      <c r="C497" s="82" t="s">
        <v>10579</v>
      </c>
      <c r="D497" s="83" t="s">
        <v>10072</v>
      </c>
      <c r="E497" s="488" t="s">
        <v>10332</v>
      </c>
      <c r="F497" s="92">
        <f>30/3*0.5</f>
        <v>5</v>
      </c>
      <c r="G497" s="288" t="s">
        <v>91</v>
      </c>
    </row>
    <row r="498" ht="15.0" customHeight="1">
      <c r="A498" s="224" t="s">
        <v>7730</v>
      </c>
      <c r="B498" s="224" t="s">
        <v>52</v>
      </c>
      <c r="C498" s="82" t="s">
        <v>10580</v>
      </c>
      <c r="D498" s="83" t="s">
        <v>10072</v>
      </c>
      <c r="E498" s="488" t="s">
        <v>10334</v>
      </c>
      <c r="F498" s="92">
        <f>30/3*0.5*0.25</f>
        <v>1.25</v>
      </c>
      <c r="G498" s="288" t="s">
        <v>91</v>
      </c>
    </row>
    <row r="499" ht="15.0" customHeight="1">
      <c r="A499" s="224" t="s">
        <v>7730</v>
      </c>
      <c r="B499" s="224" t="s">
        <v>52</v>
      </c>
      <c r="C499" s="82" t="s">
        <v>10581</v>
      </c>
      <c r="D499" s="83" t="s">
        <v>10046</v>
      </c>
      <c r="E499" s="488" t="s">
        <v>10575</v>
      </c>
      <c r="F499" s="92">
        <f>30/3</f>
        <v>10</v>
      </c>
      <c r="G499" s="288" t="s">
        <v>91</v>
      </c>
    </row>
    <row r="500" ht="15.0" customHeight="1">
      <c r="A500" s="224" t="s">
        <v>7730</v>
      </c>
      <c r="B500" s="224" t="s">
        <v>52</v>
      </c>
      <c r="C500" s="82" t="s">
        <v>10582</v>
      </c>
      <c r="D500" s="83" t="s">
        <v>10072</v>
      </c>
      <c r="E500" s="488" t="s">
        <v>10332</v>
      </c>
      <c r="F500" s="92">
        <f>30/3*0.5</f>
        <v>5</v>
      </c>
      <c r="G500" s="288" t="s">
        <v>91</v>
      </c>
    </row>
    <row r="501" ht="15.0" customHeight="1">
      <c r="A501" s="224" t="s">
        <v>7730</v>
      </c>
      <c r="B501" s="224" t="s">
        <v>52</v>
      </c>
      <c r="C501" s="82" t="s">
        <v>10583</v>
      </c>
      <c r="D501" s="83" t="s">
        <v>10072</v>
      </c>
      <c r="E501" s="488" t="s">
        <v>10334</v>
      </c>
      <c r="F501" s="92">
        <f>30/3*0.5*0.25</f>
        <v>1.25</v>
      </c>
      <c r="G501" s="288" t="s">
        <v>91</v>
      </c>
    </row>
    <row r="502" ht="15.0" customHeight="1">
      <c r="A502" s="224" t="s">
        <v>7730</v>
      </c>
      <c r="B502" s="224" t="s">
        <v>52</v>
      </c>
      <c r="C502" s="82" t="s">
        <v>10584</v>
      </c>
      <c r="D502" s="83" t="s">
        <v>10046</v>
      </c>
      <c r="E502" s="488" t="s">
        <v>10585</v>
      </c>
      <c r="F502" s="92">
        <f>41/3</f>
        <v>13.66666667</v>
      </c>
      <c r="G502" s="288" t="s">
        <v>91</v>
      </c>
    </row>
    <row r="503" ht="15.0" customHeight="1">
      <c r="A503" s="224" t="s">
        <v>7730</v>
      </c>
      <c r="B503" s="224" t="s">
        <v>52</v>
      </c>
      <c r="C503" s="82" t="s">
        <v>10586</v>
      </c>
      <c r="D503" s="83" t="s">
        <v>10072</v>
      </c>
      <c r="E503" s="488" t="s">
        <v>10587</v>
      </c>
      <c r="F503" s="92">
        <f>41/3*0.5</f>
        <v>6.833333333</v>
      </c>
      <c r="G503" s="288" t="s">
        <v>91</v>
      </c>
    </row>
    <row r="504" ht="15.0" customHeight="1">
      <c r="A504" s="224" t="s">
        <v>7730</v>
      </c>
      <c r="B504" s="224" t="s">
        <v>52</v>
      </c>
      <c r="C504" s="82" t="s">
        <v>10588</v>
      </c>
      <c r="D504" s="83" t="s">
        <v>10072</v>
      </c>
      <c r="E504" s="488" t="s">
        <v>10589</v>
      </c>
      <c r="F504" s="92">
        <f>41/3*0.5*0.25</f>
        <v>1.708333333</v>
      </c>
      <c r="G504" s="288" t="s">
        <v>91</v>
      </c>
    </row>
    <row r="505" ht="15.0" customHeight="1">
      <c r="A505" s="224" t="s">
        <v>7730</v>
      </c>
      <c r="B505" s="224" t="s">
        <v>52</v>
      </c>
      <c r="C505" s="82" t="s">
        <v>10590</v>
      </c>
      <c r="D505" s="83" t="s">
        <v>10046</v>
      </c>
      <c r="E505" s="488" t="s">
        <v>10284</v>
      </c>
      <c r="F505" s="92">
        <f>26/3</f>
        <v>8.666666667</v>
      </c>
      <c r="G505" s="288" t="s">
        <v>91</v>
      </c>
    </row>
    <row r="506" ht="15.0" customHeight="1">
      <c r="A506" s="224" t="s">
        <v>7730</v>
      </c>
      <c r="B506" s="224" t="s">
        <v>52</v>
      </c>
      <c r="C506" s="82" t="s">
        <v>10591</v>
      </c>
      <c r="D506" s="83" t="s">
        <v>10072</v>
      </c>
      <c r="E506" s="488" t="s">
        <v>10286</v>
      </c>
      <c r="F506" s="92">
        <f>26/3*0.5</f>
        <v>4.333333333</v>
      </c>
      <c r="G506" s="288" t="s">
        <v>91</v>
      </c>
    </row>
    <row r="507" ht="15.0" customHeight="1">
      <c r="A507" s="224" t="s">
        <v>7730</v>
      </c>
      <c r="B507" s="224" t="s">
        <v>52</v>
      </c>
      <c r="C507" s="82" t="s">
        <v>10592</v>
      </c>
      <c r="D507" s="83" t="s">
        <v>10072</v>
      </c>
      <c r="E507" s="488" t="s">
        <v>10593</v>
      </c>
      <c r="F507" s="92">
        <f>26/3*0.5*0.25</f>
        <v>1.083333333</v>
      </c>
      <c r="G507" s="288" t="s">
        <v>91</v>
      </c>
    </row>
    <row r="508" ht="15.0" customHeight="1">
      <c r="A508" s="224" t="s">
        <v>7730</v>
      </c>
      <c r="B508" s="224" t="s">
        <v>52</v>
      </c>
      <c r="C508" s="82" t="s">
        <v>10594</v>
      </c>
      <c r="D508" s="83" t="s">
        <v>10046</v>
      </c>
      <c r="E508" s="488" t="s">
        <v>10252</v>
      </c>
      <c r="F508" s="92">
        <f>16/3</f>
        <v>5.333333333</v>
      </c>
      <c r="G508" s="288" t="s">
        <v>91</v>
      </c>
    </row>
    <row r="509" ht="15.0" customHeight="1">
      <c r="A509" s="224" t="s">
        <v>7730</v>
      </c>
      <c r="B509" s="224" t="s">
        <v>52</v>
      </c>
      <c r="C509" s="82" t="s">
        <v>10595</v>
      </c>
      <c r="D509" s="83" t="s">
        <v>10072</v>
      </c>
      <c r="E509" s="488" t="s">
        <v>10254</v>
      </c>
      <c r="F509" s="92">
        <f>16/3*0.5</f>
        <v>2.666666667</v>
      </c>
      <c r="G509" s="288" t="s">
        <v>91</v>
      </c>
    </row>
    <row r="510" ht="15.0" customHeight="1">
      <c r="A510" s="224" t="s">
        <v>7730</v>
      </c>
      <c r="B510" s="224" t="s">
        <v>52</v>
      </c>
      <c r="C510" s="82" t="s">
        <v>10596</v>
      </c>
      <c r="D510" s="83" t="s">
        <v>10072</v>
      </c>
      <c r="E510" s="488" t="s">
        <v>10597</v>
      </c>
      <c r="F510" s="92">
        <f>4/3*0.5</f>
        <v>0.6666666667</v>
      </c>
      <c r="G510" s="288" t="s">
        <v>91</v>
      </c>
    </row>
    <row r="511" ht="15.0" customHeight="1">
      <c r="A511" s="224" t="s">
        <v>7730</v>
      </c>
      <c r="B511" s="224" t="s">
        <v>52</v>
      </c>
      <c r="C511" s="82" t="s">
        <v>10598</v>
      </c>
      <c r="D511" s="83" t="s">
        <v>10046</v>
      </c>
      <c r="E511" s="488" t="s">
        <v>10294</v>
      </c>
      <c r="F511" s="92">
        <f>10/3</f>
        <v>3.333333333</v>
      </c>
      <c r="G511" s="288" t="s">
        <v>91</v>
      </c>
    </row>
    <row r="512" ht="15.0" customHeight="1">
      <c r="A512" s="224" t="s">
        <v>7730</v>
      </c>
      <c r="B512" s="224" t="s">
        <v>52</v>
      </c>
      <c r="C512" s="82" t="s">
        <v>10599</v>
      </c>
      <c r="D512" s="83" t="s">
        <v>10072</v>
      </c>
      <c r="E512" s="488" t="s">
        <v>10296</v>
      </c>
      <c r="F512" s="92">
        <f>10/3*0.5</f>
        <v>1.666666667</v>
      </c>
      <c r="G512" s="288" t="s">
        <v>91</v>
      </c>
    </row>
    <row r="513" ht="15.0" customHeight="1">
      <c r="A513" s="224" t="s">
        <v>7730</v>
      </c>
      <c r="B513" s="224" t="s">
        <v>52</v>
      </c>
      <c r="C513" s="82" t="s">
        <v>10600</v>
      </c>
      <c r="D513" s="83" t="s">
        <v>10072</v>
      </c>
      <c r="E513" s="488" t="s">
        <v>10298</v>
      </c>
      <c r="F513" s="92">
        <f>3/3*0.5</f>
        <v>0.5</v>
      </c>
      <c r="G513" s="288" t="s">
        <v>91</v>
      </c>
    </row>
    <row r="514" ht="15.0" customHeight="1">
      <c r="A514" s="224" t="s">
        <v>7730</v>
      </c>
      <c r="B514" s="224" t="s">
        <v>52</v>
      </c>
      <c r="C514" s="82" t="s">
        <v>10601</v>
      </c>
      <c r="D514" s="83" t="s">
        <v>10046</v>
      </c>
      <c r="E514" s="488" t="s">
        <v>10294</v>
      </c>
      <c r="F514" s="92">
        <f>10/3</f>
        <v>3.333333333</v>
      </c>
      <c r="G514" s="288" t="s">
        <v>91</v>
      </c>
    </row>
    <row r="515" ht="15.0" customHeight="1">
      <c r="A515" s="224" t="s">
        <v>7730</v>
      </c>
      <c r="B515" s="224" t="s">
        <v>52</v>
      </c>
      <c r="C515" s="82" t="s">
        <v>10602</v>
      </c>
      <c r="D515" s="83" t="s">
        <v>10072</v>
      </c>
      <c r="E515" s="488" t="s">
        <v>10296</v>
      </c>
      <c r="F515" s="92">
        <f>10/3*0.5</f>
        <v>1.666666667</v>
      </c>
      <c r="G515" s="288" t="s">
        <v>91</v>
      </c>
    </row>
    <row r="516" ht="15.0" customHeight="1">
      <c r="A516" s="224" t="s">
        <v>7730</v>
      </c>
      <c r="B516" s="224" t="s">
        <v>52</v>
      </c>
      <c r="C516" s="82" t="s">
        <v>10603</v>
      </c>
      <c r="D516" s="83" t="s">
        <v>10072</v>
      </c>
      <c r="E516" s="488" t="s">
        <v>10298</v>
      </c>
      <c r="F516" s="92">
        <f>3/3*0.5</f>
        <v>0.5</v>
      </c>
      <c r="G516" s="288" t="s">
        <v>91</v>
      </c>
    </row>
    <row r="517" ht="15.0" customHeight="1">
      <c r="A517" s="224" t="s">
        <v>85</v>
      </c>
      <c r="B517" s="224" t="s">
        <v>52</v>
      </c>
      <c r="C517" s="82" t="s">
        <v>10604</v>
      </c>
      <c r="D517" s="83" t="s">
        <v>10046</v>
      </c>
      <c r="E517" s="92">
        <f t="shared" ref="E517:E519" si="65">16/3</f>
        <v>5.333333333</v>
      </c>
      <c r="F517" s="92">
        <f>E517</f>
        <v>5.333333333</v>
      </c>
      <c r="G517" s="288" t="s">
        <v>85</v>
      </c>
    </row>
    <row r="518" ht="15.0" customHeight="1">
      <c r="A518" s="224" t="s">
        <v>85</v>
      </c>
      <c r="B518" s="224" t="s">
        <v>52</v>
      </c>
      <c r="C518" s="82" t="s">
        <v>10605</v>
      </c>
      <c r="D518" s="83" t="s">
        <v>10072</v>
      </c>
      <c r="E518" s="92">
        <f t="shared" si="65"/>
        <v>5.333333333</v>
      </c>
      <c r="F518" s="92">
        <f>E518*0.5</f>
        <v>2.666666667</v>
      </c>
      <c r="G518" s="288" t="s">
        <v>85</v>
      </c>
    </row>
    <row r="519" ht="15.0" customHeight="1">
      <c r="A519" s="224" t="s">
        <v>85</v>
      </c>
      <c r="B519" s="224" t="s">
        <v>52</v>
      </c>
      <c r="C519" s="82" t="s">
        <v>10606</v>
      </c>
      <c r="D519" s="83" t="s">
        <v>10072</v>
      </c>
      <c r="E519" s="92">
        <f t="shared" si="65"/>
        <v>5.333333333</v>
      </c>
      <c r="F519" s="92">
        <f>E519*0.25*0.5</f>
        <v>0.6666666667</v>
      </c>
      <c r="G519" s="288" t="s">
        <v>85</v>
      </c>
    </row>
    <row r="520" ht="15.0" customHeight="1">
      <c r="A520" s="224" t="s">
        <v>85</v>
      </c>
      <c r="B520" s="224" t="s">
        <v>52</v>
      </c>
      <c r="C520" s="82" t="s">
        <v>10607</v>
      </c>
      <c r="D520" s="83" t="s">
        <v>10046</v>
      </c>
      <c r="E520" s="92">
        <f t="shared" ref="E520:E522" si="66">41/3</f>
        <v>13.66666667</v>
      </c>
      <c r="F520" s="92">
        <f>E520</f>
        <v>13.66666667</v>
      </c>
      <c r="G520" s="288" t="s">
        <v>85</v>
      </c>
    </row>
    <row r="521" ht="15.0" customHeight="1">
      <c r="A521" s="224" t="s">
        <v>85</v>
      </c>
      <c r="B521" s="224" t="s">
        <v>52</v>
      </c>
      <c r="C521" s="82" t="s">
        <v>10608</v>
      </c>
      <c r="D521" s="83" t="s">
        <v>10072</v>
      </c>
      <c r="E521" s="92">
        <f t="shared" si="66"/>
        <v>13.66666667</v>
      </c>
      <c r="F521" s="92">
        <f>E521*0.5</f>
        <v>6.833333333</v>
      </c>
      <c r="G521" s="288" t="s">
        <v>85</v>
      </c>
    </row>
    <row r="522" ht="15.0" customHeight="1">
      <c r="A522" s="224" t="s">
        <v>85</v>
      </c>
      <c r="B522" s="224" t="s">
        <v>52</v>
      </c>
      <c r="C522" s="82" t="s">
        <v>10609</v>
      </c>
      <c r="D522" s="83" t="s">
        <v>10072</v>
      </c>
      <c r="E522" s="92">
        <f t="shared" si="66"/>
        <v>13.66666667</v>
      </c>
      <c r="F522" s="92">
        <f>E522*0.25*0.5</f>
        <v>1.708333333</v>
      </c>
      <c r="G522" s="288" t="s">
        <v>85</v>
      </c>
    </row>
    <row r="523" ht="15.0" customHeight="1">
      <c r="A523" s="224" t="s">
        <v>85</v>
      </c>
      <c r="B523" s="224" t="s">
        <v>52</v>
      </c>
      <c r="C523" s="82" t="s">
        <v>10610</v>
      </c>
      <c r="D523" s="83" t="s">
        <v>10046</v>
      </c>
      <c r="E523" s="92">
        <f t="shared" ref="E523:E528" si="67">15/3</f>
        <v>5</v>
      </c>
      <c r="F523" s="92">
        <f>E523</f>
        <v>5</v>
      </c>
      <c r="G523" s="288" t="s">
        <v>85</v>
      </c>
    </row>
    <row r="524" ht="15.0" customHeight="1">
      <c r="A524" s="224" t="s">
        <v>85</v>
      </c>
      <c r="B524" s="224" t="s">
        <v>52</v>
      </c>
      <c r="C524" s="82" t="s">
        <v>10611</v>
      </c>
      <c r="D524" s="83" t="s">
        <v>10072</v>
      </c>
      <c r="E524" s="92">
        <f t="shared" si="67"/>
        <v>5</v>
      </c>
      <c r="F524" s="92">
        <f>E524*0.5</f>
        <v>2.5</v>
      </c>
      <c r="G524" s="288" t="s">
        <v>85</v>
      </c>
    </row>
    <row r="525" ht="15.0" customHeight="1">
      <c r="A525" s="224" t="s">
        <v>85</v>
      </c>
      <c r="B525" s="224" t="s">
        <v>52</v>
      </c>
      <c r="C525" s="82" t="s">
        <v>10612</v>
      </c>
      <c r="D525" s="83" t="s">
        <v>10072</v>
      </c>
      <c r="E525" s="92">
        <f t="shared" si="67"/>
        <v>5</v>
      </c>
      <c r="F525" s="92">
        <f>E525*0.25*0.5</f>
        <v>0.625</v>
      </c>
      <c r="G525" s="288" t="s">
        <v>85</v>
      </c>
    </row>
    <row r="526" ht="15.0" customHeight="1">
      <c r="A526" s="224" t="s">
        <v>85</v>
      </c>
      <c r="B526" s="224" t="s">
        <v>52</v>
      </c>
      <c r="C526" s="82" t="s">
        <v>10613</v>
      </c>
      <c r="D526" s="83" t="s">
        <v>10046</v>
      </c>
      <c r="E526" s="92">
        <f t="shared" si="67"/>
        <v>5</v>
      </c>
      <c r="F526" s="92">
        <f>E526</f>
        <v>5</v>
      </c>
      <c r="G526" s="288" t="s">
        <v>85</v>
      </c>
    </row>
    <row r="527" ht="15.0" customHeight="1">
      <c r="A527" s="224" t="s">
        <v>85</v>
      </c>
      <c r="B527" s="224" t="s">
        <v>52</v>
      </c>
      <c r="C527" s="82" t="s">
        <v>10614</v>
      </c>
      <c r="D527" s="83" t="s">
        <v>10072</v>
      </c>
      <c r="E527" s="92">
        <f t="shared" si="67"/>
        <v>5</v>
      </c>
      <c r="F527" s="92">
        <f>E527*0.5</f>
        <v>2.5</v>
      </c>
      <c r="G527" s="288" t="s">
        <v>85</v>
      </c>
    </row>
    <row r="528" ht="15.0" customHeight="1">
      <c r="A528" s="224" t="s">
        <v>85</v>
      </c>
      <c r="B528" s="224" t="s">
        <v>52</v>
      </c>
      <c r="C528" s="82" t="s">
        <v>10615</v>
      </c>
      <c r="D528" s="83" t="s">
        <v>10072</v>
      </c>
      <c r="E528" s="92">
        <f t="shared" si="67"/>
        <v>5</v>
      </c>
      <c r="F528" s="92">
        <f>E528*0.25*0.5</f>
        <v>0.625</v>
      </c>
      <c r="G528" s="288" t="s">
        <v>85</v>
      </c>
    </row>
    <row r="529" ht="15.0" customHeight="1">
      <c r="A529" s="224" t="s">
        <v>85</v>
      </c>
      <c r="B529" s="224" t="s">
        <v>52</v>
      </c>
      <c r="C529" s="82" t="s">
        <v>10616</v>
      </c>
      <c r="D529" s="83" t="s">
        <v>10046</v>
      </c>
      <c r="E529" s="92">
        <f t="shared" ref="E529:E534" si="68">18/3</f>
        <v>6</v>
      </c>
      <c r="F529" s="92">
        <f>E529</f>
        <v>6</v>
      </c>
      <c r="G529" s="288" t="s">
        <v>85</v>
      </c>
    </row>
    <row r="530" ht="15.0" customHeight="1">
      <c r="A530" s="224" t="s">
        <v>85</v>
      </c>
      <c r="B530" s="224" t="s">
        <v>52</v>
      </c>
      <c r="C530" s="82" t="s">
        <v>10617</v>
      </c>
      <c r="D530" s="83" t="s">
        <v>10072</v>
      </c>
      <c r="E530" s="92">
        <f t="shared" si="68"/>
        <v>6</v>
      </c>
      <c r="F530" s="92">
        <f>E530*0.5</f>
        <v>3</v>
      </c>
      <c r="G530" s="288" t="s">
        <v>85</v>
      </c>
    </row>
    <row r="531" ht="15.0" customHeight="1">
      <c r="A531" s="224" t="s">
        <v>85</v>
      </c>
      <c r="B531" s="224" t="s">
        <v>52</v>
      </c>
      <c r="C531" s="82" t="s">
        <v>10618</v>
      </c>
      <c r="D531" s="83" t="s">
        <v>10072</v>
      </c>
      <c r="E531" s="92">
        <f t="shared" si="68"/>
        <v>6</v>
      </c>
      <c r="F531" s="92">
        <f>E531*0.25*0.5</f>
        <v>0.75</v>
      </c>
      <c r="G531" s="288" t="s">
        <v>85</v>
      </c>
    </row>
    <row r="532" ht="15.0" customHeight="1">
      <c r="A532" s="224" t="s">
        <v>85</v>
      </c>
      <c r="B532" s="224" t="s">
        <v>52</v>
      </c>
      <c r="C532" s="82" t="s">
        <v>10619</v>
      </c>
      <c r="D532" s="83" t="s">
        <v>10046</v>
      </c>
      <c r="E532" s="92">
        <f t="shared" si="68"/>
        <v>6</v>
      </c>
      <c r="F532" s="92">
        <f>E532</f>
        <v>6</v>
      </c>
      <c r="G532" s="288" t="s">
        <v>85</v>
      </c>
    </row>
    <row r="533" ht="15.0" customHeight="1">
      <c r="A533" s="224" t="s">
        <v>85</v>
      </c>
      <c r="B533" s="224" t="s">
        <v>52</v>
      </c>
      <c r="C533" s="82" t="s">
        <v>10620</v>
      </c>
      <c r="D533" s="83" t="s">
        <v>10072</v>
      </c>
      <c r="E533" s="92">
        <f t="shared" si="68"/>
        <v>6</v>
      </c>
      <c r="F533" s="92">
        <f>E533*0.5</f>
        <v>3</v>
      </c>
      <c r="G533" s="288" t="s">
        <v>85</v>
      </c>
    </row>
    <row r="534" ht="15.0" customHeight="1">
      <c r="A534" s="224" t="s">
        <v>85</v>
      </c>
      <c r="B534" s="224" t="s">
        <v>52</v>
      </c>
      <c r="C534" s="82" t="s">
        <v>10621</v>
      </c>
      <c r="D534" s="83" t="s">
        <v>10072</v>
      </c>
      <c r="E534" s="92">
        <f t="shared" si="68"/>
        <v>6</v>
      </c>
      <c r="F534" s="92">
        <f>E534*0.25*0.5</f>
        <v>0.75</v>
      </c>
      <c r="G534" s="288" t="s">
        <v>85</v>
      </c>
    </row>
    <row r="535" ht="15.0" customHeight="1">
      <c r="A535" s="224" t="s">
        <v>85</v>
      </c>
      <c r="B535" s="224" t="s">
        <v>52</v>
      </c>
      <c r="C535" s="82" t="s">
        <v>10622</v>
      </c>
      <c r="D535" s="83" t="s">
        <v>10046</v>
      </c>
      <c r="E535" s="92">
        <f t="shared" ref="E535:E540" si="69">27/3</f>
        <v>9</v>
      </c>
      <c r="F535" s="92">
        <f>E535</f>
        <v>9</v>
      </c>
      <c r="G535" s="288" t="s">
        <v>85</v>
      </c>
    </row>
    <row r="536" ht="15.0" customHeight="1">
      <c r="A536" s="224" t="s">
        <v>85</v>
      </c>
      <c r="B536" s="224" t="s">
        <v>52</v>
      </c>
      <c r="C536" s="82" t="s">
        <v>10623</v>
      </c>
      <c r="D536" s="83" t="s">
        <v>10072</v>
      </c>
      <c r="E536" s="92">
        <f t="shared" si="69"/>
        <v>9</v>
      </c>
      <c r="F536" s="92">
        <f>E536*0.5</f>
        <v>4.5</v>
      </c>
      <c r="G536" s="288" t="s">
        <v>85</v>
      </c>
    </row>
    <row r="537" ht="15.0" customHeight="1">
      <c r="A537" s="224" t="s">
        <v>85</v>
      </c>
      <c r="B537" s="224" t="s">
        <v>52</v>
      </c>
      <c r="C537" s="82" t="s">
        <v>10624</v>
      </c>
      <c r="D537" s="83" t="s">
        <v>10072</v>
      </c>
      <c r="E537" s="92">
        <f t="shared" si="69"/>
        <v>9</v>
      </c>
      <c r="F537" s="92">
        <f>E537*0.25*0.5</f>
        <v>1.125</v>
      </c>
      <c r="G537" s="288" t="s">
        <v>85</v>
      </c>
    </row>
    <row r="538" ht="15.0" customHeight="1">
      <c r="A538" s="224" t="s">
        <v>85</v>
      </c>
      <c r="B538" s="224" t="s">
        <v>52</v>
      </c>
      <c r="C538" s="82" t="s">
        <v>10625</v>
      </c>
      <c r="D538" s="83" t="s">
        <v>10046</v>
      </c>
      <c r="E538" s="92">
        <f t="shared" si="69"/>
        <v>9</v>
      </c>
      <c r="F538" s="92">
        <f>E538</f>
        <v>9</v>
      </c>
      <c r="G538" s="288" t="s">
        <v>85</v>
      </c>
    </row>
    <row r="539" ht="15.0" customHeight="1">
      <c r="A539" s="224" t="s">
        <v>85</v>
      </c>
      <c r="B539" s="224" t="s">
        <v>52</v>
      </c>
      <c r="C539" s="82" t="s">
        <v>10626</v>
      </c>
      <c r="D539" s="83" t="s">
        <v>10072</v>
      </c>
      <c r="E539" s="92">
        <f t="shared" si="69"/>
        <v>9</v>
      </c>
      <c r="F539" s="92">
        <f>E539*0.5</f>
        <v>4.5</v>
      </c>
      <c r="G539" s="288" t="s">
        <v>85</v>
      </c>
    </row>
    <row r="540" ht="15.0" customHeight="1">
      <c r="A540" s="224" t="s">
        <v>85</v>
      </c>
      <c r="B540" s="224" t="s">
        <v>52</v>
      </c>
      <c r="C540" s="82" t="s">
        <v>10627</v>
      </c>
      <c r="D540" s="83" t="s">
        <v>10072</v>
      </c>
      <c r="E540" s="92">
        <f t="shared" si="69"/>
        <v>9</v>
      </c>
      <c r="F540" s="92">
        <f>E540*0.25*0.5</f>
        <v>1.125</v>
      </c>
      <c r="G540" s="288" t="s">
        <v>85</v>
      </c>
    </row>
    <row r="541" ht="15.0" customHeight="1">
      <c r="A541" s="224" t="s">
        <v>85</v>
      </c>
      <c r="B541" s="224" t="s">
        <v>52</v>
      </c>
      <c r="C541" s="82" t="s">
        <v>10628</v>
      </c>
      <c r="D541" s="83" t="s">
        <v>10046</v>
      </c>
      <c r="E541" s="92">
        <f t="shared" ref="E541:E543" si="70">14/3</f>
        <v>4.666666667</v>
      </c>
      <c r="F541" s="92">
        <f>E541</f>
        <v>4.666666667</v>
      </c>
      <c r="G541" s="288" t="s">
        <v>85</v>
      </c>
    </row>
    <row r="542" ht="15.0" customHeight="1">
      <c r="A542" s="224" t="s">
        <v>85</v>
      </c>
      <c r="B542" s="224" t="s">
        <v>52</v>
      </c>
      <c r="C542" s="82" t="s">
        <v>10629</v>
      </c>
      <c r="D542" s="83" t="s">
        <v>10072</v>
      </c>
      <c r="E542" s="92">
        <f t="shared" si="70"/>
        <v>4.666666667</v>
      </c>
      <c r="F542" s="92">
        <f>E542*0.5</f>
        <v>2.333333333</v>
      </c>
      <c r="G542" s="288" t="s">
        <v>85</v>
      </c>
    </row>
    <row r="543" ht="15.0" customHeight="1">
      <c r="A543" s="224" t="s">
        <v>85</v>
      </c>
      <c r="B543" s="224" t="s">
        <v>52</v>
      </c>
      <c r="C543" s="82" t="s">
        <v>10630</v>
      </c>
      <c r="D543" s="83" t="s">
        <v>10072</v>
      </c>
      <c r="E543" s="92">
        <f t="shared" si="70"/>
        <v>4.666666667</v>
      </c>
      <c r="F543" s="92">
        <f>E543*0.25*0.5</f>
        <v>0.5833333333</v>
      </c>
      <c r="G543" s="288" t="s">
        <v>85</v>
      </c>
    </row>
    <row r="544" ht="15.0" customHeight="1">
      <c r="A544" s="224" t="s">
        <v>85</v>
      </c>
      <c r="B544" s="224" t="s">
        <v>52</v>
      </c>
      <c r="C544" s="82" t="s">
        <v>10631</v>
      </c>
      <c r="D544" s="83" t="s">
        <v>10046</v>
      </c>
      <c r="E544" s="92">
        <f t="shared" ref="E544:E546" si="71">30/3</f>
        <v>10</v>
      </c>
      <c r="F544" s="92">
        <f>E544</f>
        <v>10</v>
      </c>
      <c r="G544" s="288" t="s">
        <v>85</v>
      </c>
    </row>
    <row r="545" ht="15.0" customHeight="1">
      <c r="A545" s="224" t="s">
        <v>85</v>
      </c>
      <c r="B545" s="224" t="s">
        <v>52</v>
      </c>
      <c r="C545" s="82" t="s">
        <v>10632</v>
      </c>
      <c r="D545" s="83" t="s">
        <v>10072</v>
      </c>
      <c r="E545" s="92">
        <f t="shared" si="71"/>
        <v>10</v>
      </c>
      <c r="F545" s="92">
        <f>E545*0.5</f>
        <v>5</v>
      </c>
      <c r="G545" s="288" t="s">
        <v>85</v>
      </c>
    </row>
    <row r="546" ht="15.0" customHeight="1">
      <c r="A546" s="224" t="s">
        <v>85</v>
      </c>
      <c r="B546" s="224" t="s">
        <v>52</v>
      </c>
      <c r="C546" s="82" t="s">
        <v>10633</v>
      </c>
      <c r="D546" s="83" t="s">
        <v>10072</v>
      </c>
      <c r="E546" s="92">
        <f t="shared" si="71"/>
        <v>10</v>
      </c>
      <c r="F546" s="92">
        <f>E546*0.25*0.5</f>
        <v>1.25</v>
      </c>
      <c r="G546" s="288" t="s">
        <v>85</v>
      </c>
    </row>
    <row r="547" ht="15.0" customHeight="1">
      <c r="A547" s="224" t="s">
        <v>85</v>
      </c>
      <c r="B547" s="224" t="s">
        <v>52</v>
      </c>
      <c r="C547" s="82" t="s">
        <v>10634</v>
      </c>
      <c r="D547" s="83" t="s">
        <v>10046</v>
      </c>
      <c r="E547" s="92">
        <f t="shared" ref="E547:E549" si="72">7/3</f>
        <v>2.333333333</v>
      </c>
      <c r="F547" s="92">
        <f>E547</f>
        <v>2.333333333</v>
      </c>
      <c r="G547" s="288" t="s">
        <v>85</v>
      </c>
    </row>
    <row r="548" ht="15.0" customHeight="1">
      <c r="A548" s="224" t="s">
        <v>85</v>
      </c>
      <c r="B548" s="224" t="s">
        <v>52</v>
      </c>
      <c r="C548" s="82" t="s">
        <v>10635</v>
      </c>
      <c r="D548" s="83" t="s">
        <v>10072</v>
      </c>
      <c r="E548" s="92">
        <f t="shared" si="72"/>
        <v>2.333333333</v>
      </c>
      <c r="F548" s="92">
        <f>E548*0.5</f>
        <v>1.166666667</v>
      </c>
      <c r="G548" s="288" t="s">
        <v>85</v>
      </c>
    </row>
    <row r="549" ht="15.0" customHeight="1">
      <c r="A549" s="224" t="s">
        <v>85</v>
      </c>
      <c r="B549" s="224" t="s">
        <v>52</v>
      </c>
      <c r="C549" s="82" t="s">
        <v>10636</v>
      </c>
      <c r="D549" s="83" t="s">
        <v>10072</v>
      </c>
      <c r="E549" s="92">
        <f t="shared" si="72"/>
        <v>2.333333333</v>
      </c>
      <c r="F549" s="92">
        <f>E549*0.25*0.5</f>
        <v>0.2916666667</v>
      </c>
      <c r="G549" s="288" t="s">
        <v>85</v>
      </c>
    </row>
    <row r="550" ht="15.0" customHeight="1">
      <c r="A550" s="224" t="s">
        <v>85</v>
      </c>
      <c r="B550" s="224" t="s">
        <v>52</v>
      </c>
      <c r="C550" s="82" t="s">
        <v>10637</v>
      </c>
      <c r="D550" s="83" t="s">
        <v>10046</v>
      </c>
      <c r="E550" s="92">
        <f t="shared" ref="E550:E552" si="73">18/3</f>
        <v>6</v>
      </c>
      <c r="F550" s="92">
        <f>E550</f>
        <v>6</v>
      </c>
      <c r="G550" s="288" t="s">
        <v>85</v>
      </c>
    </row>
    <row r="551" ht="15.0" customHeight="1">
      <c r="A551" s="224" t="s">
        <v>85</v>
      </c>
      <c r="B551" s="224" t="s">
        <v>52</v>
      </c>
      <c r="C551" s="82" t="s">
        <v>10638</v>
      </c>
      <c r="D551" s="83" t="s">
        <v>10072</v>
      </c>
      <c r="E551" s="92">
        <f t="shared" si="73"/>
        <v>6</v>
      </c>
      <c r="F551" s="92">
        <f>E551*0.5</f>
        <v>3</v>
      </c>
      <c r="G551" s="288" t="s">
        <v>85</v>
      </c>
    </row>
    <row r="552" ht="15.0" customHeight="1">
      <c r="A552" s="224" t="s">
        <v>85</v>
      </c>
      <c r="B552" s="224" t="s">
        <v>52</v>
      </c>
      <c r="C552" s="82" t="s">
        <v>10639</v>
      </c>
      <c r="D552" s="83" t="s">
        <v>10072</v>
      </c>
      <c r="E552" s="92">
        <f t="shared" si="73"/>
        <v>6</v>
      </c>
      <c r="F552" s="92">
        <f>E552*0.25*0.5</f>
        <v>0.75</v>
      </c>
      <c r="G552" s="288" t="s">
        <v>85</v>
      </c>
    </row>
    <row r="553" ht="15.0" customHeight="1">
      <c r="A553" s="224" t="s">
        <v>7731</v>
      </c>
      <c r="B553" s="224" t="s">
        <v>52</v>
      </c>
      <c r="C553" s="82" t="s">
        <v>10640</v>
      </c>
      <c r="D553" s="83" t="s">
        <v>10046</v>
      </c>
      <c r="E553" s="528">
        <v>3.6666666666666665</v>
      </c>
      <c r="F553" s="528">
        <v>3.6666666666666665</v>
      </c>
      <c r="G553" s="288" t="s">
        <v>81</v>
      </c>
    </row>
    <row r="554" ht="15.0" customHeight="1">
      <c r="A554" s="224" t="s">
        <v>7731</v>
      </c>
      <c r="B554" s="224" t="s">
        <v>52</v>
      </c>
      <c r="C554" s="82" t="s">
        <v>10641</v>
      </c>
      <c r="D554" s="83" t="s">
        <v>10046</v>
      </c>
      <c r="E554" s="528">
        <v>3.6666666666666665</v>
      </c>
      <c r="F554" s="528">
        <v>3.6666666666666665</v>
      </c>
      <c r="G554" s="288" t="s">
        <v>81</v>
      </c>
    </row>
    <row r="555" ht="15.0" customHeight="1">
      <c r="A555" s="224" t="s">
        <v>7731</v>
      </c>
      <c r="B555" s="224" t="s">
        <v>52</v>
      </c>
      <c r="C555" s="82" t="s">
        <v>10642</v>
      </c>
      <c r="D555" s="83" t="s">
        <v>10046</v>
      </c>
      <c r="E555" s="83">
        <v>6.0</v>
      </c>
      <c r="F555" s="83">
        <v>6.0</v>
      </c>
      <c r="G555" s="288" t="s">
        <v>81</v>
      </c>
    </row>
    <row r="556" ht="15.0" customHeight="1">
      <c r="A556" s="224" t="s">
        <v>7731</v>
      </c>
      <c r="B556" s="224" t="s">
        <v>52</v>
      </c>
      <c r="C556" s="82" t="s">
        <v>10643</v>
      </c>
      <c r="D556" s="83" t="s">
        <v>10046</v>
      </c>
      <c r="E556" s="83">
        <v>6.0</v>
      </c>
      <c r="F556" s="83">
        <v>6.0</v>
      </c>
      <c r="G556" s="288" t="s">
        <v>81</v>
      </c>
    </row>
    <row r="557" ht="15.0" customHeight="1">
      <c r="A557" s="224" t="s">
        <v>7731</v>
      </c>
      <c r="B557" s="224" t="s">
        <v>52</v>
      </c>
      <c r="C557" s="82" t="s">
        <v>10644</v>
      </c>
      <c r="D557" s="83" t="s">
        <v>10046</v>
      </c>
      <c r="E557" s="83">
        <v>5.0</v>
      </c>
      <c r="F557" s="83">
        <v>5.0</v>
      </c>
      <c r="G557" s="288" t="s">
        <v>81</v>
      </c>
    </row>
    <row r="558" ht="15.0" customHeight="1">
      <c r="A558" s="224" t="s">
        <v>7731</v>
      </c>
      <c r="B558" s="224" t="s">
        <v>52</v>
      </c>
      <c r="C558" s="82" t="s">
        <v>10645</v>
      </c>
      <c r="D558" s="83" t="s">
        <v>10046</v>
      </c>
      <c r="E558" s="83">
        <v>5.0</v>
      </c>
      <c r="F558" s="83">
        <v>5.0</v>
      </c>
      <c r="G558" s="288" t="s">
        <v>81</v>
      </c>
    </row>
    <row r="559" ht="15.0" customHeight="1">
      <c r="A559" s="224" t="s">
        <v>10646</v>
      </c>
      <c r="B559" s="224" t="s">
        <v>10064</v>
      </c>
      <c r="C559" s="82" t="s">
        <v>10647</v>
      </c>
      <c r="D559" s="83" t="s">
        <v>10305</v>
      </c>
      <c r="E559" s="92">
        <f>26/3</f>
        <v>8.666666667</v>
      </c>
      <c r="F559" s="92">
        <f t="shared" ref="F559:F576" si="74">E559</f>
        <v>8.666666667</v>
      </c>
      <c r="G559" s="288" t="s">
        <v>515</v>
      </c>
    </row>
    <row r="560" ht="15.0" customHeight="1">
      <c r="A560" s="224" t="s">
        <v>10646</v>
      </c>
      <c r="B560" s="224" t="s">
        <v>10064</v>
      </c>
      <c r="C560" s="82" t="s">
        <v>10648</v>
      </c>
      <c r="D560" s="83" t="s">
        <v>10305</v>
      </c>
      <c r="E560" s="92">
        <f t="shared" ref="E560:E561" si="75">16/3</f>
        <v>5.333333333</v>
      </c>
      <c r="F560" s="92">
        <f t="shared" si="74"/>
        <v>5.333333333</v>
      </c>
      <c r="G560" s="288" t="s">
        <v>515</v>
      </c>
    </row>
    <row r="561" ht="15.0" customHeight="1">
      <c r="A561" s="224" t="s">
        <v>10646</v>
      </c>
      <c r="B561" s="224" t="s">
        <v>10064</v>
      </c>
      <c r="C561" s="82" t="s">
        <v>10649</v>
      </c>
      <c r="D561" s="83" t="s">
        <v>10305</v>
      </c>
      <c r="E561" s="92">
        <f t="shared" si="75"/>
        <v>5.333333333</v>
      </c>
      <c r="F561" s="92">
        <f t="shared" si="74"/>
        <v>5.333333333</v>
      </c>
      <c r="G561" s="288" t="s">
        <v>515</v>
      </c>
    </row>
    <row r="562" ht="15.0" customHeight="1">
      <c r="A562" s="224" t="s">
        <v>10646</v>
      </c>
      <c r="B562" s="224" t="s">
        <v>10064</v>
      </c>
      <c r="C562" s="82" t="s">
        <v>10650</v>
      </c>
      <c r="D562" s="83" t="s">
        <v>10305</v>
      </c>
      <c r="E562" s="92">
        <f>26/3</f>
        <v>8.666666667</v>
      </c>
      <c r="F562" s="92">
        <f t="shared" si="74"/>
        <v>8.666666667</v>
      </c>
      <c r="G562" s="288" t="s">
        <v>515</v>
      </c>
    </row>
    <row r="563" ht="15.0" customHeight="1">
      <c r="A563" s="224" t="s">
        <v>10646</v>
      </c>
      <c r="B563" s="224" t="s">
        <v>10064</v>
      </c>
      <c r="C563" s="82" t="s">
        <v>10651</v>
      </c>
      <c r="D563" s="83" t="s">
        <v>10305</v>
      </c>
      <c r="E563" s="92">
        <f>16/3</f>
        <v>5.333333333</v>
      </c>
      <c r="F563" s="92">
        <f t="shared" si="74"/>
        <v>5.333333333</v>
      </c>
      <c r="G563" s="288" t="s">
        <v>515</v>
      </c>
    </row>
    <row r="564" ht="15.0" customHeight="1">
      <c r="A564" s="224" t="s">
        <v>10646</v>
      </c>
      <c r="B564" s="224" t="s">
        <v>10064</v>
      </c>
      <c r="C564" s="82" t="s">
        <v>10652</v>
      </c>
      <c r="D564" s="83" t="s">
        <v>10305</v>
      </c>
      <c r="E564" s="92">
        <f>22/3</f>
        <v>7.333333333</v>
      </c>
      <c r="F564" s="92">
        <f t="shared" si="74"/>
        <v>7.333333333</v>
      </c>
      <c r="G564" s="288" t="s">
        <v>515</v>
      </c>
    </row>
    <row r="565" ht="15.0" customHeight="1">
      <c r="A565" s="224" t="s">
        <v>10646</v>
      </c>
      <c r="B565" s="224" t="s">
        <v>10064</v>
      </c>
      <c r="C565" s="82" t="s">
        <v>10653</v>
      </c>
      <c r="D565" s="83" t="s">
        <v>10305</v>
      </c>
      <c r="E565" s="92">
        <f>26/3</f>
        <v>8.666666667</v>
      </c>
      <c r="F565" s="92">
        <f t="shared" si="74"/>
        <v>8.666666667</v>
      </c>
      <c r="G565" s="288" t="s">
        <v>515</v>
      </c>
    </row>
    <row r="566" ht="15.0" customHeight="1">
      <c r="A566" s="224" t="s">
        <v>10646</v>
      </c>
      <c r="B566" s="224" t="s">
        <v>10064</v>
      </c>
      <c r="C566" s="82" t="s">
        <v>10654</v>
      </c>
      <c r="D566" s="83" t="s">
        <v>10305</v>
      </c>
      <c r="E566" s="92">
        <f t="shared" ref="E566:E567" si="76">16/3</f>
        <v>5.333333333</v>
      </c>
      <c r="F566" s="92">
        <f t="shared" si="74"/>
        <v>5.333333333</v>
      </c>
      <c r="G566" s="288" t="s">
        <v>515</v>
      </c>
    </row>
    <row r="567" ht="15.0" customHeight="1">
      <c r="A567" s="224" t="s">
        <v>10646</v>
      </c>
      <c r="B567" s="224" t="s">
        <v>10064</v>
      </c>
      <c r="C567" s="82" t="s">
        <v>10655</v>
      </c>
      <c r="D567" s="83" t="s">
        <v>10305</v>
      </c>
      <c r="E567" s="92">
        <f t="shared" si="76"/>
        <v>5.333333333</v>
      </c>
      <c r="F567" s="92">
        <f t="shared" si="74"/>
        <v>5.333333333</v>
      </c>
      <c r="G567" s="288" t="s">
        <v>515</v>
      </c>
    </row>
    <row r="568" ht="15.0" customHeight="1">
      <c r="A568" s="224" t="s">
        <v>10646</v>
      </c>
      <c r="B568" s="224" t="s">
        <v>10064</v>
      </c>
      <c r="C568" s="82" t="s">
        <v>10656</v>
      </c>
      <c r="D568" s="83" t="s">
        <v>10305</v>
      </c>
      <c r="E568" s="92">
        <f>26/3</f>
        <v>8.666666667</v>
      </c>
      <c r="F568" s="92">
        <f t="shared" si="74"/>
        <v>8.666666667</v>
      </c>
      <c r="G568" s="288" t="s">
        <v>515</v>
      </c>
    </row>
    <row r="569" ht="15.0" customHeight="1">
      <c r="A569" s="224" t="s">
        <v>10646</v>
      </c>
      <c r="B569" s="224" t="s">
        <v>10064</v>
      </c>
      <c r="C569" s="82" t="s">
        <v>10657</v>
      </c>
      <c r="D569" s="83" t="s">
        <v>10305</v>
      </c>
      <c r="E569" s="92">
        <f>16/3</f>
        <v>5.333333333</v>
      </c>
      <c r="F569" s="92">
        <f t="shared" si="74"/>
        <v>5.333333333</v>
      </c>
      <c r="G569" s="288" t="s">
        <v>515</v>
      </c>
    </row>
    <row r="570" ht="15.0" customHeight="1">
      <c r="A570" s="224" t="s">
        <v>10646</v>
      </c>
      <c r="B570" s="224" t="s">
        <v>10064</v>
      </c>
      <c r="C570" s="82" t="s">
        <v>10658</v>
      </c>
      <c r="D570" s="83" t="s">
        <v>10305</v>
      </c>
      <c r="E570" s="92">
        <f>22/3</f>
        <v>7.333333333</v>
      </c>
      <c r="F570" s="92">
        <f t="shared" si="74"/>
        <v>7.333333333</v>
      </c>
      <c r="G570" s="288" t="s">
        <v>515</v>
      </c>
    </row>
    <row r="571" ht="15.0" customHeight="1">
      <c r="A571" s="224" t="s">
        <v>10646</v>
      </c>
      <c r="B571" s="224" t="s">
        <v>52</v>
      </c>
      <c r="C571" s="82" t="s">
        <v>10092</v>
      </c>
      <c r="D571" s="83" t="s">
        <v>10046</v>
      </c>
      <c r="E571" s="92">
        <f>38/3*2</f>
        <v>25.33333333</v>
      </c>
      <c r="F571" s="92">
        <f t="shared" si="74"/>
        <v>25.33333333</v>
      </c>
      <c r="G571" s="288" t="s">
        <v>515</v>
      </c>
    </row>
    <row r="572" ht="15.0" customHeight="1">
      <c r="A572" s="224" t="s">
        <v>10646</v>
      </c>
      <c r="B572" s="224" t="s">
        <v>10064</v>
      </c>
      <c r="C572" s="82" t="s">
        <v>10444</v>
      </c>
      <c r="D572" s="83" t="s">
        <v>10046</v>
      </c>
      <c r="E572" s="92">
        <f>15/3*2</f>
        <v>10</v>
      </c>
      <c r="F572" s="92">
        <f t="shared" si="74"/>
        <v>10</v>
      </c>
      <c r="G572" s="288" t="s">
        <v>515</v>
      </c>
    </row>
    <row r="573" ht="15.0" customHeight="1">
      <c r="A573" s="224" t="s">
        <v>10646</v>
      </c>
      <c r="B573" s="224" t="s">
        <v>52</v>
      </c>
      <c r="C573" s="82" t="s">
        <v>10093</v>
      </c>
      <c r="D573" s="83" t="s">
        <v>10046</v>
      </c>
      <c r="E573" s="92">
        <f>18/3*3</f>
        <v>18</v>
      </c>
      <c r="F573" s="92">
        <f t="shared" si="74"/>
        <v>18</v>
      </c>
      <c r="G573" s="288" t="s">
        <v>515</v>
      </c>
    </row>
    <row r="574" ht="15.0" customHeight="1">
      <c r="A574" s="224" t="s">
        <v>10646</v>
      </c>
      <c r="B574" s="224" t="s">
        <v>52</v>
      </c>
      <c r="C574" s="82" t="s">
        <v>10094</v>
      </c>
      <c r="D574" s="83" t="s">
        <v>10046</v>
      </c>
      <c r="E574" s="92">
        <f>16/3*3</f>
        <v>16</v>
      </c>
      <c r="F574" s="92">
        <f t="shared" si="74"/>
        <v>16</v>
      </c>
      <c r="G574" s="288" t="s">
        <v>515</v>
      </c>
    </row>
    <row r="575" ht="15.0" customHeight="1">
      <c r="A575" s="224" t="s">
        <v>10646</v>
      </c>
      <c r="B575" s="224" t="s">
        <v>52</v>
      </c>
      <c r="C575" s="82" t="s">
        <v>10445</v>
      </c>
      <c r="D575" s="83" t="s">
        <v>10046</v>
      </c>
      <c r="E575" s="92">
        <f>1/3*3</f>
        <v>1</v>
      </c>
      <c r="F575" s="92">
        <f t="shared" si="74"/>
        <v>1</v>
      </c>
      <c r="G575" s="288" t="s">
        <v>515</v>
      </c>
    </row>
    <row r="576" ht="15.0" customHeight="1">
      <c r="A576" s="224" t="s">
        <v>10646</v>
      </c>
      <c r="B576" s="224" t="s">
        <v>10064</v>
      </c>
      <c r="C576" s="82" t="s">
        <v>10446</v>
      </c>
      <c r="D576" s="83" t="s">
        <v>10046</v>
      </c>
      <c r="E576" s="92">
        <f>2*56/3</f>
        <v>37.33333333</v>
      </c>
      <c r="F576" s="92">
        <f t="shared" si="74"/>
        <v>37.33333333</v>
      </c>
      <c r="G576" s="288" t="s">
        <v>515</v>
      </c>
    </row>
    <row r="577" ht="15.0" customHeight="1">
      <c r="A577" s="224" t="s">
        <v>8556</v>
      </c>
      <c r="B577" s="224" t="s">
        <v>1783</v>
      </c>
      <c r="C577" s="82" t="s">
        <v>10659</v>
      </c>
      <c r="D577" s="83" t="s">
        <v>10046</v>
      </c>
      <c r="E577" s="83" t="s">
        <v>10660</v>
      </c>
      <c r="F577" s="92">
        <v>24.0</v>
      </c>
      <c r="G577" s="288" t="s">
        <v>528</v>
      </c>
    </row>
    <row r="578" ht="15.0" customHeight="1">
      <c r="A578" s="224" t="s">
        <v>8556</v>
      </c>
      <c r="B578" s="224" t="s">
        <v>1783</v>
      </c>
      <c r="C578" s="82" t="s">
        <v>10661</v>
      </c>
      <c r="D578" s="83" t="s">
        <v>10046</v>
      </c>
      <c r="E578" s="83" t="s">
        <v>10660</v>
      </c>
      <c r="F578" s="92">
        <v>24.0</v>
      </c>
      <c r="G578" s="288" t="s">
        <v>528</v>
      </c>
    </row>
    <row r="579" ht="15.0" customHeight="1">
      <c r="A579" s="224" t="s">
        <v>8556</v>
      </c>
      <c r="B579" s="224" t="s">
        <v>1783</v>
      </c>
      <c r="C579" s="82" t="s">
        <v>10662</v>
      </c>
      <c r="D579" s="83" t="s">
        <v>10046</v>
      </c>
      <c r="E579" s="83" t="s">
        <v>10660</v>
      </c>
      <c r="F579" s="92">
        <v>13.33</v>
      </c>
      <c r="G579" s="288" t="s">
        <v>528</v>
      </c>
    </row>
    <row r="580" ht="15.0" customHeight="1">
      <c r="A580" s="224" t="s">
        <v>8556</v>
      </c>
      <c r="B580" s="224" t="s">
        <v>1783</v>
      </c>
      <c r="C580" s="82" t="s">
        <v>10663</v>
      </c>
      <c r="D580" s="83" t="s">
        <v>10046</v>
      </c>
      <c r="E580" s="83" t="s">
        <v>10660</v>
      </c>
      <c r="F580" s="92">
        <v>13.33</v>
      </c>
      <c r="G580" s="288" t="s">
        <v>528</v>
      </c>
    </row>
    <row r="581" ht="15.0" customHeight="1">
      <c r="A581" s="224" t="s">
        <v>8556</v>
      </c>
      <c r="B581" s="224" t="s">
        <v>1783</v>
      </c>
      <c r="C581" s="82" t="s">
        <v>10664</v>
      </c>
      <c r="D581" s="83" t="s">
        <v>10046</v>
      </c>
      <c r="E581" s="83" t="s">
        <v>10660</v>
      </c>
      <c r="F581" s="92">
        <v>9.0</v>
      </c>
      <c r="G581" s="288" t="s">
        <v>528</v>
      </c>
    </row>
    <row r="582" ht="15.0" customHeight="1">
      <c r="A582" s="224" t="s">
        <v>8556</v>
      </c>
      <c r="B582" s="224" t="s">
        <v>1783</v>
      </c>
      <c r="C582" s="82" t="s">
        <v>10665</v>
      </c>
      <c r="D582" s="83" t="s">
        <v>10046</v>
      </c>
      <c r="E582" s="83" t="s">
        <v>10660</v>
      </c>
      <c r="F582" s="92">
        <v>9.0</v>
      </c>
      <c r="G582" s="288" t="s">
        <v>528</v>
      </c>
    </row>
    <row r="583" ht="15.0" customHeight="1">
      <c r="A583" s="224" t="s">
        <v>8556</v>
      </c>
      <c r="B583" s="224" t="s">
        <v>1783</v>
      </c>
      <c r="C583" s="82" t="s">
        <v>10666</v>
      </c>
      <c r="D583" s="83" t="s">
        <v>10046</v>
      </c>
      <c r="E583" s="83" t="s">
        <v>10660</v>
      </c>
      <c r="F583" s="92">
        <v>6.0</v>
      </c>
      <c r="G583" s="288" t="s">
        <v>528</v>
      </c>
    </row>
    <row r="584" ht="15.0" customHeight="1">
      <c r="A584" s="224" t="s">
        <v>8556</v>
      </c>
      <c r="B584" s="224" t="s">
        <v>1783</v>
      </c>
      <c r="C584" s="82" t="s">
        <v>10667</v>
      </c>
      <c r="D584" s="83" t="s">
        <v>10046</v>
      </c>
      <c r="E584" s="83" t="s">
        <v>10660</v>
      </c>
      <c r="F584" s="92">
        <v>6.0</v>
      </c>
      <c r="G584" s="288" t="s">
        <v>528</v>
      </c>
    </row>
    <row r="585" ht="15.0" customHeight="1">
      <c r="A585" s="224" t="s">
        <v>8556</v>
      </c>
      <c r="B585" s="224" t="s">
        <v>1783</v>
      </c>
      <c r="C585" s="82" t="s">
        <v>10668</v>
      </c>
      <c r="D585" s="83" t="s">
        <v>10046</v>
      </c>
      <c r="E585" s="83" t="s">
        <v>10660</v>
      </c>
      <c r="F585" s="92">
        <v>3.67</v>
      </c>
      <c r="G585" s="288" t="s">
        <v>528</v>
      </c>
    </row>
    <row r="586" ht="15.0" customHeight="1">
      <c r="A586" s="224" t="s">
        <v>8556</v>
      </c>
      <c r="B586" s="224" t="s">
        <v>1783</v>
      </c>
      <c r="C586" s="82" t="s">
        <v>10669</v>
      </c>
      <c r="D586" s="83" t="s">
        <v>10046</v>
      </c>
      <c r="E586" s="83" t="s">
        <v>10660</v>
      </c>
      <c r="F586" s="92">
        <v>3.67</v>
      </c>
      <c r="G586" s="288" t="s">
        <v>528</v>
      </c>
    </row>
    <row r="587" ht="15.0" customHeight="1">
      <c r="A587" s="224" t="s">
        <v>8556</v>
      </c>
      <c r="B587" s="224" t="s">
        <v>1783</v>
      </c>
      <c r="C587" s="82" t="s">
        <v>10670</v>
      </c>
      <c r="D587" s="83" t="s">
        <v>10046</v>
      </c>
      <c r="E587" s="83" t="s">
        <v>10660</v>
      </c>
      <c r="F587" s="92">
        <v>4.67</v>
      </c>
      <c r="G587" s="288" t="s">
        <v>528</v>
      </c>
    </row>
    <row r="588" ht="15.0" customHeight="1">
      <c r="A588" s="224" t="s">
        <v>8556</v>
      </c>
      <c r="B588" s="224" t="s">
        <v>1783</v>
      </c>
      <c r="C588" s="82" t="s">
        <v>10671</v>
      </c>
      <c r="D588" s="83" t="s">
        <v>10046</v>
      </c>
      <c r="E588" s="83" t="s">
        <v>10660</v>
      </c>
      <c r="F588" s="92">
        <v>4.67</v>
      </c>
      <c r="G588" s="288" t="s">
        <v>528</v>
      </c>
    </row>
    <row r="589" ht="15.0" customHeight="1">
      <c r="A589" s="224" t="s">
        <v>8556</v>
      </c>
      <c r="B589" s="224" t="s">
        <v>1783</v>
      </c>
      <c r="C589" s="82" t="s">
        <v>10672</v>
      </c>
      <c r="D589" s="83" t="s">
        <v>10046</v>
      </c>
      <c r="E589" s="83" t="s">
        <v>10660</v>
      </c>
      <c r="F589" s="92">
        <v>7.33</v>
      </c>
      <c r="G589" s="288" t="s">
        <v>528</v>
      </c>
    </row>
    <row r="590" ht="15.0" customHeight="1">
      <c r="A590" s="224" t="s">
        <v>8556</v>
      </c>
      <c r="B590" s="224" t="s">
        <v>1783</v>
      </c>
      <c r="C590" s="82" t="s">
        <v>10673</v>
      </c>
      <c r="D590" s="83" t="s">
        <v>10046</v>
      </c>
      <c r="E590" s="83" t="s">
        <v>10674</v>
      </c>
      <c r="F590" s="92">
        <v>1.83</v>
      </c>
      <c r="G590" s="288" t="s">
        <v>528</v>
      </c>
    </row>
    <row r="591" ht="15.0" customHeight="1">
      <c r="A591" s="224" t="s">
        <v>8556</v>
      </c>
      <c r="B591" s="224" t="s">
        <v>1783</v>
      </c>
      <c r="C591" s="82" t="s">
        <v>10675</v>
      </c>
      <c r="D591" s="83" t="s">
        <v>10046</v>
      </c>
      <c r="E591" s="83" t="s">
        <v>10674</v>
      </c>
      <c r="F591" s="92">
        <v>4.92</v>
      </c>
      <c r="G591" s="288" t="s">
        <v>528</v>
      </c>
    </row>
    <row r="592" ht="15.0" customHeight="1">
      <c r="A592" s="224" t="s">
        <v>8556</v>
      </c>
      <c r="B592" s="224" t="s">
        <v>1783</v>
      </c>
      <c r="C592" s="82" t="s">
        <v>10676</v>
      </c>
      <c r="D592" s="83" t="s">
        <v>10046</v>
      </c>
      <c r="E592" s="83" t="s">
        <v>10674</v>
      </c>
      <c r="F592" s="92">
        <v>4.25</v>
      </c>
      <c r="G592" s="288" t="s">
        <v>528</v>
      </c>
    </row>
    <row r="593" ht="15.0" customHeight="1">
      <c r="A593" s="224" t="s">
        <v>8556</v>
      </c>
      <c r="B593" s="224" t="s">
        <v>1783</v>
      </c>
      <c r="C593" s="82" t="s">
        <v>10677</v>
      </c>
      <c r="D593" s="83" t="s">
        <v>10046</v>
      </c>
      <c r="E593" s="83" t="s">
        <v>10674</v>
      </c>
      <c r="F593" s="92">
        <v>2.25</v>
      </c>
      <c r="G593" s="288" t="s">
        <v>528</v>
      </c>
    </row>
    <row r="594" ht="15.0" customHeight="1">
      <c r="A594" s="224" t="s">
        <v>8556</v>
      </c>
      <c r="B594" s="224" t="s">
        <v>1783</v>
      </c>
      <c r="C594" s="82" t="s">
        <v>10678</v>
      </c>
      <c r="D594" s="83" t="s">
        <v>10046</v>
      </c>
      <c r="E594" s="83" t="s">
        <v>10674</v>
      </c>
      <c r="F594" s="92">
        <v>1.5</v>
      </c>
      <c r="G594" s="288" t="s">
        <v>528</v>
      </c>
    </row>
    <row r="595" ht="15.0" customHeight="1">
      <c r="A595" s="224" t="s">
        <v>8556</v>
      </c>
      <c r="B595" s="224" t="s">
        <v>52</v>
      </c>
      <c r="C595" s="82" t="s">
        <v>10679</v>
      </c>
      <c r="D595" s="83" t="s">
        <v>10046</v>
      </c>
      <c r="E595" s="92" t="s">
        <v>10680</v>
      </c>
      <c r="F595" s="92">
        <f>(24/3)*2</f>
        <v>16</v>
      </c>
      <c r="G595" s="288" t="s">
        <v>528</v>
      </c>
    </row>
    <row r="596" ht="15.0" customHeight="1">
      <c r="A596" s="224" t="s">
        <v>533</v>
      </c>
      <c r="B596" s="224" t="s">
        <v>10064</v>
      </c>
      <c r="C596" s="82" t="s">
        <v>10681</v>
      </c>
      <c r="D596" s="83" t="s">
        <v>10046</v>
      </c>
      <c r="E596" s="92">
        <v>10.0</v>
      </c>
      <c r="F596" s="92">
        <f t="shared" ref="F596:F610" si="77">E596</f>
        <v>10</v>
      </c>
      <c r="G596" s="288" t="s">
        <v>533</v>
      </c>
    </row>
    <row r="597" ht="15.0" customHeight="1">
      <c r="A597" s="224" t="s">
        <v>533</v>
      </c>
      <c r="B597" s="224" t="s">
        <v>10064</v>
      </c>
      <c r="C597" s="82" t="s">
        <v>10682</v>
      </c>
      <c r="D597" s="83" t="s">
        <v>10046</v>
      </c>
      <c r="E597" s="92">
        <v>10.0</v>
      </c>
      <c r="F597" s="92">
        <f t="shared" si="77"/>
        <v>10</v>
      </c>
      <c r="G597" s="288" t="s">
        <v>533</v>
      </c>
    </row>
    <row r="598" ht="15.0" customHeight="1">
      <c r="A598" s="224" t="s">
        <v>533</v>
      </c>
      <c r="B598" s="224" t="s">
        <v>10064</v>
      </c>
      <c r="C598" s="82" t="s">
        <v>10683</v>
      </c>
      <c r="D598" s="83" t="s">
        <v>10046</v>
      </c>
      <c r="E598" s="92">
        <f>0.25*10</f>
        <v>2.5</v>
      </c>
      <c r="F598" s="92">
        <f t="shared" si="77"/>
        <v>2.5</v>
      </c>
      <c r="G598" s="288" t="s">
        <v>533</v>
      </c>
    </row>
    <row r="599" ht="15.0" customHeight="1">
      <c r="A599" s="224" t="s">
        <v>533</v>
      </c>
      <c r="B599" s="224" t="s">
        <v>10064</v>
      </c>
      <c r="C599" s="82" t="s">
        <v>10684</v>
      </c>
      <c r="D599" s="83" t="s">
        <v>10046</v>
      </c>
      <c r="E599" s="92">
        <f>0.1*10</f>
        <v>1</v>
      </c>
      <c r="F599" s="92">
        <f t="shared" si="77"/>
        <v>1</v>
      </c>
      <c r="G599" s="288" t="s">
        <v>533</v>
      </c>
    </row>
    <row r="600" ht="15.0" customHeight="1">
      <c r="A600" s="224" t="s">
        <v>533</v>
      </c>
      <c r="B600" s="224" t="s">
        <v>10064</v>
      </c>
      <c r="C600" s="82" t="s">
        <v>10685</v>
      </c>
      <c r="D600" s="83" t="s">
        <v>10686</v>
      </c>
      <c r="E600" s="92">
        <f>27/3</f>
        <v>9</v>
      </c>
      <c r="F600" s="92">
        <f t="shared" si="77"/>
        <v>9</v>
      </c>
      <c r="G600" s="288" t="s">
        <v>533</v>
      </c>
    </row>
    <row r="601" ht="15.0" customHeight="1">
      <c r="A601" s="224" t="s">
        <v>533</v>
      </c>
      <c r="B601" s="224" t="s">
        <v>10064</v>
      </c>
      <c r="C601" s="82" t="s">
        <v>10687</v>
      </c>
      <c r="D601" s="83" t="s">
        <v>10046</v>
      </c>
      <c r="E601" s="92">
        <f>30/3</f>
        <v>10</v>
      </c>
      <c r="F601" s="92">
        <f t="shared" si="77"/>
        <v>10</v>
      </c>
      <c r="G601" s="288" t="s">
        <v>533</v>
      </c>
    </row>
    <row r="602" ht="15.0" customHeight="1">
      <c r="A602" s="224" t="s">
        <v>533</v>
      </c>
      <c r="B602" s="224" t="s">
        <v>10064</v>
      </c>
      <c r="C602" s="82" t="s">
        <v>10688</v>
      </c>
      <c r="D602" s="83" t="s">
        <v>10046</v>
      </c>
      <c r="E602" s="92">
        <f t="shared" ref="E602:E603" si="78">35/3</f>
        <v>11.66666667</v>
      </c>
      <c r="F602" s="92">
        <f t="shared" si="77"/>
        <v>11.66666667</v>
      </c>
      <c r="G602" s="288" t="s">
        <v>533</v>
      </c>
    </row>
    <row r="603" ht="15.0" customHeight="1">
      <c r="A603" s="224" t="s">
        <v>533</v>
      </c>
      <c r="B603" s="224" t="s">
        <v>10064</v>
      </c>
      <c r="C603" s="82" t="s">
        <v>10689</v>
      </c>
      <c r="D603" s="83" t="s">
        <v>10046</v>
      </c>
      <c r="E603" s="92">
        <f t="shared" si="78"/>
        <v>11.66666667</v>
      </c>
      <c r="F603" s="92">
        <f t="shared" si="77"/>
        <v>11.66666667</v>
      </c>
      <c r="G603" s="288" t="s">
        <v>533</v>
      </c>
    </row>
    <row r="604" ht="15.0" customHeight="1">
      <c r="A604" s="224" t="s">
        <v>533</v>
      </c>
      <c r="B604" s="224" t="s">
        <v>10064</v>
      </c>
      <c r="C604" s="82" t="s">
        <v>10690</v>
      </c>
      <c r="D604" s="83" t="s">
        <v>10072</v>
      </c>
      <c r="E604" s="92">
        <f>35/3*0.5</f>
        <v>5.833333333</v>
      </c>
      <c r="F604" s="92">
        <f t="shared" si="77"/>
        <v>5.833333333</v>
      </c>
      <c r="G604" s="288" t="s">
        <v>533</v>
      </c>
    </row>
    <row r="605" ht="15.0" customHeight="1">
      <c r="A605" s="224" t="s">
        <v>533</v>
      </c>
      <c r="B605" s="224" t="s">
        <v>10064</v>
      </c>
      <c r="C605" s="82" t="s">
        <v>10691</v>
      </c>
      <c r="D605" s="83" t="s">
        <v>10046</v>
      </c>
      <c r="E605" s="92">
        <f>56*2/3</f>
        <v>37.33333333</v>
      </c>
      <c r="F605" s="92">
        <f t="shared" si="77"/>
        <v>37.33333333</v>
      </c>
      <c r="G605" s="288" t="s">
        <v>533</v>
      </c>
    </row>
    <row r="606" ht="15.0" customHeight="1">
      <c r="A606" s="529" t="s">
        <v>533</v>
      </c>
      <c r="B606" s="529" t="s">
        <v>10064</v>
      </c>
      <c r="C606" s="442" t="s">
        <v>10692</v>
      </c>
      <c r="D606" s="451" t="s">
        <v>10046</v>
      </c>
      <c r="E606" s="440">
        <f>13/3*2</f>
        <v>8.666666667</v>
      </c>
      <c r="F606" s="92">
        <f t="shared" si="77"/>
        <v>8.666666667</v>
      </c>
      <c r="G606" s="288" t="s">
        <v>533</v>
      </c>
    </row>
    <row r="607" ht="15.0" customHeight="1">
      <c r="A607" s="224" t="s">
        <v>533</v>
      </c>
      <c r="B607" s="224" t="s">
        <v>10064</v>
      </c>
      <c r="C607" s="82" t="s">
        <v>10693</v>
      </c>
      <c r="D607" s="83" t="s">
        <v>10046</v>
      </c>
      <c r="E607" s="92">
        <f>15/3*2</f>
        <v>10</v>
      </c>
      <c r="F607" s="92">
        <f t="shared" si="77"/>
        <v>10</v>
      </c>
      <c r="G607" s="288" t="s">
        <v>533</v>
      </c>
    </row>
    <row r="608" ht="15.0" customHeight="1">
      <c r="A608" s="224" t="s">
        <v>533</v>
      </c>
      <c r="B608" s="224" t="s">
        <v>10064</v>
      </c>
      <c r="C608" s="82" t="s">
        <v>10694</v>
      </c>
      <c r="D608" s="83" t="s">
        <v>10046</v>
      </c>
      <c r="E608" s="92">
        <f>18/3*3</f>
        <v>18</v>
      </c>
      <c r="F608" s="92">
        <f t="shared" si="77"/>
        <v>18</v>
      </c>
      <c r="G608" s="288" t="s">
        <v>533</v>
      </c>
    </row>
    <row r="609" ht="15.0" customHeight="1">
      <c r="A609" s="224" t="s">
        <v>533</v>
      </c>
      <c r="B609" s="224" t="s">
        <v>10064</v>
      </c>
      <c r="C609" s="82" t="s">
        <v>10104</v>
      </c>
      <c r="D609" s="83" t="s">
        <v>10695</v>
      </c>
      <c r="E609" s="83">
        <f>27/3*2</f>
        <v>18</v>
      </c>
      <c r="F609" s="92">
        <f t="shared" si="77"/>
        <v>18</v>
      </c>
      <c r="G609" s="288" t="s">
        <v>533</v>
      </c>
    </row>
    <row r="610" ht="15.0" customHeight="1">
      <c r="A610" s="224" t="s">
        <v>533</v>
      </c>
      <c r="B610" s="224" t="s">
        <v>10064</v>
      </c>
      <c r="C610" s="82" t="s">
        <v>10696</v>
      </c>
      <c r="D610" s="83" t="s">
        <v>10695</v>
      </c>
      <c r="E610" s="92">
        <f>10/3*2</f>
        <v>6.666666667</v>
      </c>
      <c r="F610" s="92">
        <f t="shared" si="77"/>
        <v>6.666666667</v>
      </c>
      <c r="G610" s="288" t="s">
        <v>533</v>
      </c>
    </row>
    <row r="611" ht="15.0" customHeight="1">
      <c r="A611" s="224" t="s">
        <v>9223</v>
      </c>
      <c r="B611" s="224" t="s">
        <v>52</v>
      </c>
      <c r="C611" s="82" t="s">
        <v>10697</v>
      </c>
      <c r="D611" s="83" t="s">
        <v>10698</v>
      </c>
      <c r="E611" s="92">
        <v>4.0</v>
      </c>
      <c r="F611" s="92">
        <v>4.0</v>
      </c>
      <c r="G611" s="288" t="s">
        <v>77</v>
      </c>
    </row>
    <row r="612" ht="15.0" customHeight="1">
      <c r="A612" s="224" t="s">
        <v>9223</v>
      </c>
      <c r="B612" s="224" t="s">
        <v>52</v>
      </c>
      <c r="C612" s="82" t="s">
        <v>10699</v>
      </c>
      <c r="D612" s="83" t="s">
        <v>10698</v>
      </c>
      <c r="E612" s="92">
        <v>1.0</v>
      </c>
      <c r="F612" s="92">
        <v>1.0</v>
      </c>
      <c r="G612" s="288" t="s">
        <v>77</v>
      </c>
    </row>
    <row r="613" ht="15.0" customHeight="1">
      <c r="A613" s="224" t="s">
        <v>9223</v>
      </c>
      <c r="B613" s="224" t="s">
        <v>52</v>
      </c>
      <c r="C613" s="82" t="s">
        <v>10700</v>
      </c>
      <c r="D613" s="83" t="s">
        <v>10698</v>
      </c>
      <c r="E613" s="92">
        <v>4.33</v>
      </c>
      <c r="F613" s="92">
        <v>4.33</v>
      </c>
      <c r="G613" s="288" t="s">
        <v>77</v>
      </c>
    </row>
    <row r="614" ht="15.0" customHeight="1">
      <c r="A614" s="224" t="s">
        <v>9223</v>
      </c>
      <c r="B614" s="224" t="s">
        <v>52</v>
      </c>
      <c r="C614" s="82" t="s">
        <v>10701</v>
      </c>
      <c r="D614" s="83" t="s">
        <v>10698</v>
      </c>
      <c r="E614" s="92">
        <v>10.0</v>
      </c>
      <c r="F614" s="92">
        <v>10.0</v>
      </c>
      <c r="G614" s="288" t="s">
        <v>77</v>
      </c>
    </row>
    <row r="615" ht="15.0" customHeight="1">
      <c r="A615" s="224" t="s">
        <v>9223</v>
      </c>
      <c r="B615" s="224" t="s">
        <v>52</v>
      </c>
      <c r="C615" s="82" t="s">
        <v>10702</v>
      </c>
      <c r="D615" s="83" t="s">
        <v>10698</v>
      </c>
      <c r="E615" s="92">
        <v>2.67</v>
      </c>
      <c r="F615" s="92">
        <v>3.0</v>
      </c>
      <c r="G615" s="288" t="s">
        <v>77</v>
      </c>
    </row>
    <row r="616" ht="15.0" customHeight="1">
      <c r="A616" s="224" t="s">
        <v>9223</v>
      </c>
      <c r="B616" s="224" t="s">
        <v>52</v>
      </c>
      <c r="C616" s="82" t="s">
        <v>10703</v>
      </c>
      <c r="D616" s="83" t="s">
        <v>10698</v>
      </c>
      <c r="E616" s="92">
        <v>6.0</v>
      </c>
      <c r="F616" s="92">
        <v>6.0</v>
      </c>
      <c r="G616" s="288" t="s">
        <v>77</v>
      </c>
    </row>
    <row r="617" ht="15.0" customHeight="1">
      <c r="A617" s="224" t="s">
        <v>9223</v>
      </c>
      <c r="B617" s="224" t="s">
        <v>52</v>
      </c>
      <c r="C617" s="82" t="s">
        <v>10704</v>
      </c>
      <c r="D617" s="83" t="s">
        <v>10698</v>
      </c>
      <c r="E617" s="92">
        <v>1.33</v>
      </c>
      <c r="F617" s="92">
        <v>1.33</v>
      </c>
      <c r="G617" s="288" t="s">
        <v>77</v>
      </c>
    </row>
    <row r="618" ht="15.0" customHeight="1">
      <c r="A618" s="224" t="s">
        <v>9223</v>
      </c>
      <c r="B618" s="224" t="s">
        <v>52</v>
      </c>
      <c r="C618" s="82" t="s">
        <v>10705</v>
      </c>
      <c r="D618" s="83" t="s">
        <v>10698</v>
      </c>
      <c r="E618" s="92">
        <v>8.33</v>
      </c>
      <c r="F618" s="92">
        <v>8.33</v>
      </c>
      <c r="G618" s="288" t="s">
        <v>77</v>
      </c>
    </row>
    <row r="619" ht="15.0" customHeight="1">
      <c r="A619" s="224" t="s">
        <v>9223</v>
      </c>
      <c r="B619" s="224" t="s">
        <v>52</v>
      </c>
      <c r="C619" s="82" t="s">
        <v>10706</v>
      </c>
      <c r="D619" s="83" t="s">
        <v>10698</v>
      </c>
      <c r="E619" s="92">
        <v>2.0</v>
      </c>
      <c r="F619" s="92">
        <v>2.0</v>
      </c>
      <c r="G619" s="288" t="s">
        <v>77</v>
      </c>
    </row>
    <row r="620" ht="15.0" customHeight="1">
      <c r="A620" s="224" t="s">
        <v>9223</v>
      </c>
      <c r="B620" s="224" t="s">
        <v>52</v>
      </c>
      <c r="C620" s="82" t="s">
        <v>10707</v>
      </c>
      <c r="D620" s="83" t="s">
        <v>10698</v>
      </c>
      <c r="E620" s="92">
        <v>6.0</v>
      </c>
      <c r="F620" s="92">
        <v>6.0</v>
      </c>
      <c r="G620" s="288" t="s">
        <v>77</v>
      </c>
    </row>
    <row r="621" ht="15.0" customHeight="1">
      <c r="A621" s="224" t="s">
        <v>9223</v>
      </c>
      <c r="B621" s="224" t="s">
        <v>52</v>
      </c>
      <c r="C621" s="82" t="s">
        <v>10708</v>
      </c>
      <c r="D621" s="83" t="s">
        <v>10698</v>
      </c>
      <c r="E621" s="92">
        <v>6.0</v>
      </c>
      <c r="F621" s="92">
        <v>6.0</v>
      </c>
      <c r="G621" s="288" t="s">
        <v>77</v>
      </c>
    </row>
    <row r="622" ht="15.0" customHeight="1">
      <c r="A622" s="224" t="s">
        <v>9223</v>
      </c>
      <c r="B622" s="224" t="s">
        <v>52</v>
      </c>
      <c r="C622" s="82" t="s">
        <v>10709</v>
      </c>
      <c r="D622" s="83" t="s">
        <v>10698</v>
      </c>
      <c r="E622" s="92">
        <v>8.66</v>
      </c>
      <c r="F622" s="92">
        <v>8.66</v>
      </c>
      <c r="G622" s="288" t="s">
        <v>77</v>
      </c>
    </row>
    <row r="623" ht="15.0" customHeight="1">
      <c r="A623" s="224" t="s">
        <v>9224</v>
      </c>
      <c r="B623" s="224" t="s">
        <v>52</v>
      </c>
      <c r="C623" s="82" t="s">
        <v>10710</v>
      </c>
      <c r="D623" s="83" t="s">
        <v>10305</v>
      </c>
      <c r="E623" s="488" t="s">
        <v>10711</v>
      </c>
      <c r="F623" s="92">
        <f t="shared" ref="F623:F624" si="79">24/3</f>
        <v>8</v>
      </c>
      <c r="G623" s="288" t="s">
        <v>542</v>
      </c>
    </row>
    <row r="624" ht="15.0" customHeight="1">
      <c r="A624" s="224" t="s">
        <v>9224</v>
      </c>
      <c r="B624" s="224" t="s">
        <v>52</v>
      </c>
      <c r="C624" s="82" t="s">
        <v>10712</v>
      </c>
      <c r="D624" s="83" t="s">
        <v>10305</v>
      </c>
      <c r="E624" s="488" t="s">
        <v>10711</v>
      </c>
      <c r="F624" s="92">
        <f t="shared" si="79"/>
        <v>8</v>
      </c>
      <c r="G624" s="288" t="s">
        <v>542</v>
      </c>
    </row>
    <row r="625" ht="15.0" customHeight="1">
      <c r="A625" s="224" t="s">
        <v>9224</v>
      </c>
      <c r="B625" s="224" t="s">
        <v>52</v>
      </c>
      <c r="C625" s="82" t="s">
        <v>10713</v>
      </c>
      <c r="D625" s="83" t="s">
        <v>10309</v>
      </c>
      <c r="E625" s="488" t="s">
        <v>10714</v>
      </c>
      <c r="F625" s="92">
        <f>24/3*0.5</f>
        <v>4</v>
      </c>
      <c r="G625" s="288" t="s">
        <v>542</v>
      </c>
    </row>
    <row r="626" ht="15.0" customHeight="1">
      <c r="A626" s="224" t="s">
        <v>9224</v>
      </c>
      <c r="B626" s="224" t="s">
        <v>52</v>
      </c>
      <c r="C626" s="82" t="s">
        <v>10715</v>
      </c>
      <c r="D626" s="83" t="s">
        <v>10309</v>
      </c>
      <c r="E626" s="488" t="s">
        <v>10250</v>
      </c>
      <c r="F626" s="92">
        <f>6/3*0.5</f>
        <v>1</v>
      </c>
      <c r="G626" s="288" t="s">
        <v>542</v>
      </c>
    </row>
    <row r="627" ht="15.0" customHeight="1">
      <c r="A627" s="224" t="s">
        <v>9224</v>
      </c>
      <c r="B627" s="224" t="s">
        <v>52</v>
      </c>
      <c r="C627" s="82" t="s">
        <v>10716</v>
      </c>
      <c r="D627" s="83" t="s">
        <v>10305</v>
      </c>
      <c r="E627" s="488" t="s">
        <v>10252</v>
      </c>
      <c r="F627" s="92">
        <f t="shared" ref="F627:F628" si="80">16/3</f>
        <v>5.333333333</v>
      </c>
      <c r="G627" s="288" t="s">
        <v>542</v>
      </c>
    </row>
    <row r="628" ht="15.0" customHeight="1">
      <c r="A628" s="224" t="s">
        <v>9224</v>
      </c>
      <c r="B628" s="224" t="s">
        <v>52</v>
      </c>
      <c r="C628" s="82" t="s">
        <v>10717</v>
      </c>
      <c r="D628" s="83" t="s">
        <v>10305</v>
      </c>
      <c r="E628" s="488" t="s">
        <v>10252</v>
      </c>
      <c r="F628" s="92">
        <f t="shared" si="80"/>
        <v>5.333333333</v>
      </c>
      <c r="G628" s="288" t="s">
        <v>542</v>
      </c>
    </row>
    <row r="629" ht="15.0" customHeight="1">
      <c r="A629" s="224" t="s">
        <v>9224</v>
      </c>
      <c r="B629" s="224" t="s">
        <v>52</v>
      </c>
      <c r="C629" s="82" t="s">
        <v>10718</v>
      </c>
      <c r="D629" s="83" t="s">
        <v>10309</v>
      </c>
      <c r="E629" s="488" t="s">
        <v>10254</v>
      </c>
      <c r="F629" s="92">
        <f>16/3*0.5</f>
        <v>2.666666667</v>
      </c>
      <c r="G629" s="288" t="s">
        <v>542</v>
      </c>
    </row>
    <row r="630" ht="15.0" customHeight="1">
      <c r="A630" s="224" t="s">
        <v>9224</v>
      </c>
      <c r="B630" s="224" t="s">
        <v>52</v>
      </c>
      <c r="C630" s="82" t="s">
        <v>10719</v>
      </c>
      <c r="D630" s="83" t="s">
        <v>10309</v>
      </c>
      <c r="E630" s="488" t="s">
        <v>10256</v>
      </c>
      <c r="F630" s="92">
        <f>4/3*0.5</f>
        <v>0.6666666667</v>
      </c>
      <c r="G630" s="288" t="s">
        <v>542</v>
      </c>
    </row>
    <row r="631" ht="15.0" customHeight="1">
      <c r="A631" s="224" t="s">
        <v>9224</v>
      </c>
      <c r="B631" s="224" t="s">
        <v>52</v>
      </c>
      <c r="C631" s="82" t="s">
        <v>10720</v>
      </c>
      <c r="D631" s="83" t="s">
        <v>10305</v>
      </c>
      <c r="E631" s="488" t="s">
        <v>10721</v>
      </c>
      <c r="F631" s="92">
        <f t="shared" ref="F631:F632" si="81">13/3</f>
        <v>4.333333333</v>
      </c>
      <c r="G631" s="288" t="s">
        <v>542</v>
      </c>
    </row>
    <row r="632" ht="15.0" customHeight="1">
      <c r="A632" s="224" t="s">
        <v>9224</v>
      </c>
      <c r="B632" s="224" t="s">
        <v>52</v>
      </c>
      <c r="C632" s="82" t="s">
        <v>10722</v>
      </c>
      <c r="D632" s="83" t="s">
        <v>10305</v>
      </c>
      <c r="E632" s="488" t="s">
        <v>10721</v>
      </c>
      <c r="F632" s="92">
        <f t="shared" si="81"/>
        <v>4.333333333</v>
      </c>
      <c r="G632" s="288" t="s">
        <v>542</v>
      </c>
    </row>
    <row r="633" ht="15.0" customHeight="1">
      <c r="A633" s="224" t="s">
        <v>9224</v>
      </c>
      <c r="B633" s="224" t="s">
        <v>52</v>
      </c>
      <c r="C633" s="82" t="s">
        <v>10723</v>
      </c>
      <c r="D633" s="83" t="s">
        <v>10309</v>
      </c>
      <c r="E633" s="488" t="s">
        <v>10724</v>
      </c>
      <c r="F633" s="92">
        <f>13/3*0.5</f>
        <v>2.166666667</v>
      </c>
      <c r="G633" s="288" t="s">
        <v>542</v>
      </c>
    </row>
    <row r="634" ht="15.0" customHeight="1">
      <c r="A634" s="224" t="s">
        <v>9224</v>
      </c>
      <c r="B634" s="224" t="s">
        <v>52</v>
      </c>
      <c r="C634" s="82" t="s">
        <v>10725</v>
      </c>
      <c r="D634" s="83" t="s">
        <v>10309</v>
      </c>
      <c r="E634" s="488" t="s">
        <v>10298</v>
      </c>
      <c r="F634" s="92">
        <f>3/3*0.5</f>
        <v>0.5</v>
      </c>
      <c r="G634" s="288" t="s">
        <v>542</v>
      </c>
    </row>
    <row r="635" ht="15.0" customHeight="1">
      <c r="A635" s="224" t="s">
        <v>9224</v>
      </c>
      <c r="B635" s="224" t="s">
        <v>52</v>
      </c>
      <c r="C635" s="82" t="s">
        <v>10726</v>
      </c>
      <c r="D635" s="83" t="s">
        <v>10305</v>
      </c>
      <c r="E635" s="488" t="s">
        <v>10721</v>
      </c>
      <c r="F635" s="92">
        <f>13/3</f>
        <v>4.333333333</v>
      </c>
      <c r="G635" s="288" t="s">
        <v>542</v>
      </c>
    </row>
    <row r="636" ht="15.0" customHeight="1">
      <c r="A636" s="224" t="s">
        <v>9224</v>
      </c>
      <c r="B636" s="224" t="s">
        <v>52</v>
      </c>
      <c r="C636" s="82" t="s">
        <v>10727</v>
      </c>
      <c r="D636" s="83" t="s">
        <v>10309</v>
      </c>
      <c r="E636" s="488" t="s">
        <v>10724</v>
      </c>
      <c r="F636" s="92">
        <f>13/3*0.5</f>
        <v>2.166666667</v>
      </c>
      <c r="G636" s="288" t="s">
        <v>542</v>
      </c>
    </row>
    <row r="637" ht="15.0" customHeight="1">
      <c r="A637" s="224" t="s">
        <v>9224</v>
      </c>
      <c r="B637" s="224" t="s">
        <v>52</v>
      </c>
      <c r="C637" s="82" t="s">
        <v>10728</v>
      </c>
      <c r="D637" s="83" t="s">
        <v>10309</v>
      </c>
      <c r="E637" s="488" t="s">
        <v>10298</v>
      </c>
      <c r="F637" s="92">
        <f>13/3*0.5*0.25</f>
        <v>0.5416666667</v>
      </c>
      <c r="G637" s="288" t="s">
        <v>542</v>
      </c>
    </row>
    <row r="638" ht="15.0" customHeight="1">
      <c r="A638" s="224" t="s">
        <v>9224</v>
      </c>
      <c r="B638" s="224" t="s">
        <v>52</v>
      </c>
      <c r="C638" s="82" t="s">
        <v>10729</v>
      </c>
      <c r="D638" s="83" t="s">
        <v>10309</v>
      </c>
      <c r="E638" s="488" t="s">
        <v>10730</v>
      </c>
      <c r="F638" s="92">
        <f>13/3*0.5*0.1</f>
        <v>0.2166666667</v>
      </c>
      <c r="G638" s="288" t="s">
        <v>542</v>
      </c>
    </row>
    <row r="639" ht="15.0" customHeight="1">
      <c r="A639" s="224" t="s">
        <v>9224</v>
      </c>
      <c r="B639" s="224" t="s">
        <v>52</v>
      </c>
      <c r="C639" s="82" t="s">
        <v>10731</v>
      </c>
      <c r="D639" s="83" t="s">
        <v>10305</v>
      </c>
      <c r="E639" s="488" t="s">
        <v>10732</v>
      </c>
      <c r="F639" s="92">
        <f t="shared" ref="F639:F640" si="82">34/3</f>
        <v>11.33333333</v>
      </c>
      <c r="G639" s="288" t="s">
        <v>542</v>
      </c>
    </row>
    <row r="640" ht="15.0" customHeight="1">
      <c r="A640" s="224" t="s">
        <v>9224</v>
      </c>
      <c r="B640" s="224" t="s">
        <v>52</v>
      </c>
      <c r="C640" s="82" t="s">
        <v>10733</v>
      </c>
      <c r="D640" s="83" t="s">
        <v>10305</v>
      </c>
      <c r="E640" s="488" t="s">
        <v>10732</v>
      </c>
      <c r="F640" s="92">
        <f t="shared" si="82"/>
        <v>11.33333333</v>
      </c>
      <c r="G640" s="288" t="s">
        <v>542</v>
      </c>
    </row>
    <row r="641" ht="15.0" customHeight="1">
      <c r="A641" s="224" t="s">
        <v>9224</v>
      </c>
      <c r="B641" s="224" t="s">
        <v>52</v>
      </c>
      <c r="C641" s="82" t="s">
        <v>10734</v>
      </c>
      <c r="D641" s="83" t="s">
        <v>10309</v>
      </c>
      <c r="E641" s="488" t="s">
        <v>10735</v>
      </c>
      <c r="F641" s="92">
        <f>34/3*0.5</f>
        <v>5.666666667</v>
      </c>
      <c r="G641" s="288" t="s">
        <v>542</v>
      </c>
    </row>
    <row r="642" ht="15.0" customHeight="1">
      <c r="A642" s="224" t="s">
        <v>9224</v>
      </c>
      <c r="B642" s="224" t="s">
        <v>52</v>
      </c>
      <c r="C642" s="82" t="s">
        <v>10736</v>
      </c>
      <c r="D642" s="83" t="s">
        <v>10309</v>
      </c>
      <c r="E642" s="488" t="s">
        <v>10291</v>
      </c>
      <c r="F642" s="92">
        <f>34/3*0.5*0.25</f>
        <v>1.416666667</v>
      </c>
      <c r="G642" s="288" t="s">
        <v>542</v>
      </c>
    </row>
    <row r="643" ht="15.0" customHeight="1">
      <c r="A643" s="224" t="s">
        <v>9224</v>
      </c>
      <c r="B643" s="224" t="s">
        <v>52</v>
      </c>
      <c r="C643" s="82" t="s">
        <v>10737</v>
      </c>
      <c r="D643" s="83" t="s">
        <v>10305</v>
      </c>
      <c r="E643" s="488" t="s">
        <v>10738</v>
      </c>
      <c r="F643" s="92">
        <f>21/3</f>
        <v>7</v>
      </c>
      <c r="G643" s="288" t="s">
        <v>542</v>
      </c>
    </row>
    <row r="644" ht="15.0" customHeight="1">
      <c r="A644" s="224" t="s">
        <v>9224</v>
      </c>
      <c r="B644" s="224" t="s">
        <v>52</v>
      </c>
      <c r="C644" s="82" t="s">
        <v>10739</v>
      </c>
      <c r="D644" s="83" t="s">
        <v>10309</v>
      </c>
      <c r="E644" s="488" t="s">
        <v>10740</v>
      </c>
      <c r="F644" s="92">
        <f>21/3*0.5</f>
        <v>3.5</v>
      </c>
      <c r="G644" s="288" t="s">
        <v>542</v>
      </c>
    </row>
    <row r="645" ht="15.0" customHeight="1">
      <c r="A645" s="224" t="s">
        <v>9224</v>
      </c>
      <c r="B645" s="224" t="s">
        <v>52</v>
      </c>
      <c r="C645" s="82" t="s">
        <v>10741</v>
      </c>
      <c r="D645" s="83" t="s">
        <v>10309</v>
      </c>
      <c r="E645" s="488" t="s">
        <v>10282</v>
      </c>
      <c r="F645" s="92">
        <f>5/3*0.5</f>
        <v>0.8333333333</v>
      </c>
      <c r="G645" s="288" t="s">
        <v>542</v>
      </c>
    </row>
    <row r="646" ht="15.0" customHeight="1">
      <c r="A646" s="224" t="s">
        <v>9224</v>
      </c>
      <c r="B646" s="224" t="s">
        <v>52</v>
      </c>
      <c r="C646" s="82" t="s">
        <v>10742</v>
      </c>
      <c r="D646" s="83" t="s">
        <v>10309</v>
      </c>
      <c r="E646" s="488" t="s">
        <v>10740</v>
      </c>
      <c r="F646" s="92">
        <f>21/3*0.5</f>
        <v>3.5</v>
      </c>
      <c r="G646" s="288" t="s">
        <v>542</v>
      </c>
    </row>
    <row r="647" ht="15.0" customHeight="1">
      <c r="A647" s="224" t="s">
        <v>9224</v>
      </c>
      <c r="B647" s="224" t="s">
        <v>52</v>
      </c>
      <c r="C647" s="82" t="s">
        <v>10743</v>
      </c>
      <c r="D647" s="83" t="s">
        <v>10309</v>
      </c>
      <c r="E647" s="488" t="s">
        <v>10744</v>
      </c>
      <c r="F647" s="92">
        <f>21/3*0.5*0.25</f>
        <v>0.875</v>
      </c>
      <c r="G647" s="288" t="s">
        <v>542</v>
      </c>
    </row>
    <row r="648" ht="15.0" customHeight="1">
      <c r="A648" s="224" t="s">
        <v>9224</v>
      </c>
      <c r="B648" s="224" t="s">
        <v>52</v>
      </c>
      <c r="C648" s="82" t="s">
        <v>10745</v>
      </c>
      <c r="D648" s="83" t="s">
        <v>10309</v>
      </c>
      <c r="E648" s="488" t="s">
        <v>10746</v>
      </c>
      <c r="F648" s="92">
        <f>11/3*0.5*0.1</f>
        <v>0.1833333333</v>
      </c>
      <c r="G648" s="288" t="s">
        <v>542</v>
      </c>
    </row>
    <row r="649" ht="15.0" customHeight="1">
      <c r="A649" s="224" t="s">
        <v>9224</v>
      </c>
      <c r="B649" s="224" t="s">
        <v>52</v>
      </c>
      <c r="C649" s="82" t="s">
        <v>10747</v>
      </c>
      <c r="D649" s="83" t="s">
        <v>10309</v>
      </c>
      <c r="E649" s="488" t="s">
        <v>10748</v>
      </c>
      <c r="F649" s="92">
        <f>21/3*0.5*0.1</f>
        <v>0.35</v>
      </c>
      <c r="G649" s="288" t="s">
        <v>542</v>
      </c>
    </row>
    <row r="650" ht="15.0" customHeight="1">
      <c r="A650" s="224" t="s">
        <v>78</v>
      </c>
      <c r="B650" s="224" t="s">
        <v>52</v>
      </c>
      <c r="C650" s="82" t="s">
        <v>10749</v>
      </c>
      <c r="D650" s="83" t="s">
        <v>10305</v>
      </c>
      <c r="E650" s="92">
        <f t="shared" ref="E650:F650" si="83">72/3*2.35</f>
        <v>56.4</v>
      </c>
      <c r="F650" s="92">
        <f t="shared" si="83"/>
        <v>56.4</v>
      </c>
      <c r="G650" s="288" t="s">
        <v>78</v>
      </c>
    </row>
    <row r="651" ht="15.0" customHeight="1">
      <c r="A651" s="224" t="s">
        <v>78</v>
      </c>
      <c r="B651" s="224" t="s">
        <v>52</v>
      </c>
      <c r="C651" s="82" t="s">
        <v>10750</v>
      </c>
      <c r="D651" s="83" t="s">
        <v>10305</v>
      </c>
      <c r="E651" s="92">
        <f t="shared" ref="E651:F651" si="84">7/3*2.35</f>
        <v>5.483333333</v>
      </c>
      <c r="F651" s="92">
        <f t="shared" si="84"/>
        <v>5.483333333</v>
      </c>
      <c r="G651" s="288" t="s">
        <v>78</v>
      </c>
    </row>
    <row r="652" ht="15.0" customHeight="1">
      <c r="A652" s="224" t="s">
        <v>78</v>
      </c>
      <c r="B652" s="224" t="s">
        <v>52</v>
      </c>
      <c r="C652" s="82" t="s">
        <v>10751</v>
      </c>
      <c r="D652" s="83" t="s">
        <v>10309</v>
      </c>
      <c r="E652" s="92">
        <f t="shared" ref="E652:F652" si="85">26/3*0.5*2.35</f>
        <v>10.18333333</v>
      </c>
      <c r="F652" s="92">
        <f t="shared" si="85"/>
        <v>10.18333333</v>
      </c>
      <c r="G652" s="288" t="s">
        <v>78</v>
      </c>
    </row>
    <row r="653" ht="15.0" customHeight="1">
      <c r="A653" s="224" t="s">
        <v>78</v>
      </c>
      <c r="B653" s="224" t="s">
        <v>52</v>
      </c>
      <c r="C653" s="82" t="s">
        <v>10752</v>
      </c>
      <c r="D653" s="83" t="s">
        <v>10686</v>
      </c>
      <c r="E653" s="83">
        <f t="shared" ref="E653:F653" si="86">13/3</f>
        <v>4.333333333</v>
      </c>
      <c r="F653" s="83">
        <f t="shared" si="86"/>
        <v>4.333333333</v>
      </c>
      <c r="G653" s="288" t="s">
        <v>78</v>
      </c>
    </row>
    <row r="654" ht="15.0" customHeight="1">
      <c r="A654" s="245" t="s">
        <v>10753</v>
      </c>
      <c r="B654" s="245" t="s">
        <v>1783</v>
      </c>
      <c r="C654" s="83" t="s">
        <v>10754</v>
      </c>
      <c r="D654" s="83" t="s">
        <v>10305</v>
      </c>
      <c r="E654" s="83" t="s">
        <v>10755</v>
      </c>
      <c r="F654" s="498">
        <v>10.0</v>
      </c>
      <c r="G654" s="288" t="s">
        <v>74</v>
      </c>
    </row>
    <row r="655" ht="15.0" customHeight="1">
      <c r="A655" s="245" t="s">
        <v>74</v>
      </c>
      <c r="B655" s="245" t="s">
        <v>1783</v>
      </c>
      <c r="C655" s="83" t="s">
        <v>10756</v>
      </c>
      <c r="D655" s="83" t="s">
        <v>10305</v>
      </c>
      <c r="E655" s="83" t="s">
        <v>10757</v>
      </c>
      <c r="F655" s="92">
        <v>10.0</v>
      </c>
      <c r="G655" s="288" t="s">
        <v>74</v>
      </c>
    </row>
    <row r="656" ht="15.0" customHeight="1">
      <c r="A656" s="245" t="s">
        <v>74</v>
      </c>
      <c r="B656" s="245" t="s">
        <v>1783</v>
      </c>
      <c r="C656" s="83" t="s">
        <v>10758</v>
      </c>
      <c r="D656" s="83" t="s">
        <v>10305</v>
      </c>
      <c r="E656" s="83" t="s">
        <v>10759</v>
      </c>
      <c r="F656" s="92">
        <v>2.5</v>
      </c>
      <c r="G656" s="288" t="s">
        <v>74</v>
      </c>
    </row>
    <row r="657" ht="15.0" customHeight="1">
      <c r="A657" s="245" t="s">
        <v>74</v>
      </c>
      <c r="B657" s="245" t="s">
        <v>1783</v>
      </c>
      <c r="C657" s="83" t="s">
        <v>10760</v>
      </c>
      <c r="D657" s="83" t="s">
        <v>10305</v>
      </c>
      <c r="E657" s="83" t="s">
        <v>10761</v>
      </c>
      <c r="F657" s="92">
        <v>1.0</v>
      </c>
      <c r="G657" s="288" t="s">
        <v>74</v>
      </c>
    </row>
    <row r="658" ht="15.0" customHeight="1">
      <c r="A658" s="245" t="s">
        <v>74</v>
      </c>
      <c r="B658" s="245" t="s">
        <v>1783</v>
      </c>
      <c r="C658" s="83" t="s">
        <v>10762</v>
      </c>
      <c r="D658" s="83" t="s">
        <v>10305</v>
      </c>
      <c r="E658" s="83" t="s">
        <v>10763</v>
      </c>
      <c r="F658" s="92">
        <v>5.94</v>
      </c>
      <c r="G658" s="288" t="s">
        <v>74</v>
      </c>
    </row>
    <row r="659" ht="15.0" customHeight="1">
      <c r="A659" s="245" t="s">
        <v>74</v>
      </c>
      <c r="B659" s="245" t="s">
        <v>1783</v>
      </c>
      <c r="C659" s="83" t="s">
        <v>10764</v>
      </c>
      <c r="D659" s="83" t="s">
        <v>10305</v>
      </c>
      <c r="E659" s="83" t="s">
        <v>10765</v>
      </c>
      <c r="F659" s="92">
        <v>5.94</v>
      </c>
      <c r="G659" s="288" t="s">
        <v>74</v>
      </c>
    </row>
    <row r="660" ht="15.0" customHeight="1">
      <c r="A660" s="245" t="s">
        <v>74</v>
      </c>
      <c r="B660" s="245" t="s">
        <v>1783</v>
      </c>
      <c r="C660" s="83" t="s">
        <v>10766</v>
      </c>
      <c r="D660" s="83" t="s">
        <v>10305</v>
      </c>
      <c r="E660" s="83" t="s">
        <v>10767</v>
      </c>
      <c r="F660" s="92">
        <v>1.49</v>
      </c>
      <c r="G660" s="288" t="s">
        <v>74</v>
      </c>
    </row>
    <row r="661" ht="15.0" customHeight="1">
      <c r="A661" s="245" t="s">
        <v>74</v>
      </c>
      <c r="B661" s="245" t="s">
        <v>1783</v>
      </c>
      <c r="C661" s="83" t="s">
        <v>10768</v>
      </c>
      <c r="D661" s="83" t="s">
        <v>10305</v>
      </c>
      <c r="E661" s="83" t="s">
        <v>10769</v>
      </c>
      <c r="F661" s="92">
        <v>0.59</v>
      </c>
      <c r="G661" s="288" t="s">
        <v>74</v>
      </c>
    </row>
    <row r="662" ht="15.0" customHeight="1">
      <c r="A662" s="245" t="s">
        <v>10753</v>
      </c>
      <c r="B662" s="245" t="s">
        <v>1783</v>
      </c>
      <c r="C662" s="83" t="s">
        <v>10770</v>
      </c>
      <c r="D662" s="83" t="s">
        <v>10305</v>
      </c>
      <c r="E662" s="83" t="s">
        <v>10771</v>
      </c>
      <c r="F662" s="92">
        <v>6.66</v>
      </c>
      <c r="G662" s="288" t="s">
        <v>74</v>
      </c>
    </row>
    <row r="663" ht="15.0" customHeight="1">
      <c r="A663" s="245" t="s">
        <v>74</v>
      </c>
      <c r="B663" s="245" t="s">
        <v>1783</v>
      </c>
      <c r="C663" s="83" t="s">
        <v>10772</v>
      </c>
      <c r="D663" s="83" t="s">
        <v>10305</v>
      </c>
      <c r="E663" s="83" t="s">
        <v>10771</v>
      </c>
      <c r="F663" s="92">
        <v>6.66</v>
      </c>
      <c r="G663" s="288" t="s">
        <v>74</v>
      </c>
    </row>
    <row r="664" ht="15.0" customHeight="1">
      <c r="A664" s="245" t="s">
        <v>74</v>
      </c>
      <c r="B664" s="245" t="s">
        <v>1783</v>
      </c>
      <c r="C664" s="83" t="s">
        <v>10773</v>
      </c>
      <c r="D664" s="83" t="s">
        <v>10305</v>
      </c>
      <c r="E664" s="83" t="s">
        <v>10774</v>
      </c>
      <c r="F664" s="92">
        <v>1.65</v>
      </c>
      <c r="G664" s="288" t="s">
        <v>74</v>
      </c>
    </row>
    <row r="665" ht="15.0" customHeight="1">
      <c r="A665" s="245" t="s">
        <v>74</v>
      </c>
      <c r="B665" s="245" t="s">
        <v>1783</v>
      </c>
      <c r="C665" s="83" t="s">
        <v>10775</v>
      </c>
      <c r="D665" s="83" t="s">
        <v>10305</v>
      </c>
      <c r="E665" s="83" t="s">
        <v>10776</v>
      </c>
      <c r="F665" s="92">
        <v>0.66</v>
      </c>
      <c r="G665" s="288" t="s">
        <v>74</v>
      </c>
    </row>
    <row r="666" ht="15.0" customHeight="1">
      <c r="A666" s="245" t="s">
        <v>10753</v>
      </c>
      <c r="B666" s="245" t="s">
        <v>1783</v>
      </c>
      <c r="C666" s="83" t="s">
        <v>10777</v>
      </c>
      <c r="D666" s="83" t="s">
        <v>10305</v>
      </c>
      <c r="E666" s="83" t="s">
        <v>10778</v>
      </c>
      <c r="F666" s="92">
        <v>13.53</v>
      </c>
      <c r="G666" s="288" t="s">
        <v>74</v>
      </c>
    </row>
    <row r="667" ht="15.0" customHeight="1">
      <c r="A667" s="245" t="s">
        <v>74</v>
      </c>
      <c r="B667" s="245" t="s">
        <v>1783</v>
      </c>
      <c r="C667" s="83" t="s">
        <v>10779</v>
      </c>
      <c r="D667" s="83" t="s">
        <v>10305</v>
      </c>
      <c r="E667" s="83" t="s">
        <v>10778</v>
      </c>
      <c r="F667" s="92">
        <v>13.53</v>
      </c>
      <c r="G667" s="288" t="s">
        <v>74</v>
      </c>
    </row>
    <row r="668" ht="15.0" customHeight="1">
      <c r="A668" s="245" t="s">
        <v>74</v>
      </c>
      <c r="B668" s="245" t="s">
        <v>1783</v>
      </c>
      <c r="C668" s="83" t="s">
        <v>10780</v>
      </c>
      <c r="D668" s="83" t="s">
        <v>10305</v>
      </c>
      <c r="E668" s="83" t="s">
        <v>10781</v>
      </c>
      <c r="F668" s="92">
        <v>3.38</v>
      </c>
      <c r="G668" s="288" t="s">
        <v>74</v>
      </c>
    </row>
    <row r="669" ht="15.0" customHeight="1">
      <c r="A669" s="245" t="s">
        <v>74</v>
      </c>
      <c r="B669" s="245" t="s">
        <v>1783</v>
      </c>
      <c r="C669" s="83" t="s">
        <v>10782</v>
      </c>
      <c r="D669" s="83" t="s">
        <v>10305</v>
      </c>
      <c r="E669" s="83" t="s">
        <v>10783</v>
      </c>
      <c r="F669" s="92">
        <v>1.35</v>
      </c>
      <c r="G669" s="288" t="s">
        <v>74</v>
      </c>
    </row>
    <row r="670" ht="15.0" customHeight="1">
      <c r="A670" s="245" t="s">
        <v>74</v>
      </c>
      <c r="B670" s="245" t="s">
        <v>1783</v>
      </c>
      <c r="C670" s="83" t="s">
        <v>10784</v>
      </c>
      <c r="D670" s="83" t="s">
        <v>10305</v>
      </c>
      <c r="E670" s="83" t="s">
        <v>10785</v>
      </c>
      <c r="F670" s="92">
        <v>6.27</v>
      </c>
      <c r="G670" s="288" t="s">
        <v>74</v>
      </c>
    </row>
    <row r="671" ht="15.0" customHeight="1">
      <c r="A671" s="245" t="s">
        <v>74</v>
      </c>
      <c r="B671" s="245" t="s">
        <v>1783</v>
      </c>
      <c r="C671" s="83" t="s">
        <v>10786</v>
      </c>
      <c r="D671" s="83" t="s">
        <v>10305</v>
      </c>
      <c r="E671" s="83" t="s">
        <v>10785</v>
      </c>
      <c r="F671" s="92">
        <v>6.27</v>
      </c>
      <c r="G671" s="288" t="s">
        <v>74</v>
      </c>
    </row>
    <row r="672" ht="15.0" customHeight="1">
      <c r="A672" s="245" t="s">
        <v>74</v>
      </c>
      <c r="B672" s="245" t="s">
        <v>1783</v>
      </c>
      <c r="C672" s="83" t="s">
        <v>10787</v>
      </c>
      <c r="D672" s="83" t="s">
        <v>10305</v>
      </c>
      <c r="E672" s="83" t="s">
        <v>10788</v>
      </c>
      <c r="F672" s="92">
        <v>1.57</v>
      </c>
      <c r="G672" s="288" t="s">
        <v>74</v>
      </c>
    </row>
    <row r="673" ht="15.0" customHeight="1">
      <c r="A673" s="245" t="s">
        <v>74</v>
      </c>
      <c r="B673" s="245" t="s">
        <v>1783</v>
      </c>
      <c r="C673" s="83" t="s">
        <v>10789</v>
      </c>
      <c r="D673" s="83" t="s">
        <v>10305</v>
      </c>
      <c r="E673" s="83" t="s">
        <v>10790</v>
      </c>
      <c r="F673" s="92">
        <v>0.63</v>
      </c>
      <c r="G673" s="288" t="s">
        <v>74</v>
      </c>
    </row>
    <row r="674" ht="15.0" customHeight="1">
      <c r="A674" s="245" t="s">
        <v>10753</v>
      </c>
      <c r="B674" s="245" t="s">
        <v>1783</v>
      </c>
      <c r="C674" s="83" t="s">
        <v>10791</v>
      </c>
      <c r="D674" s="83" t="s">
        <v>10305</v>
      </c>
      <c r="E674" s="83" t="s">
        <v>10792</v>
      </c>
      <c r="F674" s="92">
        <v>2.0</v>
      </c>
      <c r="G674" s="288" t="s">
        <v>74</v>
      </c>
    </row>
    <row r="675" ht="15.0" customHeight="1">
      <c r="A675" s="245" t="s">
        <v>74</v>
      </c>
      <c r="B675" s="245" t="s">
        <v>1783</v>
      </c>
      <c r="C675" s="83" t="s">
        <v>10793</v>
      </c>
      <c r="D675" s="83" t="s">
        <v>10305</v>
      </c>
      <c r="E675" s="83" t="s">
        <v>10792</v>
      </c>
      <c r="F675" s="92">
        <v>2.0</v>
      </c>
      <c r="G675" s="288" t="s">
        <v>74</v>
      </c>
    </row>
    <row r="676" ht="15.0" customHeight="1">
      <c r="A676" s="245" t="s">
        <v>74</v>
      </c>
      <c r="B676" s="245" t="s">
        <v>1783</v>
      </c>
      <c r="C676" s="83" t="s">
        <v>10794</v>
      </c>
      <c r="D676" s="83" t="s">
        <v>10305</v>
      </c>
      <c r="E676" s="83" t="s">
        <v>10795</v>
      </c>
      <c r="F676" s="92">
        <v>0.5</v>
      </c>
      <c r="G676" s="288" t="s">
        <v>74</v>
      </c>
    </row>
    <row r="677" ht="15.0" customHeight="1">
      <c r="A677" s="245" t="s">
        <v>74</v>
      </c>
      <c r="B677" s="245" t="s">
        <v>1783</v>
      </c>
      <c r="C677" s="83" t="s">
        <v>10796</v>
      </c>
      <c r="D677" s="83" t="s">
        <v>10305</v>
      </c>
      <c r="E677" s="83" t="s">
        <v>10797</v>
      </c>
      <c r="F677" s="92">
        <v>0.2</v>
      </c>
      <c r="G677" s="288" t="s">
        <v>74</v>
      </c>
    </row>
    <row r="678" ht="15.0" customHeight="1">
      <c r="A678" s="245" t="s">
        <v>74</v>
      </c>
      <c r="B678" s="245" t="s">
        <v>1783</v>
      </c>
      <c r="C678" s="83" t="s">
        <v>10798</v>
      </c>
      <c r="D678" s="83" t="s">
        <v>10305</v>
      </c>
      <c r="E678" s="83" t="s">
        <v>10799</v>
      </c>
      <c r="F678" s="92">
        <v>6.33</v>
      </c>
      <c r="G678" s="288" t="s">
        <v>74</v>
      </c>
    </row>
    <row r="679" ht="15.0" customHeight="1">
      <c r="A679" s="245" t="s">
        <v>74</v>
      </c>
      <c r="B679" s="245" t="s">
        <v>1783</v>
      </c>
      <c r="C679" s="83" t="s">
        <v>10800</v>
      </c>
      <c r="D679" s="83" t="s">
        <v>10305</v>
      </c>
      <c r="E679" s="83" t="s">
        <v>10801</v>
      </c>
      <c r="F679" s="463">
        <v>5.0</v>
      </c>
      <c r="G679" s="288" t="s">
        <v>74</v>
      </c>
    </row>
    <row r="680" ht="15.0" customHeight="1">
      <c r="A680" s="224" t="s">
        <v>9226</v>
      </c>
      <c r="B680" s="224" t="s">
        <v>52</v>
      </c>
      <c r="C680" s="82" t="s">
        <v>10802</v>
      </c>
      <c r="D680" s="83" t="s">
        <v>10046</v>
      </c>
      <c r="E680" s="83">
        <v>52.0</v>
      </c>
      <c r="F680" s="92">
        <v>52.0</v>
      </c>
      <c r="G680" s="288" t="s">
        <v>56</v>
      </c>
    </row>
    <row r="681" ht="15.0" customHeight="1">
      <c r="A681" s="224" t="s">
        <v>9226</v>
      </c>
      <c r="B681" s="224" t="s">
        <v>52</v>
      </c>
      <c r="C681" s="82" t="s">
        <v>10803</v>
      </c>
      <c r="D681" s="83" t="s">
        <v>10046</v>
      </c>
      <c r="E681" s="83">
        <v>52.0</v>
      </c>
      <c r="F681" s="92">
        <v>52.0</v>
      </c>
      <c r="G681" s="288" t="s">
        <v>56</v>
      </c>
    </row>
    <row r="682" ht="15.0" customHeight="1">
      <c r="A682" s="224" t="s">
        <v>9226</v>
      </c>
      <c r="B682" s="224" t="s">
        <v>52</v>
      </c>
      <c r="C682" s="82" t="s">
        <v>10804</v>
      </c>
      <c r="D682" s="83" t="s">
        <v>10046</v>
      </c>
      <c r="E682" s="83">
        <v>13.0</v>
      </c>
      <c r="F682" s="92">
        <v>13.0</v>
      </c>
      <c r="G682" s="288" t="s">
        <v>56</v>
      </c>
    </row>
    <row r="683" ht="15.0" customHeight="1">
      <c r="A683" s="224" t="s">
        <v>9226</v>
      </c>
      <c r="B683" s="224" t="s">
        <v>52</v>
      </c>
      <c r="C683" s="82" t="s">
        <v>10805</v>
      </c>
      <c r="D683" s="83" t="s">
        <v>10046</v>
      </c>
      <c r="E683" s="83">
        <v>5.0</v>
      </c>
      <c r="F683" s="92">
        <v>5.0</v>
      </c>
      <c r="G683" s="288" t="s">
        <v>56</v>
      </c>
    </row>
    <row r="684" ht="15.0" customHeight="1">
      <c r="A684" s="224" t="s">
        <v>9226</v>
      </c>
      <c r="B684" s="224" t="s">
        <v>52</v>
      </c>
      <c r="C684" s="82" t="s">
        <v>10806</v>
      </c>
      <c r="D684" s="83" t="s">
        <v>10046</v>
      </c>
      <c r="E684" s="83">
        <v>45.0</v>
      </c>
      <c r="F684" s="92">
        <v>45.0</v>
      </c>
      <c r="G684" s="288" t="s">
        <v>56</v>
      </c>
    </row>
    <row r="685" ht="15.0" customHeight="1">
      <c r="A685" s="224" t="s">
        <v>89</v>
      </c>
      <c r="B685" s="224" t="s">
        <v>10064</v>
      </c>
      <c r="C685" s="82" t="s">
        <v>10807</v>
      </c>
      <c r="D685" s="83" t="s">
        <v>10046</v>
      </c>
      <c r="E685" s="86" t="s">
        <v>10808</v>
      </c>
      <c r="F685" s="92">
        <f>46/3</f>
        <v>15.33333333</v>
      </c>
      <c r="G685" s="288" t="s">
        <v>89</v>
      </c>
    </row>
    <row r="686" ht="15.0" customHeight="1">
      <c r="A686" s="224" t="s">
        <v>89</v>
      </c>
      <c r="B686" s="224" t="s">
        <v>10064</v>
      </c>
      <c r="C686" s="82" t="s">
        <v>10809</v>
      </c>
      <c r="D686" s="83" t="s">
        <v>10072</v>
      </c>
      <c r="E686" s="86" t="s">
        <v>10810</v>
      </c>
      <c r="F686" s="92">
        <f>46/3*0.5*1.35</f>
        <v>10.35</v>
      </c>
      <c r="G686" s="288" t="s">
        <v>89</v>
      </c>
    </row>
    <row r="687" ht="15.0" customHeight="1">
      <c r="A687" s="224" t="s">
        <v>89</v>
      </c>
      <c r="B687" s="224" t="s">
        <v>10064</v>
      </c>
      <c r="C687" s="82" t="s">
        <v>10811</v>
      </c>
      <c r="D687" s="83" t="s">
        <v>10046</v>
      </c>
      <c r="E687" s="86" t="s">
        <v>10258</v>
      </c>
      <c r="F687" s="92">
        <f>15/3</f>
        <v>5</v>
      </c>
      <c r="G687" s="288" t="s">
        <v>89</v>
      </c>
    </row>
    <row r="688" ht="15.0" customHeight="1">
      <c r="A688" s="224" t="s">
        <v>89</v>
      </c>
      <c r="B688" s="224" t="s">
        <v>10064</v>
      </c>
      <c r="C688" s="82" t="s">
        <v>10812</v>
      </c>
      <c r="D688" s="83" t="s">
        <v>10072</v>
      </c>
      <c r="E688" s="86" t="s">
        <v>10813</v>
      </c>
      <c r="F688" s="92">
        <f>15/3*0.5*1.35</f>
        <v>3.375</v>
      </c>
      <c r="G688" s="288" t="s">
        <v>89</v>
      </c>
    </row>
    <row r="689" ht="15.0" customHeight="1">
      <c r="A689" s="224" t="s">
        <v>89</v>
      </c>
      <c r="B689" s="224" t="s">
        <v>10064</v>
      </c>
      <c r="C689" s="82" t="s">
        <v>10814</v>
      </c>
      <c r="D689" s="83" t="s">
        <v>10046</v>
      </c>
      <c r="E689" s="86" t="s">
        <v>10575</v>
      </c>
      <c r="F689" s="92">
        <f>30/3</f>
        <v>10</v>
      </c>
      <c r="G689" s="288" t="s">
        <v>89</v>
      </c>
    </row>
    <row r="690" ht="15.0" customHeight="1">
      <c r="A690" s="224" t="s">
        <v>89</v>
      </c>
      <c r="B690" s="224" t="s">
        <v>10064</v>
      </c>
      <c r="C690" s="82" t="s">
        <v>10815</v>
      </c>
      <c r="D690" s="83" t="s">
        <v>10072</v>
      </c>
      <c r="E690" s="86" t="s">
        <v>10816</v>
      </c>
      <c r="F690" s="92">
        <f>30/3*0.5*1.35</f>
        <v>6.75</v>
      </c>
      <c r="G690" s="288" t="s">
        <v>89</v>
      </c>
    </row>
    <row r="691" ht="15.0" customHeight="1">
      <c r="A691" s="224" t="s">
        <v>89</v>
      </c>
      <c r="B691" s="224" t="s">
        <v>10064</v>
      </c>
      <c r="C691" s="82" t="s">
        <v>10817</v>
      </c>
      <c r="D691" s="83" t="s">
        <v>10046</v>
      </c>
      <c r="E691" s="86" t="s">
        <v>10278</v>
      </c>
      <c r="F691" s="92">
        <f>18/3</f>
        <v>6</v>
      </c>
      <c r="G691" s="288" t="s">
        <v>89</v>
      </c>
    </row>
    <row r="692" ht="15.0" customHeight="1">
      <c r="A692" s="224" t="s">
        <v>89</v>
      </c>
      <c r="B692" s="224" t="s">
        <v>10064</v>
      </c>
      <c r="C692" s="82" t="s">
        <v>10818</v>
      </c>
      <c r="D692" s="83" t="s">
        <v>10046</v>
      </c>
      <c r="E692" s="86" t="s">
        <v>10278</v>
      </c>
      <c r="F692" s="92">
        <v>6.0</v>
      </c>
      <c r="G692" s="288" t="s">
        <v>89</v>
      </c>
    </row>
    <row r="693" ht="15.0" customHeight="1">
      <c r="A693" s="224" t="s">
        <v>89</v>
      </c>
      <c r="B693" s="224" t="s">
        <v>10064</v>
      </c>
      <c r="C693" s="82" t="s">
        <v>10819</v>
      </c>
      <c r="D693" s="83" t="s">
        <v>10072</v>
      </c>
      <c r="E693" s="86" t="s">
        <v>10820</v>
      </c>
      <c r="F693" s="92">
        <f>18/3*0.5*1.35</f>
        <v>4.05</v>
      </c>
      <c r="G693" s="288" t="s">
        <v>89</v>
      </c>
    </row>
    <row r="694" ht="15.0" customHeight="1">
      <c r="A694" s="224" t="s">
        <v>89</v>
      </c>
      <c r="B694" s="224" t="s">
        <v>10064</v>
      </c>
      <c r="C694" s="82" t="s">
        <v>10821</v>
      </c>
      <c r="D694" s="83" t="s">
        <v>10046</v>
      </c>
      <c r="E694" s="86" t="s">
        <v>10822</v>
      </c>
      <c r="F694" s="92">
        <f>11/3</f>
        <v>3.666666667</v>
      </c>
      <c r="G694" s="288" t="s">
        <v>89</v>
      </c>
    </row>
    <row r="695" ht="15.0" customHeight="1">
      <c r="A695" s="224" t="s">
        <v>89</v>
      </c>
      <c r="B695" s="224" t="s">
        <v>10064</v>
      </c>
      <c r="C695" s="82" t="s">
        <v>10823</v>
      </c>
      <c r="D695" s="83" t="s">
        <v>10072</v>
      </c>
      <c r="E695" s="86" t="s">
        <v>10824</v>
      </c>
      <c r="F695" s="92">
        <f>11/3*0.5*1.35</f>
        <v>2.475</v>
      </c>
      <c r="G695" s="288" t="s">
        <v>89</v>
      </c>
    </row>
    <row r="696" ht="15.0" customHeight="1">
      <c r="A696" s="224" t="s">
        <v>89</v>
      </c>
      <c r="B696" s="224" t="s">
        <v>52</v>
      </c>
      <c r="C696" s="82" t="s">
        <v>10825</v>
      </c>
      <c r="D696" s="83" t="s">
        <v>10046</v>
      </c>
      <c r="E696" s="86" t="s">
        <v>10284</v>
      </c>
      <c r="F696" s="92">
        <f>26/3</f>
        <v>8.666666667</v>
      </c>
      <c r="G696" s="288" t="s">
        <v>89</v>
      </c>
    </row>
    <row r="697" ht="15.0" customHeight="1">
      <c r="A697" s="224" t="s">
        <v>89</v>
      </c>
      <c r="B697" s="224" t="s">
        <v>52</v>
      </c>
      <c r="C697" s="82" t="s">
        <v>10826</v>
      </c>
      <c r="D697" s="83" t="s">
        <v>10072</v>
      </c>
      <c r="E697" s="86" t="s">
        <v>10827</v>
      </c>
      <c r="F697" s="92">
        <f>26/3*0.5*1.35</f>
        <v>5.85</v>
      </c>
      <c r="G697" s="288" t="s">
        <v>89</v>
      </c>
    </row>
    <row r="698" ht="15.0" customHeight="1">
      <c r="A698" s="224" t="s">
        <v>89</v>
      </c>
      <c r="B698" s="224" t="s">
        <v>52</v>
      </c>
      <c r="C698" s="82" t="s">
        <v>10828</v>
      </c>
      <c r="D698" s="83" t="s">
        <v>10046</v>
      </c>
      <c r="E698" s="86" t="s">
        <v>10721</v>
      </c>
      <c r="F698" s="92">
        <f>13/3</f>
        <v>4.333333333</v>
      </c>
      <c r="G698" s="288" t="s">
        <v>89</v>
      </c>
    </row>
    <row r="699" ht="15.0" customHeight="1">
      <c r="A699" s="224" t="s">
        <v>89</v>
      </c>
      <c r="B699" s="224" t="s">
        <v>52</v>
      </c>
      <c r="C699" s="82" t="s">
        <v>10829</v>
      </c>
      <c r="D699" s="83" t="s">
        <v>10072</v>
      </c>
      <c r="E699" s="86" t="s">
        <v>10830</v>
      </c>
      <c r="F699" s="92">
        <f>26/3*0.5*1.5</f>
        <v>6.5</v>
      </c>
      <c r="G699" s="288" t="s">
        <v>89</v>
      </c>
    </row>
    <row r="700" ht="15.0" customHeight="1">
      <c r="A700" s="224" t="s">
        <v>89</v>
      </c>
      <c r="B700" s="224" t="s">
        <v>52</v>
      </c>
      <c r="C700" s="82" t="s">
        <v>10831</v>
      </c>
      <c r="D700" s="83" t="s">
        <v>10046</v>
      </c>
      <c r="E700" s="86" t="s">
        <v>10252</v>
      </c>
      <c r="F700" s="92">
        <f>16/3</f>
        <v>5.333333333</v>
      </c>
      <c r="G700" s="288" t="s">
        <v>89</v>
      </c>
    </row>
    <row r="701" ht="15.0" customHeight="1">
      <c r="A701" s="224" t="s">
        <v>89</v>
      </c>
      <c r="B701" s="224" t="s">
        <v>52</v>
      </c>
      <c r="C701" s="82" t="s">
        <v>10832</v>
      </c>
      <c r="D701" s="83" t="s">
        <v>10072</v>
      </c>
      <c r="E701" s="86" t="s">
        <v>10833</v>
      </c>
      <c r="F701" s="83">
        <f>16/3*0.5*1.35</f>
        <v>3.6</v>
      </c>
      <c r="G701" s="288" t="s">
        <v>89</v>
      </c>
    </row>
    <row r="702" ht="15.0" customHeight="1">
      <c r="A702" s="224" t="s">
        <v>8562</v>
      </c>
      <c r="B702" s="224" t="s">
        <v>52</v>
      </c>
      <c r="C702" s="82" t="s">
        <v>10834</v>
      </c>
      <c r="D702" s="83" t="s">
        <v>10835</v>
      </c>
      <c r="E702" s="92">
        <v>3.66</v>
      </c>
      <c r="F702" s="92">
        <v>3.66</v>
      </c>
      <c r="G702" s="288" t="s">
        <v>65</v>
      </c>
    </row>
    <row r="703" ht="15.0" customHeight="1">
      <c r="A703" s="224" t="s">
        <v>8562</v>
      </c>
      <c r="B703" s="224" t="s">
        <v>52</v>
      </c>
      <c r="C703" s="82" t="s">
        <v>10836</v>
      </c>
      <c r="D703" s="83" t="s">
        <v>10835</v>
      </c>
      <c r="E703" s="92">
        <v>3.66</v>
      </c>
      <c r="F703" s="92">
        <v>3.66</v>
      </c>
      <c r="G703" s="288" t="s">
        <v>65</v>
      </c>
    </row>
    <row r="704" ht="15.0" customHeight="1">
      <c r="A704" s="224" t="s">
        <v>8562</v>
      </c>
      <c r="B704" s="224" t="s">
        <v>52</v>
      </c>
      <c r="C704" s="82" t="s">
        <v>10837</v>
      </c>
      <c r="D704" s="83" t="s">
        <v>10835</v>
      </c>
      <c r="E704" s="92">
        <v>0.91</v>
      </c>
      <c r="F704" s="92">
        <v>0.91</v>
      </c>
      <c r="G704" s="288" t="s">
        <v>65</v>
      </c>
    </row>
    <row r="705" ht="15.0" customHeight="1">
      <c r="A705" s="224" t="s">
        <v>8562</v>
      </c>
      <c r="B705" s="224" t="s">
        <v>52</v>
      </c>
      <c r="C705" s="82" t="s">
        <v>10838</v>
      </c>
      <c r="D705" s="83" t="s">
        <v>10835</v>
      </c>
      <c r="E705" s="92">
        <v>0.36</v>
      </c>
      <c r="F705" s="92">
        <v>0.36</v>
      </c>
      <c r="G705" s="288" t="s">
        <v>65</v>
      </c>
    </row>
    <row r="706" ht="15.0" customHeight="1">
      <c r="A706" s="224" t="s">
        <v>8562</v>
      </c>
      <c r="B706" s="224" t="s">
        <v>52</v>
      </c>
      <c r="C706" s="82" t="s">
        <v>10839</v>
      </c>
      <c r="D706" s="83" t="s">
        <v>10046</v>
      </c>
      <c r="E706" s="92">
        <v>3.66</v>
      </c>
      <c r="F706" s="92">
        <v>3.66</v>
      </c>
      <c r="G706" s="288" t="s">
        <v>65</v>
      </c>
    </row>
    <row r="707" ht="15.0" customHeight="1">
      <c r="A707" s="224" t="s">
        <v>8562</v>
      </c>
      <c r="B707" s="224" t="s">
        <v>52</v>
      </c>
      <c r="C707" s="82" t="s">
        <v>10840</v>
      </c>
      <c r="D707" s="83" t="s">
        <v>10046</v>
      </c>
      <c r="E707" s="92">
        <v>3.66</v>
      </c>
      <c r="F707" s="92">
        <v>3.66</v>
      </c>
      <c r="G707" s="288" t="s">
        <v>65</v>
      </c>
    </row>
    <row r="708" ht="15.0" customHeight="1">
      <c r="A708" s="224" t="s">
        <v>8562</v>
      </c>
      <c r="B708" s="224" t="s">
        <v>52</v>
      </c>
      <c r="C708" s="82" t="s">
        <v>10841</v>
      </c>
      <c r="D708" s="83" t="s">
        <v>10046</v>
      </c>
      <c r="E708" s="92">
        <v>0.91</v>
      </c>
      <c r="F708" s="92">
        <v>0.91</v>
      </c>
      <c r="G708" s="288" t="s">
        <v>65</v>
      </c>
    </row>
    <row r="709" ht="15.0" customHeight="1">
      <c r="A709" s="224" t="s">
        <v>8562</v>
      </c>
      <c r="B709" s="224" t="s">
        <v>52</v>
      </c>
      <c r="C709" s="82" t="s">
        <v>10842</v>
      </c>
      <c r="D709" s="83" t="s">
        <v>10046</v>
      </c>
      <c r="E709" s="92">
        <v>0.36</v>
      </c>
      <c r="F709" s="92">
        <v>0.36</v>
      </c>
      <c r="G709" s="288" t="s">
        <v>65</v>
      </c>
    </row>
    <row r="710" ht="15.0" customHeight="1">
      <c r="A710" s="224" t="s">
        <v>8562</v>
      </c>
      <c r="B710" s="224" t="s">
        <v>52</v>
      </c>
      <c r="C710" s="82" t="s">
        <v>10843</v>
      </c>
      <c r="D710" s="83" t="s">
        <v>10046</v>
      </c>
      <c r="E710" s="92">
        <v>3.66</v>
      </c>
      <c r="F710" s="92">
        <v>3.66</v>
      </c>
      <c r="G710" s="288" t="s">
        <v>65</v>
      </c>
    </row>
    <row r="711" ht="15.0" customHeight="1">
      <c r="A711" s="224" t="s">
        <v>8562</v>
      </c>
      <c r="B711" s="224" t="s">
        <v>52</v>
      </c>
      <c r="C711" s="82" t="s">
        <v>10844</v>
      </c>
      <c r="D711" s="83" t="s">
        <v>10046</v>
      </c>
      <c r="E711" s="92">
        <v>3.66</v>
      </c>
      <c r="F711" s="92">
        <v>3.66</v>
      </c>
      <c r="G711" s="288" t="s">
        <v>65</v>
      </c>
    </row>
    <row r="712" ht="15.0" customHeight="1">
      <c r="A712" s="224" t="s">
        <v>8562</v>
      </c>
      <c r="B712" s="224" t="s">
        <v>52</v>
      </c>
      <c r="C712" s="82" t="s">
        <v>10845</v>
      </c>
      <c r="D712" s="83" t="s">
        <v>10046</v>
      </c>
      <c r="E712" s="92">
        <v>0.91</v>
      </c>
      <c r="F712" s="92">
        <v>0.91</v>
      </c>
      <c r="G712" s="288" t="s">
        <v>65</v>
      </c>
    </row>
    <row r="713" ht="15.0" customHeight="1">
      <c r="A713" s="224" t="s">
        <v>8562</v>
      </c>
      <c r="B713" s="224" t="s">
        <v>52</v>
      </c>
      <c r="C713" s="82" t="s">
        <v>10846</v>
      </c>
      <c r="D713" s="83" t="s">
        <v>10046</v>
      </c>
      <c r="E713" s="92">
        <v>0.36</v>
      </c>
      <c r="F713" s="92">
        <v>0.36</v>
      </c>
      <c r="G713" s="288" t="s">
        <v>65</v>
      </c>
    </row>
    <row r="714" ht="15.0" customHeight="1">
      <c r="A714" s="224" t="s">
        <v>8562</v>
      </c>
      <c r="B714" s="224" t="s">
        <v>52</v>
      </c>
      <c r="C714" s="82" t="s">
        <v>10847</v>
      </c>
      <c r="D714" s="83" t="s">
        <v>10046</v>
      </c>
      <c r="E714" s="92">
        <v>3.66</v>
      </c>
      <c r="F714" s="92">
        <v>3.66</v>
      </c>
      <c r="G714" s="288" t="s">
        <v>65</v>
      </c>
    </row>
    <row r="715" ht="15.0" customHeight="1">
      <c r="A715" s="224" t="s">
        <v>8562</v>
      </c>
      <c r="B715" s="224" t="s">
        <v>52</v>
      </c>
      <c r="C715" s="82" t="s">
        <v>10848</v>
      </c>
      <c r="D715" s="83" t="s">
        <v>10046</v>
      </c>
      <c r="E715" s="92">
        <v>3.66</v>
      </c>
      <c r="F715" s="92">
        <v>3.66</v>
      </c>
      <c r="G715" s="288" t="s">
        <v>65</v>
      </c>
    </row>
    <row r="716" ht="15.0" customHeight="1">
      <c r="A716" s="224" t="s">
        <v>8562</v>
      </c>
      <c r="B716" s="224" t="s">
        <v>52</v>
      </c>
      <c r="C716" s="82" t="s">
        <v>10849</v>
      </c>
      <c r="D716" s="83" t="s">
        <v>10046</v>
      </c>
      <c r="E716" s="92">
        <v>0.91</v>
      </c>
      <c r="F716" s="92">
        <v>0.91</v>
      </c>
      <c r="G716" s="288" t="s">
        <v>65</v>
      </c>
    </row>
    <row r="717" ht="15.0" customHeight="1">
      <c r="A717" s="224" t="s">
        <v>8562</v>
      </c>
      <c r="B717" s="224" t="s">
        <v>52</v>
      </c>
      <c r="C717" s="82" t="s">
        <v>10850</v>
      </c>
      <c r="D717" s="83" t="s">
        <v>10046</v>
      </c>
      <c r="E717" s="92">
        <v>0.36</v>
      </c>
      <c r="F717" s="92">
        <v>0.36</v>
      </c>
      <c r="G717" s="288" t="s">
        <v>65</v>
      </c>
    </row>
    <row r="718" ht="15.0" customHeight="1">
      <c r="A718" s="224" t="s">
        <v>8562</v>
      </c>
      <c r="B718" s="224" t="s">
        <v>52</v>
      </c>
      <c r="C718" s="100" t="s">
        <v>10851</v>
      </c>
      <c r="D718" s="156" t="s">
        <v>10046</v>
      </c>
      <c r="E718" s="151">
        <v>8.0</v>
      </c>
      <c r="F718" s="151">
        <v>8.0</v>
      </c>
      <c r="G718" s="288" t="s">
        <v>65</v>
      </c>
    </row>
    <row r="719" ht="15.0" customHeight="1">
      <c r="A719" s="224" t="s">
        <v>8562</v>
      </c>
      <c r="B719" s="224" t="s">
        <v>52</v>
      </c>
      <c r="C719" s="100" t="s">
        <v>10852</v>
      </c>
      <c r="D719" s="156" t="s">
        <v>10135</v>
      </c>
      <c r="E719" s="151">
        <v>8.66</v>
      </c>
      <c r="F719" s="151">
        <v>8.66</v>
      </c>
      <c r="G719" s="288" t="s">
        <v>65</v>
      </c>
    </row>
    <row r="720" ht="15.0" customHeight="1">
      <c r="A720" s="224" t="s">
        <v>8562</v>
      </c>
      <c r="B720" s="224" t="s">
        <v>52</v>
      </c>
      <c r="C720" s="100" t="s">
        <v>10853</v>
      </c>
      <c r="D720" s="156" t="s">
        <v>10135</v>
      </c>
      <c r="E720" s="151">
        <v>1.33</v>
      </c>
      <c r="F720" s="151">
        <v>1.33</v>
      </c>
      <c r="G720" s="288" t="s">
        <v>65</v>
      </c>
    </row>
    <row r="721" ht="15.0" customHeight="1">
      <c r="A721" s="224" t="s">
        <v>8562</v>
      </c>
      <c r="B721" s="224" t="s">
        <v>52</v>
      </c>
      <c r="C721" s="100" t="s">
        <v>10854</v>
      </c>
      <c r="D721" s="156" t="s">
        <v>10135</v>
      </c>
      <c r="E721" s="151">
        <v>1.0</v>
      </c>
      <c r="F721" s="151">
        <v>1.0</v>
      </c>
      <c r="G721" s="288" t="s">
        <v>65</v>
      </c>
    </row>
    <row r="722" ht="15.75" customHeight="1">
      <c r="A722" s="224" t="s">
        <v>9228</v>
      </c>
      <c r="B722" s="224" t="s">
        <v>94</v>
      </c>
      <c r="C722" s="82" t="s">
        <v>10855</v>
      </c>
      <c r="D722" s="83" t="s">
        <v>10305</v>
      </c>
      <c r="E722" s="83" t="s">
        <v>10856</v>
      </c>
      <c r="F722" s="92">
        <v>13.5</v>
      </c>
      <c r="G722" s="288" t="s">
        <v>5258</v>
      </c>
    </row>
    <row r="723" ht="15.75" customHeight="1">
      <c r="A723" s="224" t="s">
        <v>9228</v>
      </c>
      <c r="B723" s="224" t="s">
        <v>94</v>
      </c>
      <c r="C723" s="82" t="s">
        <v>10857</v>
      </c>
      <c r="D723" s="83" t="s">
        <v>10305</v>
      </c>
      <c r="E723" s="83" t="s">
        <v>10858</v>
      </c>
      <c r="F723" s="92">
        <v>24.89</v>
      </c>
      <c r="G723" s="288" t="s">
        <v>5258</v>
      </c>
    </row>
    <row r="724" ht="15.75" customHeight="1">
      <c r="A724" s="224" t="s">
        <v>9228</v>
      </c>
      <c r="B724" s="224" t="s">
        <v>94</v>
      </c>
      <c r="C724" s="82" t="s">
        <v>10859</v>
      </c>
      <c r="D724" s="83" t="s">
        <v>10305</v>
      </c>
      <c r="E724" s="83" t="s">
        <v>10860</v>
      </c>
      <c r="F724" s="92">
        <v>14.07</v>
      </c>
      <c r="G724" s="288" t="s">
        <v>5258</v>
      </c>
    </row>
    <row r="725" ht="15.75" customHeight="1">
      <c r="A725" s="224" t="s">
        <v>9228</v>
      </c>
      <c r="B725" s="224" t="s">
        <v>94</v>
      </c>
      <c r="C725" s="82" t="s">
        <v>10861</v>
      </c>
      <c r="D725" s="83" t="s">
        <v>10305</v>
      </c>
      <c r="E725" s="83" t="s">
        <v>10862</v>
      </c>
      <c r="F725" s="92">
        <v>43.75</v>
      </c>
      <c r="G725" s="288" t="s">
        <v>5258</v>
      </c>
    </row>
    <row r="726" ht="15.75" customHeight="1">
      <c r="A726" s="224" t="s">
        <v>9228</v>
      </c>
      <c r="B726" s="224" t="s">
        <v>94</v>
      </c>
      <c r="C726" s="82" t="s">
        <v>10863</v>
      </c>
      <c r="D726" s="83" t="s">
        <v>10305</v>
      </c>
      <c r="E726" s="83" t="s">
        <v>10864</v>
      </c>
      <c r="F726" s="92">
        <v>17.23</v>
      </c>
      <c r="G726" s="288" t="s">
        <v>5258</v>
      </c>
    </row>
    <row r="727" ht="15.75" customHeight="1">
      <c r="A727" s="224" t="s">
        <v>9228</v>
      </c>
      <c r="B727" s="224" t="s">
        <v>94</v>
      </c>
      <c r="C727" s="82" t="s">
        <v>10865</v>
      </c>
      <c r="D727" s="83"/>
      <c r="E727" s="83" t="s">
        <v>10866</v>
      </c>
      <c r="F727" s="92">
        <v>26.66</v>
      </c>
      <c r="G727" s="288" t="s">
        <v>5258</v>
      </c>
    </row>
    <row r="728" ht="15.75" customHeight="1">
      <c r="A728" s="483" t="s">
        <v>8566</v>
      </c>
      <c r="B728" s="483" t="s">
        <v>94</v>
      </c>
      <c r="C728" s="148" t="s">
        <v>10867</v>
      </c>
      <c r="D728" s="156" t="s">
        <v>10305</v>
      </c>
      <c r="E728" s="168" t="s">
        <v>10868</v>
      </c>
      <c r="F728" s="404">
        <v>5.66</v>
      </c>
      <c r="G728" s="288" t="s">
        <v>5698</v>
      </c>
    </row>
    <row r="729" ht="15.0" customHeight="1">
      <c r="A729" s="483" t="s">
        <v>8566</v>
      </c>
      <c r="B729" s="483" t="s">
        <v>94</v>
      </c>
      <c r="C729" s="148" t="s">
        <v>10869</v>
      </c>
      <c r="D729" s="156" t="s">
        <v>10305</v>
      </c>
      <c r="E729" s="168" t="s">
        <v>10868</v>
      </c>
      <c r="F729" s="404">
        <v>5.66</v>
      </c>
      <c r="G729" s="288" t="s">
        <v>5698</v>
      </c>
    </row>
    <row r="730" ht="15.75" customHeight="1">
      <c r="A730" s="483" t="s">
        <v>8566</v>
      </c>
      <c r="B730" s="483" t="s">
        <v>94</v>
      </c>
      <c r="C730" s="148" t="s">
        <v>10870</v>
      </c>
      <c r="D730" s="156" t="s">
        <v>10305</v>
      </c>
      <c r="E730" s="168" t="s">
        <v>10868</v>
      </c>
      <c r="F730" s="404">
        <v>5.66</v>
      </c>
      <c r="G730" s="288" t="s">
        <v>5698</v>
      </c>
    </row>
    <row r="731" ht="15.75" customHeight="1">
      <c r="A731" s="483" t="s">
        <v>8566</v>
      </c>
      <c r="B731" s="483" t="s">
        <v>52</v>
      </c>
      <c r="C731" s="148" t="s">
        <v>10871</v>
      </c>
      <c r="D731" s="156" t="s">
        <v>10305</v>
      </c>
      <c r="E731" s="168" t="s">
        <v>10868</v>
      </c>
      <c r="F731" s="404">
        <v>5.66</v>
      </c>
      <c r="G731" s="288" t="s">
        <v>5698</v>
      </c>
    </row>
    <row r="732" ht="15.75" customHeight="1">
      <c r="A732" s="483" t="s">
        <v>8566</v>
      </c>
      <c r="B732" s="483" t="s">
        <v>94</v>
      </c>
      <c r="C732" s="148" t="s">
        <v>10872</v>
      </c>
      <c r="D732" s="156" t="s">
        <v>10305</v>
      </c>
      <c r="E732" s="168" t="s">
        <v>10873</v>
      </c>
      <c r="F732" s="404">
        <v>4.66</v>
      </c>
      <c r="G732" s="288" t="s">
        <v>5698</v>
      </c>
    </row>
    <row r="733" ht="15.75" customHeight="1">
      <c r="A733" s="483" t="s">
        <v>8566</v>
      </c>
      <c r="B733" s="483" t="s">
        <v>52</v>
      </c>
      <c r="C733" s="148" t="s">
        <v>10874</v>
      </c>
      <c r="D733" s="156" t="s">
        <v>10305</v>
      </c>
      <c r="E733" s="168" t="s">
        <v>10875</v>
      </c>
      <c r="F733" s="404">
        <v>7.66</v>
      </c>
      <c r="G733" s="288" t="s">
        <v>5698</v>
      </c>
    </row>
    <row r="734" ht="15.75" customHeight="1">
      <c r="A734" s="483" t="s">
        <v>8566</v>
      </c>
      <c r="B734" s="483" t="s">
        <v>94</v>
      </c>
      <c r="C734" s="148" t="s">
        <v>10876</v>
      </c>
      <c r="D734" s="156" t="s">
        <v>10309</v>
      </c>
      <c r="E734" s="168" t="s">
        <v>10875</v>
      </c>
      <c r="F734" s="404">
        <v>7.66</v>
      </c>
      <c r="G734" s="288" t="s">
        <v>5698</v>
      </c>
    </row>
    <row r="735" ht="15.0" customHeight="1">
      <c r="A735" s="483" t="s">
        <v>8566</v>
      </c>
      <c r="B735" s="483" t="s">
        <v>94</v>
      </c>
      <c r="C735" s="148" t="s">
        <v>10877</v>
      </c>
      <c r="D735" s="156" t="s">
        <v>10309</v>
      </c>
      <c r="E735" s="168" t="s">
        <v>10878</v>
      </c>
      <c r="F735" s="404">
        <v>4.66</v>
      </c>
      <c r="G735" s="288" t="s">
        <v>5698</v>
      </c>
    </row>
    <row r="736" ht="15.0" customHeight="1">
      <c r="A736" s="483" t="s">
        <v>8566</v>
      </c>
      <c r="B736" s="483" t="s">
        <v>94</v>
      </c>
      <c r="C736" s="164" t="s">
        <v>10879</v>
      </c>
      <c r="D736" s="156" t="s">
        <v>10880</v>
      </c>
      <c r="E736" s="168" t="s">
        <v>10881</v>
      </c>
      <c r="F736" s="404">
        <v>2.33</v>
      </c>
      <c r="G736" s="288" t="s">
        <v>5698</v>
      </c>
    </row>
    <row r="737" ht="15.0" customHeight="1">
      <c r="A737" s="483" t="s">
        <v>8566</v>
      </c>
      <c r="B737" s="483" t="s">
        <v>94</v>
      </c>
      <c r="C737" s="164" t="s">
        <v>10882</v>
      </c>
      <c r="D737" s="156" t="s">
        <v>10883</v>
      </c>
      <c r="E737" s="168" t="s">
        <v>10884</v>
      </c>
      <c r="F737" s="404">
        <v>1.33</v>
      </c>
      <c r="G737" s="288" t="s">
        <v>5698</v>
      </c>
    </row>
    <row r="738" ht="15.0" customHeight="1">
      <c r="A738" s="483" t="s">
        <v>8566</v>
      </c>
      <c r="B738" s="483" t="s">
        <v>94</v>
      </c>
      <c r="C738" s="164" t="s">
        <v>10885</v>
      </c>
      <c r="D738" s="156" t="s">
        <v>10886</v>
      </c>
      <c r="E738" s="168" t="s">
        <v>10887</v>
      </c>
      <c r="F738" s="404">
        <v>3.33</v>
      </c>
      <c r="G738" s="288" t="s">
        <v>5698</v>
      </c>
    </row>
    <row r="739" ht="15.0" customHeight="1">
      <c r="A739" s="483" t="s">
        <v>8566</v>
      </c>
      <c r="B739" s="483" t="s">
        <v>94</v>
      </c>
      <c r="C739" s="164" t="s">
        <v>10888</v>
      </c>
      <c r="D739" s="156" t="s">
        <v>10886</v>
      </c>
      <c r="E739" s="168" t="s">
        <v>10889</v>
      </c>
      <c r="F739" s="404">
        <v>0.16</v>
      </c>
      <c r="G739" s="288" t="s">
        <v>5698</v>
      </c>
    </row>
    <row r="740" ht="15.75" customHeight="1">
      <c r="A740" s="483" t="s">
        <v>8566</v>
      </c>
      <c r="B740" s="224" t="s">
        <v>94</v>
      </c>
      <c r="C740" s="148" t="s">
        <v>10890</v>
      </c>
      <c r="D740" s="83" t="s">
        <v>10891</v>
      </c>
      <c r="E740" s="191" t="s">
        <v>10892</v>
      </c>
      <c r="F740" s="162">
        <v>16.0</v>
      </c>
      <c r="G740" s="288" t="s">
        <v>5698</v>
      </c>
    </row>
    <row r="741" ht="15.75" customHeight="1">
      <c r="A741" s="483" t="s">
        <v>8566</v>
      </c>
      <c r="B741" s="483" t="s">
        <v>94</v>
      </c>
      <c r="C741" s="164" t="s">
        <v>10893</v>
      </c>
      <c r="D741" s="156" t="s">
        <v>10894</v>
      </c>
      <c r="E741" s="168" t="s">
        <v>10895</v>
      </c>
      <c r="F741" s="404">
        <v>20.0</v>
      </c>
      <c r="G741" s="288" t="s">
        <v>5698</v>
      </c>
    </row>
    <row r="742" ht="15.0" customHeight="1">
      <c r="A742" s="224" t="s">
        <v>8961</v>
      </c>
      <c r="B742" s="224" t="s">
        <v>94</v>
      </c>
      <c r="C742" s="82" t="s">
        <v>10896</v>
      </c>
      <c r="D742" s="83" t="s">
        <v>10305</v>
      </c>
      <c r="E742" s="83" t="s">
        <v>10897</v>
      </c>
      <c r="F742" s="92">
        <v>14.33</v>
      </c>
      <c r="G742" s="288" t="s">
        <v>8578</v>
      </c>
    </row>
    <row r="743" ht="15.0" customHeight="1">
      <c r="A743" s="224" t="s">
        <v>8961</v>
      </c>
      <c r="B743" s="224" t="s">
        <v>94</v>
      </c>
      <c r="C743" s="82" t="s">
        <v>10898</v>
      </c>
      <c r="D743" s="83" t="s">
        <v>10305</v>
      </c>
      <c r="E743" s="83" t="s">
        <v>10899</v>
      </c>
      <c r="F743" s="92">
        <v>4.33</v>
      </c>
      <c r="G743" s="288" t="s">
        <v>8578</v>
      </c>
    </row>
    <row r="744" ht="15.0" customHeight="1">
      <c r="A744" s="224" t="s">
        <v>8961</v>
      </c>
      <c r="B744" s="224" t="s">
        <v>94</v>
      </c>
      <c r="C744" s="82" t="s">
        <v>10900</v>
      </c>
      <c r="D744" s="83" t="s">
        <v>10305</v>
      </c>
      <c r="E744" s="83" t="s">
        <v>10901</v>
      </c>
      <c r="F744" s="92">
        <v>8.0</v>
      </c>
      <c r="G744" s="288" t="s">
        <v>8578</v>
      </c>
    </row>
    <row r="745" ht="15.0" customHeight="1">
      <c r="A745" s="224" t="s">
        <v>8961</v>
      </c>
      <c r="B745" s="224" t="s">
        <v>94</v>
      </c>
      <c r="C745" s="82" t="s">
        <v>10902</v>
      </c>
      <c r="D745" s="83" t="s">
        <v>10305</v>
      </c>
      <c r="E745" s="83" t="s">
        <v>10903</v>
      </c>
      <c r="F745" s="92">
        <v>5.33</v>
      </c>
      <c r="G745" s="288" t="s">
        <v>8578</v>
      </c>
    </row>
    <row r="746" ht="15.0" customHeight="1">
      <c r="A746" s="224" t="s">
        <v>8961</v>
      </c>
      <c r="B746" s="224" t="s">
        <v>94</v>
      </c>
      <c r="C746" s="82" t="s">
        <v>10904</v>
      </c>
      <c r="D746" s="83" t="s">
        <v>10305</v>
      </c>
      <c r="E746" s="83" t="s">
        <v>10905</v>
      </c>
      <c r="F746" s="92">
        <v>6.0</v>
      </c>
      <c r="G746" s="288" t="s">
        <v>8578</v>
      </c>
    </row>
    <row r="747" ht="15.0" customHeight="1">
      <c r="A747" s="224" t="s">
        <v>8961</v>
      </c>
      <c r="B747" s="224" t="s">
        <v>94</v>
      </c>
      <c r="C747" s="82" t="s">
        <v>10906</v>
      </c>
      <c r="D747" s="83" t="s">
        <v>10305</v>
      </c>
      <c r="E747" s="83" t="s">
        <v>10905</v>
      </c>
      <c r="F747" s="92">
        <v>6.0</v>
      </c>
      <c r="G747" s="288" t="s">
        <v>8578</v>
      </c>
    </row>
    <row r="748" ht="15.0" customHeight="1">
      <c r="A748" s="224" t="s">
        <v>8961</v>
      </c>
      <c r="B748" s="224" t="s">
        <v>94</v>
      </c>
      <c r="C748" s="82" t="s">
        <v>10907</v>
      </c>
      <c r="D748" s="83" t="s">
        <v>10305</v>
      </c>
      <c r="E748" s="83" t="s">
        <v>10908</v>
      </c>
      <c r="F748" s="92">
        <v>7.33</v>
      </c>
      <c r="G748" s="288" t="s">
        <v>8578</v>
      </c>
    </row>
    <row r="749" ht="15.0" customHeight="1">
      <c r="A749" s="224" t="s">
        <v>8961</v>
      </c>
      <c r="B749" s="224" t="s">
        <v>94</v>
      </c>
      <c r="C749" s="82" t="s">
        <v>10907</v>
      </c>
      <c r="D749" s="83" t="s">
        <v>10305</v>
      </c>
      <c r="E749" s="83" t="s">
        <v>10908</v>
      </c>
      <c r="F749" s="92">
        <v>7.33</v>
      </c>
      <c r="G749" s="288" t="s">
        <v>8578</v>
      </c>
    </row>
    <row r="750" ht="15.0" customHeight="1">
      <c r="A750" s="224" t="s">
        <v>8961</v>
      </c>
      <c r="B750" s="224" t="s">
        <v>94</v>
      </c>
      <c r="C750" s="82" t="s">
        <v>10909</v>
      </c>
      <c r="D750" s="83" t="s">
        <v>10305</v>
      </c>
      <c r="E750" s="83" t="s">
        <v>10897</v>
      </c>
      <c r="F750" s="92">
        <v>14.33</v>
      </c>
      <c r="G750" s="288" t="s">
        <v>8578</v>
      </c>
    </row>
    <row r="751" ht="15.0" customHeight="1">
      <c r="A751" s="224" t="s">
        <v>8961</v>
      </c>
      <c r="B751" s="224" t="s">
        <v>94</v>
      </c>
      <c r="C751" s="82" t="s">
        <v>10910</v>
      </c>
      <c r="D751" s="83" t="s">
        <v>10305</v>
      </c>
      <c r="E751" s="83" t="s">
        <v>10897</v>
      </c>
      <c r="F751" s="92">
        <v>14.33</v>
      </c>
      <c r="G751" s="288" t="s">
        <v>8578</v>
      </c>
    </row>
    <row r="752" ht="15.0" customHeight="1">
      <c r="A752" s="224" t="s">
        <v>8961</v>
      </c>
      <c r="B752" s="224" t="s">
        <v>94</v>
      </c>
      <c r="C752" s="82" t="s">
        <v>10911</v>
      </c>
      <c r="D752" s="83" t="s">
        <v>10305</v>
      </c>
      <c r="E752" s="83" t="s">
        <v>10899</v>
      </c>
      <c r="F752" s="92">
        <v>4.33</v>
      </c>
      <c r="G752" s="288" t="s">
        <v>8578</v>
      </c>
    </row>
    <row r="753" ht="15.0" customHeight="1">
      <c r="A753" s="224" t="s">
        <v>8961</v>
      </c>
      <c r="B753" s="224" t="s">
        <v>94</v>
      </c>
      <c r="C753" s="82" t="s">
        <v>10912</v>
      </c>
      <c r="D753" s="83" t="s">
        <v>10305</v>
      </c>
      <c r="E753" s="83" t="s">
        <v>10901</v>
      </c>
      <c r="F753" s="92">
        <v>8.0</v>
      </c>
      <c r="G753" s="288" t="s">
        <v>8578</v>
      </c>
    </row>
    <row r="754" ht="15.0" customHeight="1">
      <c r="A754" s="224" t="s">
        <v>8961</v>
      </c>
      <c r="B754" s="224" t="s">
        <v>94</v>
      </c>
      <c r="C754" s="82" t="s">
        <v>10913</v>
      </c>
      <c r="D754" s="83" t="s">
        <v>10305</v>
      </c>
      <c r="E754" s="83" t="s">
        <v>10903</v>
      </c>
      <c r="F754" s="92">
        <v>5.33</v>
      </c>
      <c r="G754" s="288" t="s">
        <v>8578</v>
      </c>
    </row>
    <row r="755" ht="15.0" customHeight="1">
      <c r="A755" s="224" t="s">
        <v>8961</v>
      </c>
      <c r="B755" s="224" t="s">
        <v>94</v>
      </c>
      <c r="C755" s="82" t="s">
        <v>10914</v>
      </c>
      <c r="D755" s="83" t="s">
        <v>10305</v>
      </c>
      <c r="E755" s="83" t="s">
        <v>10905</v>
      </c>
      <c r="F755" s="92">
        <v>6.0</v>
      </c>
      <c r="G755" s="288" t="s">
        <v>8578</v>
      </c>
    </row>
    <row r="756" ht="15.0" customHeight="1">
      <c r="A756" s="224" t="s">
        <v>8961</v>
      </c>
      <c r="B756" s="224" t="s">
        <v>94</v>
      </c>
      <c r="C756" s="82" t="s">
        <v>10915</v>
      </c>
      <c r="D756" s="83" t="s">
        <v>10305</v>
      </c>
      <c r="E756" s="83" t="s">
        <v>10905</v>
      </c>
      <c r="F756" s="92">
        <v>6.0</v>
      </c>
      <c r="G756" s="288" t="s">
        <v>8578</v>
      </c>
    </row>
    <row r="757" ht="15.0" customHeight="1">
      <c r="A757" s="224" t="s">
        <v>8961</v>
      </c>
      <c r="B757" s="224" t="s">
        <v>94</v>
      </c>
      <c r="C757" s="82" t="s">
        <v>10916</v>
      </c>
      <c r="D757" s="83" t="s">
        <v>10305</v>
      </c>
      <c r="E757" s="83" t="s">
        <v>10908</v>
      </c>
      <c r="F757" s="92">
        <v>7.33</v>
      </c>
      <c r="G757" s="288" t="s">
        <v>8578</v>
      </c>
    </row>
    <row r="758" ht="15.0" customHeight="1">
      <c r="A758" s="224" t="s">
        <v>8961</v>
      </c>
      <c r="B758" s="224" t="s">
        <v>94</v>
      </c>
      <c r="C758" s="82" t="s">
        <v>10916</v>
      </c>
      <c r="D758" s="83" t="s">
        <v>10305</v>
      </c>
      <c r="E758" s="83" t="s">
        <v>10908</v>
      </c>
      <c r="F758" s="92">
        <v>7.33</v>
      </c>
      <c r="G758" s="288" t="s">
        <v>8578</v>
      </c>
    </row>
    <row r="759" ht="15.0" customHeight="1">
      <c r="A759" s="224" t="s">
        <v>8961</v>
      </c>
      <c r="B759" s="224" t="s">
        <v>94</v>
      </c>
      <c r="C759" s="82" t="s">
        <v>10917</v>
      </c>
      <c r="D759" s="83" t="s">
        <v>10305</v>
      </c>
      <c r="E759" s="83" t="s">
        <v>10897</v>
      </c>
      <c r="F759" s="92">
        <v>14.33</v>
      </c>
      <c r="G759" s="288" t="s">
        <v>8578</v>
      </c>
    </row>
    <row r="760" ht="15.0" customHeight="1">
      <c r="A760" s="224" t="s">
        <v>566</v>
      </c>
      <c r="B760" s="224" t="s">
        <v>182</v>
      </c>
      <c r="C760" s="82" t="s">
        <v>10918</v>
      </c>
      <c r="D760" s="83" t="s">
        <v>10305</v>
      </c>
      <c r="E760" s="83" t="s">
        <v>10919</v>
      </c>
      <c r="F760" s="92">
        <v>11.55</v>
      </c>
      <c r="G760" s="288" t="s">
        <v>566</v>
      </c>
    </row>
    <row r="761" ht="15.0" customHeight="1">
      <c r="A761" s="224" t="str">
        <f>$A$16</f>
        <v>Avrigean Eugen</v>
      </c>
      <c r="B761" s="224" t="str">
        <f>$B$16</f>
        <v>FING4</v>
      </c>
      <c r="C761" s="82" t="s">
        <v>10920</v>
      </c>
      <c r="D761" s="83" t="s">
        <v>10305</v>
      </c>
      <c r="E761" s="83" t="s">
        <v>10921</v>
      </c>
      <c r="F761" s="92">
        <v>11.55</v>
      </c>
      <c r="G761" s="288" t="s">
        <v>566</v>
      </c>
    </row>
    <row r="762" ht="15.0" customHeight="1">
      <c r="A762" s="224" t="str">
        <f t="shared" ref="A762:B762" si="87">A760</f>
        <v>Dumitrascu Danut</v>
      </c>
      <c r="B762" s="224" t="str">
        <f t="shared" si="87"/>
        <v>FING 3</v>
      </c>
      <c r="C762" s="82" t="s">
        <v>10922</v>
      </c>
      <c r="D762" s="83" t="s">
        <v>10305</v>
      </c>
      <c r="E762" s="83" t="s">
        <v>10923</v>
      </c>
      <c r="F762" s="92">
        <v>2.89</v>
      </c>
      <c r="G762" s="288" t="s">
        <v>566</v>
      </c>
    </row>
    <row r="763" ht="15.0" customHeight="1">
      <c r="A763" s="224" t="str">
        <f t="shared" ref="A763:B763" si="88">A760</f>
        <v>Dumitrascu Danut</v>
      </c>
      <c r="B763" s="224" t="str">
        <f t="shared" si="88"/>
        <v>FING 3</v>
      </c>
      <c r="C763" s="82" t="s">
        <v>10924</v>
      </c>
      <c r="D763" s="83" t="s">
        <v>10305</v>
      </c>
      <c r="E763" s="83" t="s">
        <v>10925</v>
      </c>
      <c r="F763" s="92">
        <v>1.17</v>
      </c>
      <c r="G763" s="288" t="s">
        <v>566</v>
      </c>
    </row>
    <row r="764" ht="15.0" customHeight="1">
      <c r="A764" s="224" t="str">
        <f t="shared" ref="A764:A765" si="89">$A$16</f>
        <v>Avrigean Eugen</v>
      </c>
      <c r="B764" s="224" t="str">
        <f t="shared" ref="B764:B765" si="90">$B$16</f>
        <v>FING4</v>
      </c>
      <c r="C764" s="347" t="s">
        <v>10926</v>
      </c>
      <c r="D764" s="83" t="s">
        <v>10305</v>
      </c>
      <c r="E764" s="92" t="s">
        <v>10927</v>
      </c>
      <c r="F764" s="92">
        <v>7.26</v>
      </c>
      <c r="G764" s="288" t="s">
        <v>566</v>
      </c>
    </row>
    <row r="765" ht="15.0" customHeight="1">
      <c r="A765" s="224" t="str">
        <f t="shared" si="89"/>
        <v>Avrigean Eugen</v>
      </c>
      <c r="B765" s="224" t="str">
        <f t="shared" si="90"/>
        <v>FING4</v>
      </c>
      <c r="C765" s="82" t="s">
        <v>10928</v>
      </c>
      <c r="D765" s="83" t="s">
        <v>10305</v>
      </c>
      <c r="E765" s="92" t="s">
        <v>10927</v>
      </c>
      <c r="F765" s="92">
        <v>7.26</v>
      </c>
      <c r="G765" s="288" t="s">
        <v>566</v>
      </c>
    </row>
    <row r="766" ht="15.0" customHeight="1">
      <c r="A766" s="224" t="str">
        <f t="shared" ref="A766:B766" si="91">A764</f>
        <v>Avrigean Eugen</v>
      </c>
      <c r="B766" s="224" t="str">
        <f t="shared" si="91"/>
        <v>FING4</v>
      </c>
      <c r="C766" s="82" t="s">
        <v>10929</v>
      </c>
      <c r="D766" s="83" t="s">
        <v>10305</v>
      </c>
      <c r="E766" s="83" t="s">
        <v>10930</v>
      </c>
      <c r="F766" s="92">
        <v>1.83</v>
      </c>
      <c r="G766" s="288" t="s">
        <v>566</v>
      </c>
    </row>
    <row r="767" ht="15.0" customHeight="1">
      <c r="A767" s="224" t="str">
        <f t="shared" ref="A767:B767" si="92">A764</f>
        <v>Avrigean Eugen</v>
      </c>
      <c r="B767" s="224" t="str">
        <f t="shared" si="92"/>
        <v>FING4</v>
      </c>
      <c r="C767" s="82" t="s">
        <v>10931</v>
      </c>
      <c r="D767" s="83" t="str">
        <f t="shared" ref="D767:D768" si="93">$D$16</f>
        <v>Titular</v>
      </c>
      <c r="E767" s="83" t="s">
        <v>10932</v>
      </c>
      <c r="F767" s="92">
        <v>0.73</v>
      </c>
      <c r="G767" s="288" t="s">
        <v>566</v>
      </c>
    </row>
    <row r="768" ht="15.0" customHeight="1">
      <c r="A768" s="224" t="str">
        <f>$A$16</f>
        <v>Avrigean Eugen</v>
      </c>
      <c r="B768" s="224" t="str">
        <f t="shared" ref="B768:B771" si="94">$B$16</f>
        <v>FING4</v>
      </c>
      <c r="C768" s="82" t="s">
        <v>10933</v>
      </c>
      <c r="D768" s="83" t="str">
        <f t="shared" si="93"/>
        <v>Titular</v>
      </c>
      <c r="E768" s="83" t="s">
        <v>10934</v>
      </c>
      <c r="F768" s="92">
        <v>9.57</v>
      </c>
      <c r="G768" s="288" t="s">
        <v>566</v>
      </c>
    </row>
    <row r="769" ht="15.0" customHeight="1">
      <c r="A769" s="224" t="s">
        <v>566</v>
      </c>
      <c r="B769" s="224" t="str">
        <f t="shared" si="94"/>
        <v>FING4</v>
      </c>
      <c r="C769" s="82" t="s">
        <v>10935</v>
      </c>
      <c r="D769" s="83" t="s">
        <v>10305</v>
      </c>
      <c r="E769" s="83" t="s">
        <v>10934</v>
      </c>
      <c r="F769" s="92">
        <v>9.57</v>
      </c>
      <c r="G769" s="288" t="s">
        <v>566</v>
      </c>
    </row>
    <row r="770" ht="15.0" customHeight="1">
      <c r="A770" s="224" t="s">
        <v>566</v>
      </c>
      <c r="B770" s="224" t="str">
        <f t="shared" si="94"/>
        <v>FING4</v>
      </c>
      <c r="C770" s="82" t="s">
        <v>10936</v>
      </c>
      <c r="D770" s="83" t="s">
        <v>10305</v>
      </c>
      <c r="E770" s="83" t="s">
        <v>10937</v>
      </c>
      <c r="F770" s="92">
        <v>2.42</v>
      </c>
      <c r="G770" s="288" t="s">
        <v>566</v>
      </c>
    </row>
    <row r="771" ht="15.0" customHeight="1">
      <c r="A771" s="416" t="str">
        <f>$A$16</f>
        <v>Avrigean Eugen</v>
      </c>
      <c r="B771" s="416" t="str">
        <f t="shared" si="94"/>
        <v>FING4</v>
      </c>
      <c r="C771" s="352" t="s">
        <v>10938</v>
      </c>
      <c r="D771" s="489" t="s">
        <v>10305</v>
      </c>
      <c r="E771" s="489" t="s">
        <v>10939</v>
      </c>
      <c r="F771" s="419">
        <v>0.97</v>
      </c>
      <c r="G771" s="288" t="s">
        <v>566</v>
      </c>
    </row>
    <row r="772" ht="15.0" customHeight="1">
      <c r="A772" s="224" t="str">
        <f t="shared" ref="A772:B772" si="95">A768</f>
        <v>Avrigean Eugen</v>
      </c>
      <c r="B772" s="224" t="str">
        <f t="shared" si="95"/>
        <v>FING4</v>
      </c>
      <c r="C772" s="82" t="s">
        <v>10940</v>
      </c>
      <c r="D772" s="83" t="str">
        <f>D760</f>
        <v>titular</v>
      </c>
      <c r="E772" s="83" t="str">
        <f t="shared" ref="E772:E775" si="97">E768</f>
        <v>29x0,33</v>
      </c>
      <c r="F772" s="92">
        <v>9.57</v>
      </c>
      <c r="G772" s="288" t="s">
        <v>566</v>
      </c>
    </row>
    <row r="773" ht="15.0" customHeight="1">
      <c r="A773" s="224" t="str">
        <f t="shared" ref="A773:B773" si="96">A769</f>
        <v>Dumitrascu Danut</v>
      </c>
      <c r="B773" s="224" t="str">
        <f t="shared" si="96"/>
        <v>FING4</v>
      </c>
      <c r="C773" s="82" t="s">
        <v>10941</v>
      </c>
      <c r="D773" s="83" t="str">
        <f>D764</f>
        <v>titular</v>
      </c>
      <c r="E773" s="83" t="str">
        <f t="shared" si="97"/>
        <v>29x0,33</v>
      </c>
      <c r="F773" s="92">
        <v>9.57</v>
      </c>
      <c r="G773" s="288" t="s">
        <v>566</v>
      </c>
    </row>
    <row r="774" ht="15.0" customHeight="1">
      <c r="A774" s="224" t="str">
        <f t="shared" ref="A774:B774" si="98">A770</f>
        <v>Dumitrascu Danut</v>
      </c>
      <c r="B774" s="224" t="str">
        <f t="shared" si="98"/>
        <v>FING4</v>
      </c>
      <c r="C774" s="82" t="s">
        <v>10942</v>
      </c>
      <c r="D774" s="83" t="str">
        <f>D761</f>
        <v>titular</v>
      </c>
      <c r="E774" s="83" t="str">
        <f t="shared" si="97"/>
        <v>0,25x29/3</v>
      </c>
      <c r="F774" s="92">
        <v>2.5</v>
      </c>
      <c r="G774" s="288" t="s">
        <v>566</v>
      </c>
    </row>
    <row r="775" ht="15.0" customHeight="1">
      <c r="A775" s="224" t="str">
        <f t="shared" ref="A775:B775" si="99">A771</f>
        <v>Avrigean Eugen</v>
      </c>
      <c r="B775" s="224" t="str">
        <f t="shared" si="99"/>
        <v>FING4</v>
      </c>
      <c r="C775" s="82" t="s">
        <v>10943</v>
      </c>
      <c r="D775" s="83" t="str">
        <f>D765</f>
        <v>titular</v>
      </c>
      <c r="E775" s="83" t="str">
        <f t="shared" si="97"/>
        <v>0,1x29/3</v>
      </c>
      <c r="F775" s="92">
        <v>0.97</v>
      </c>
      <c r="G775" s="288" t="s">
        <v>566</v>
      </c>
    </row>
    <row r="776" ht="15.0" customHeight="1">
      <c r="A776" s="224" t="str">
        <f t="shared" ref="A776:B776" si="100">A768</f>
        <v>Avrigean Eugen</v>
      </c>
      <c r="B776" s="224" t="str">
        <f t="shared" si="100"/>
        <v>FING4</v>
      </c>
      <c r="C776" s="82" t="s">
        <v>10944</v>
      </c>
      <c r="D776" s="83" t="str">
        <f>D760</f>
        <v>titular</v>
      </c>
      <c r="E776" s="92" t="s">
        <v>10945</v>
      </c>
      <c r="F776" s="92">
        <v>10.0</v>
      </c>
      <c r="G776" s="288" t="s">
        <v>566</v>
      </c>
    </row>
    <row r="777" ht="15.0" customHeight="1">
      <c r="A777" s="224" t="str">
        <f t="shared" ref="A777:B777" si="101">A769</f>
        <v>Dumitrascu Danut</v>
      </c>
      <c r="B777" s="224" t="str">
        <f t="shared" si="101"/>
        <v>FING4</v>
      </c>
      <c r="C777" s="82" t="s">
        <v>10946</v>
      </c>
      <c r="D777" s="83" t="str">
        <f>D764</f>
        <v>titular</v>
      </c>
      <c r="E777" s="92" t="s">
        <v>10945</v>
      </c>
      <c r="F777" s="92">
        <v>10.0</v>
      </c>
      <c r="G777" s="288" t="s">
        <v>566</v>
      </c>
    </row>
    <row r="778" ht="15.0" customHeight="1">
      <c r="A778" s="224" t="str">
        <f t="shared" ref="A778:B778" si="102">A770</f>
        <v>Dumitrascu Danut</v>
      </c>
      <c r="B778" s="224" t="str">
        <f t="shared" si="102"/>
        <v>FING4</v>
      </c>
      <c r="C778" s="82" t="s">
        <v>10947</v>
      </c>
      <c r="D778" s="83" t="str">
        <f>D761</f>
        <v>titular</v>
      </c>
      <c r="E778" s="83" t="s">
        <v>10948</v>
      </c>
      <c r="F778" s="92">
        <v>2.5</v>
      </c>
      <c r="G778" s="288" t="s">
        <v>566</v>
      </c>
    </row>
    <row r="779" ht="15.0" customHeight="1">
      <c r="A779" s="224" t="str">
        <f t="shared" ref="A779:B779" si="103">A771</f>
        <v>Avrigean Eugen</v>
      </c>
      <c r="B779" s="224" t="str">
        <f t="shared" si="103"/>
        <v>FING4</v>
      </c>
      <c r="C779" s="82" t="s">
        <v>10949</v>
      </c>
      <c r="D779" s="83" t="str">
        <f>D765</f>
        <v>titular</v>
      </c>
      <c r="E779" s="83" t="s">
        <v>10950</v>
      </c>
      <c r="F779" s="92">
        <v>1.0</v>
      </c>
      <c r="G779" s="288" t="s">
        <v>566</v>
      </c>
    </row>
    <row r="780" ht="15.0" customHeight="1">
      <c r="A780" s="224" t="s">
        <v>566</v>
      </c>
      <c r="B780" s="224" t="s">
        <v>182</v>
      </c>
      <c r="C780" s="82" t="s">
        <v>10951</v>
      </c>
      <c r="D780" s="83" t="s">
        <v>10952</v>
      </c>
      <c r="E780" s="83" t="s">
        <v>10953</v>
      </c>
      <c r="F780" s="92">
        <v>121.0</v>
      </c>
      <c r="G780" s="288" t="s">
        <v>566</v>
      </c>
    </row>
    <row r="781" ht="15.0" customHeight="1">
      <c r="A781" s="224" t="s">
        <v>566</v>
      </c>
      <c r="B781" s="224" t="s">
        <v>182</v>
      </c>
      <c r="C781" s="82" t="s">
        <v>10954</v>
      </c>
      <c r="D781" s="83" t="s">
        <v>10952</v>
      </c>
      <c r="E781" s="83" t="s">
        <v>10955</v>
      </c>
      <c r="F781" s="92">
        <v>12.0</v>
      </c>
      <c r="G781" s="288" t="s">
        <v>566</v>
      </c>
    </row>
    <row r="782" ht="15.0" customHeight="1">
      <c r="A782" s="224" t="s">
        <v>566</v>
      </c>
      <c r="B782" s="224" t="s">
        <v>182</v>
      </c>
      <c r="C782" s="82" t="s">
        <v>10956</v>
      </c>
      <c r="D782" s="83" t="s">
        <v>10957</v>
      </c>
      <c r="E782" s="83" t="s">
        <v>10958</v>
      </c>
      <c r="F782" s="92">
        <v>27.33</v>
      </c>
      <c r="G782" s="288" t="s">
        <v>566</v>
      </c>
    </row>
    <row r="783" ht="15.0" customHeight="1">
      <c r="A783" s="224" t="s">
        <v>566</v>
      </c>
      <c r="B783" s="224" t="s">
        <v>182</v>
      </c>
      <c r="C783" s="82" t="s">
        <v>10959</v>
      </c>
      <c r="D783" s="83" t="s">
        <v>10957</v>
      </c>
      <c r="E783" s="83" t="s">
        <v>10960</v>
      </c>
      <c r="F783" s="92">
        <v>22.67</v>
      </c>
      <c r="G783" s="288" t="s">
        <v>566</v>
      </c>
    </row>
    <row r="784" ht="15.0" customHeight="1">
      <c r="A784" s="224" t="s">
        <v>566</v>
      </c>
      <c r="B784" s="224" t="s">
        <v>182</v>
      </c>
      <c r="C784" s="82" t="s">
        <v>10961</v>
      </c>
      <c r="D784" s="83" t="s">
        <v>10957</v>
      </c>
      <c r="E784" s="83" t="s">
        <v>10962</v>
      </c>
      <c r="F784" s="92">
        <v>23.0</v>
      </c>
      <c r="G784" s="288" t="s">
        <v>566</v>
      </c>
    </row>
    <row r="785" ht="15.0" customHeight="1">
      <c r="A785" s="224" t="s">
        <v>566</v>
      </c>
      <c r="B785" s="224" t="s">
        <v>182</v>
      </c>
      <c r="C785" s="82" t="s">
        <v>10963</v>
      </c>
      <c r="D785" s="83" t="s">
        <v>10957</v>
      </c>
      <c r="E785" s="83" t="s">
        <v>10964</v>
      </c>
      <c r="F785" s="92">
        <v>15.0</v>
      </c>
      <c r="G785" s="288" t="s">
        <v>566</v>
      </c>
    </row>
    <row r="786" ht="15.0" customHeight="1">
      <c r="A786" s="224" t="s">
        <v>566</v>
      </c>
      <c r="B786" s="224" t="s">
        <v>182</v>
      </c>
      <c r="C786" s="82" t="s">
        <v>10965</v>
      </c>
      <c r="D786" s="83" t="s">
        <v>10952</v>
      </c>
      <c r="E786" s="83" t="s">
        <v>10964</v>
      </c>
      <c r="F786" s="92">
        <v>15.0</v>
      </c>
      <c r="G786" s="288" t="s">
        <v>566</v>
      </c>
    </row>
    <row r="787" ht="15.0" customHeight="1">
      <c r="A787" s="224" t="s">
        <v>2704</v>
      </c>
      <c r="B787" s="224"/>
      <c r="C787" s="82" t="s">
        <v>10966</v>
      </c>
      <c r="D787" s="83" t="s">
        <v>10046</v>
      </c>
      <c r="E787" s="83">
        <v>56.0</v>
      </c>
      <c r="F787" s="92">
        <f t="shared" ref="F787:F789" si="104">E787/3</f>
        <v>18.66666667</v>
      </c>
      <c r="G787" s="288" t="s">
        <v>2704</v>
      </c>
    </row>
    <row r="788" ht="15.0" customHeight="1">
      <c r="A788" s="224" t="s">
        <v>2704</v>
      </c>
      <c r="B788" s="224"/>
      <c r="C788" s="82" t="s">
        <v>10967</v>
      </c>
      <c r="D788" s="83" t="s">
        <v>10046</v>
      </c>
      <c r="E788" s="83">
        <v>56.0</v>
      </c>
      <c r="F788" s="92">
        <f t="shared" si="104"/>
        <v>18.66666667</v>
      </c>
      <c r="G788" s="288" t="s">
        <v>2704</v>
      </c>
    </row>
    <row r="789" ht="15.0" customHeight="1">
      <c r="A789" s="224" t="s">
        <v>2704</v>
      </c>
      <c r="B789" s="224"/>
      <c r="C789" s="82" t="s">
        <v>10968</v>
      </c>
      <c r="D789" s="83" t="s">
        <v>10046</v>
      </c>
      <c r="E789" s="83">
        <v>22.0</v>
      </c>
      <c r="F789" s="92">
        <f t="shared" si="104"/>
        <v>7.333333333</v>
      </c>
      <c r="G789" s="288" t="s">
        <v>2704</v>
      </c>
    </row>
    <row r="790" ht="15.0" customHeight="1">
      <c r="A790" s="224" t="s">
        <v>2704</v>
      </c>
      <c r="B790" s="224"/>
      <c r="C790" s="82" t="s">
        <v>10969</v>
      </c>
      <c r="D790" s="83" t="s">
        <v>10970</v>
      </c>
      <c r="E790" s="83">
        <v>22.0</v>
      </c>
      <c r="F790" s="92">
        <f>(E790/3)*0.5</f>
        <v>3.666666667</v>
      </c>
      <c r="G790" s="288" t="s">
        <v>2704</v>
      </c>
    </row>
    <row r="791" ht="15.0" customHeight="1">
      <c r="A791" s="224" t="s">
        <v>2704</v>
      </c>
      <c r="B791" s="224"/>
      <c r="C791" s="82" t="s">
        <v>10971</v>
      </c>
      <c r="D791" s="83" t="s">
        <v>10046</v>
      </c>
      <c r="E791" s="83">
        <v>56.0</v>
      </c>
      <c r="F791" s="92">
        <f t="shared" ref="F791:F792" si="105">E791/3</f>
        <v>18.66666667</v>
      </c>
      <c r="G791" s="288" t="s">
        <v>2704</v>
      </c>
    </row>
    <row r="792" ht="15.0" customHeight="1">
      <c r="A792" s="224" t="s">
        <v>2704</v>
      </c>
      <c r="B792" s="224"/>
      <c r="C792" s="82" t="s">
        <v>10972</v>
      </c>
      <c r="D792" s="83" t="s">
        <v>10046</v>
      </c>
      <c r="E792" s="83">
        <v>56.0</v>
      </c>
      <c r="F792" s="92">
        <f t="shared" si="105"/>
        <v>18.66666667</v>
      </c>
      <c r="G792" s="288" t="s">
        <v>2704</v>
      </c>
    </row>
    <row r="793" ht="15.0" customHeight="1">
      <c r="A793" s="224" t="s">
        <v>2704</v>
      </c>
      <c r="B793" s="224"/>
      <c r="C793" s="82" t="s">
        <v>10973</v>
      </c>
      <c r="D793" s="83" t="s">
        <v>10046</v>
      </c>
      <c r="E793" s="83">
        <v>56.0</v>
      </c>
      <c r="F793" s="92">
        <f>(E793/3)*0.25</f>
        <v>4.666666667</v>
      </c>
      <c r="G793" s="288" t="s">
        <v>2704</v>
      </c>
    </row>
    <row r="794" ht="15.0" customHeight="1">
      <c r="A794" s="224" t="s">
        <v>2704</v>
      </c>
      <c r="B794" s="224"/>
      <c r="C794" s="82" t="s">
        <v>10974</v>
      </c>
      <c r="D794" s="83" t="s">
        <v>10046</v>
      </c>
      <c r="E794" s="83">
        <v>35.0</v>
      </c>
      <c r="F794" s="92">
        <f>E794/3</f>
        <v>11.66666667</v>
      </c>
      <c r="G794" s="288" t="s">
        <v>2704</v>
      </c>
    </row>
    <row r="795" ht="15.0" customHeight="1">
      <c r="A795" s="224" t="s">
        <v>2704</v>
      </c>
      <c r="B795" s="224"/>
      <c r="C795" s="82" t="s">
        <v>10975</v>
      </c>
      <c r="D795" s="83" t="s">
        <v>10970</v>
      </c>
      <c r="E795" s="83">
        <v>35.0</v>
      </c>
      <c r="F795" s="92">
        <f>(E795/3)*0.5</f>
        <v>5.833333333</v>
      </c>
      <c r="G795" s="288" t="s">
        <v>2704</v>
      </c>
    </row>
    <row r="796" ht="15.0" customHeight="1">
      <c r="A796" s="224" t="s">
        <v>2704</v>
      </c>
      <c r="B796" s="224"/>
      <c r="C796" s="82" t="s">
        <v>10976</v>
      </c>
      <c r="D796" s="83" t="s">
        <v>10046</v>
      </c>
      <c r="E796" s="83">
        <v>35.0</v>
      </c>
      <c r="F796" s="92">
        <f>E796/3</f>
        <v>11.66666667</v>
      </c>
      <c r="G796" s="288" t="s">
        <v>2704</v>
      </c>
    </row>
    <row r="797" ht="15.0" customHeight="1">
      <c r="A797" s="224" t="s">
        <v>2704</v>
      </c>
      <c r="B797" s="224"/>
      <c r="C797" s="82" t="s">
        <v>10977</v>
      </c>
      <c r="D797" s="83" t="s">
        <v>10970</v>
      </c>
      <c r="E797" s="83">
        <v>35.0</v>
      </c>
      <c r="F797" s="92">
        <f>(E797/3)*0.5</f>
        <v>5.833333333</v>
      </c>
      <c r="G797" s="288" t="s">
        <v>2704</v>
      </c>
    </row>
    <row r="798" ht="15.0" customHeight="1">
      <c r="A798" s="224" t="s">
        <v>2704</v>
      </c>
      <c r="B798" s="224"/>
      <c r="C798" s="82" t="s">
        <v>10978</v>
      </c>
      <c r="D798" s="83" t="s">
        <v>10046</v>
      </c>
      <c r="E798" s="83">
        <v>14.0</v>
      </c>
      <c r="F798" s="92">
        <f>E798/3</f>
        <v>4.666666667</v>
      </c>
      <c r="G798" s="288" t="s">
        <v>2704</v>
      </c>
    </row>
    <row r="799" ht="15.0" customHeight="1">
      <c r="A799" s="224" t="s">
        <v>2704</v>
      </c>
      <c r="B799" s="224"/>
      <c r="C799" s="82" t="s">
        <v>10979</v>
      </c>
      <c r="D799" s="83" t="s">
        <v>8507</v>
      </c>
      <c r="E799" s="83">
        <v>16.0</v>
      </c>
      <c r="F799" s="92">
        <f>(E799*2)/3</f>
        <v>10.66666667</v>
      </c>
      <c r="G799" s="288" t="s">
        <v>2704</v>
      </c>
    </row>
    <row r="800" ht="15.0" customHeight="1">
      <c r="A800" s="224" t="s">
        <v>7901</v>
      </c>
      <c r="B800" s="224" t="s">
        <v>94</v>
      </c>
      <c r="C800" s="82" t="s">
        <v>10980</v>
      </c>
      <c r="D800" s="83" t="s">
        <v>10305</v>
      </c>
      <c r="E800" s="83" t="s">
        <v>10981</v>
      </c>
      <c r="F800" s="92">
        <f>64/3</f>
        <v>21.33333333</v>
      </c>
      <c r="G800" s="288" t="s">
        <v>590</v>
      </c>
    </row>
    <row r="801" ht="15.0" customHeight="1">
      <c r="A801" s="224" t="s">
        <v>7901</v>
      </c>
      <c r="B801" s="224" t="s">
        <v>94</v>
      </c>
      <c r="C801" s="82" t="s">
        <v>10982</v>
      </c>
      <c r="D801" s="83" t="s">
        <v>10305</v>
      </c>
      <c r="E801" s="83" t="s">
        <v>10983</v>
      </c>
      <c r="F801" s="92">
        <v>10.0</v>
      </c>
      <c r="G801" s="288" t="s">
        <v>590</v>
      </c>
    </row>
    <row r="802" ht="15.0" customHeight="1">
      <c r="A802" s="224" t="s">
        <v>7901</v>
      </c>
      <c r="B802" s="224" t="s">
        <v>94</v>
      </c>
      <c r="C802" s="82" t="s">
        <v>10984</v>
      </c>
      <c r="D802" s="83" t="s">
        <v>10305</v>
      </c>
      <c r="E802" s="83" t="s">
        <v>10983</v>
      </c>
      <c r="F802" s="92">
        <v>10.0</v>
      </c>
      <c r="G802" s="288" t="s">
        <v>590</v>
      </c>
    </row>
    <row r="803" ht="15.0" customHeight="1">
      <c r="A803" s="224" t="s">
        <v>7901</v>
      </c>
      <c r="B803" s="224" t="s">
        <v>94</v>
      </c>
      <c r="C803" s="82" t="s">
        <v>10985</v>
      </c>
      <c r="D803" s="83" t="s">
        <v>10305</v>
      </c>
      <c r="E803" s="83" t="s">
        <v>10986</v>
      </c>
      <c r="F803" s="92">
        <f>(135)/3*2</f>
        <v>90</v>
      </c>
      <c r="G803" s="288" t="s">
        <v>590</v>
      </c>
    </row>
    <row r="804" ht="15.0" customHeight="1">
      <c r="A804" s="224" t="s">
        <v>7901</v>
      </c>
      <c r="B804" s="224" t="s">
        <v>94</v>
      </c>
      <c r="C804" s="82" t="s">
        <v>10987</v>
      </c>
      <c r="D804" s="83" t="s">
        <v>10305</v>
      </c>
      <c r="E804" s="83" t="s">
        <v>10988</v>
      </c>
      <c r="F804" s="92">
        <f>(5)/3*3</f>
        <v>5</v>
      </c>
      <c r="G804" s="288" t="s">
        <v>590</v>
      </c>
    </row>
    <row r="805" ht="15.0" customHeight="1">
      <c r="A805" s="224" t="s">
        <v>7901</v>
      </c>
      <c r="B805" s="224" t="s">
        <v>94</v>
      </c>
      <c r="C805" s="82" t="s">
        <v>10989</v>
      </c>
      <c r="D805" s="83" t="s">
        <v>10305</v>
      </c>
      <c r="E805" s="83" t="s">
        <v>10990</v>
      </c>
      <c r="F805" s="92">
        <v>20.0</v>
      </c>
      <c r="G805" s="288" t="s">
        <v>590</v>
      </c>
    </row>
    <row r="806" ht="15.75" customHeight="1">
      <c r="A806" s="483" t="s">
        <v>8608</v>
      </c>
      <c r="B806" s="483" t="s">
        <v>94</v>
      </c>
      <c r="C806" s="148" t="s">
        <v>10991</v>
      </c>
      <c r="D806" s="156" t="s">
        <v>10305</v>
      </c>
      <c r="E806" s="168" t="s">
        <v>10992</v>
      </c>
      <c r="F806" s="151">
        <f>15/3</f>
        <v>5</v>
      </c>
      <c r="G806" s="288" t="s">
        <v>616</v>
      </c>
    </row>
    <row r="807" ht="15.75" customHeight="1">
      <c r="A807" s="483" t="s">
        <v>8608</v>
      </c>
      <c r="B807" s="483" t="s">
        <v>94</v>
      </c>
      <c r="C807" s="148" t="s">
        <v>10993</v>
      </c>
      <c r="D807" s="156" t="s">
        <v>10305</v>
      </c>
      <c r="E807" s="168" t="s">
        <v>10994</v>
      </c>
      <c r="F807" s="151">
        <f t="shared" ref="F807:F810" si="106">25/3</f>
        <v>8.333333333</v>
      </c>
      <c r="G807" s="288" t="s">
        <v>616</v>
      </c>
    </row>
    <row r="808" ht="15.75" customHeight="1">
      <c r="A808" s="483" t="s">
        <v>8608</v>
      </c>
      <c r="B808" s="483" t="s">
        <v>94</v>
      </c>
      <c r="C808" s="148" t="s">
        <v>10995</v>
      </c>
      <c r="D808" s="156" t="s">
        <v>10305</v>
      </c>
      <c r="E808" s="168" t="s">
        <v>10994</v>
      </c>
      <c r="F808" s="151">
        <f t="shared" si="106"/>
        <v>8.333333333</v>
      </c>
      <c r="G808" s="288" t="s">
        <v>616</v>
      </c>
    </row>
    <row r="809" ht="15.75" customHeight="1">
      <c r="A809" s="483" t="s">
        <v>8608</v>
      </c>
      <c r="B809" s="483" t="s">
        <v>94</v>
      </c>
      <c r="C809" s="148" t="s">
        <v>10996</v>
      </c>
      <c r="D809" s="156" t="s">
        <v>10305</v>
      </c>
      <c r="E809" s="168" t="s">
        <v>10994</v>
      </c>
      <c r="F809" s="151">
        <f t="shared" si="106"/>
        <v>8.333333333</v>
      </c>
      <c r="G809" s="288" t="s">
        <v>616</v>
      </c>
    </row>
    <row r="810" ht="15.75" customHeight="1">
      <c r="A810" s="483" t="s">
        <v>8608</v>
      </c>
      <c r="B810" s="483" t="s">
        <v>52</v>
      </c>
      <c r="C810" s="148" t="s">
        <v>10997</v>
      </c>
      <c r="D810" s="156" t="s">
        <v>10305</v>
      </c>
      <c r="E810" s="168" t="s">
        <v>10998</v>
      </c>
      <c r="F810" s="151">
        <f t="shared" si="106"/>
        <v>8.333333333</v>
      </c>
      <c r="G810" s="288" t="s">
        <v>616</v>
      </c>
    </row>
    <row r="811" ht="15.75" customHeight="1">
      <c r="A811" s="483" t="s">
        <v>8608</v>
      </c>
      <c r="B811" s="483" t="s">
        <v>94</v>
      </c>
      <c r="C811" s="148" t="s">
        <v>10999</v>
      </c>
      <c r="D811" s="156" t="s">
        <v>10309</v>
      </c>
      <c r="E811" s="168" t="s">
        <v>11000</v>
      </c>
      <c r="F811" s="151">
        <f>25/3*0.5</f>
        <v>4.166666667</v>
      </c>
      <c r="G811" s="288" t="s">
        <v>616</v>
      </c>
    </row>
    <row r="812" ht="15.75" customHeight="1">
      <c r="A812" s="483" t="s">
        <v>8608</v>
      </c>
      <c r="B812" s="483" t="s">
        <v>94</v>
      </c>
      <c r="C812" s="148" t="s">
        <v>11001</v>
      </c>
      <c r="D812" s="156" t="s">
        <v>10305</v>
      </c>
      <c r="E812" s="168" t="s">
        <v>10994</v>
      </c>
      <c r="F812" s="151">
        <v>1.8333333333333333</v>
      </c>
      <c r="G812" s="288" t="s">
        <v>616</v>
      </c>
    </row>
    <row r="813" ht="15.75" customHeight="1">
      <c r="A813" s="483" t="s">
        <v>8608</v>
      </c>
      <c r="B813" s="483" t="s">
        <v>94</v>
      </c>
      <c r="C813" s="148" t="s">
        <v>11002</v>
      </c>
      <c r="D813" s="156" t="s">
        <v>10309</v>
      </c>
      <c r="E813" s="168" t="s">
        <v>11003</v>
      </c>
      <c r="F813" s="151">
        <f>30/3*0.5</f>
        <v>5</v>
      </c>
      <c r="G813" s="288" t="s">
        <v>616</v>
      </c>
    </row>
    <row r="814" ht="15.75" customHeight="1">
      <c r="A814" s="483" t="s">
        <v>8608</v>
      </c>
      <c r="B814" s="483" t="s">
        <v>94</v>
      </c>
      <c r="C814" s="148" t="s">
        <v>11004</v>
      </c>
      <c r="D814" s="156" t="s">
        <v>10305</v>
      </c>
      <c r="E814" s="168" t="s">
        <v>11005</v>
      </c>
      <c r="F814" s="151">
        <f>11/3</f>
        <v>3.666666667</v>
      </c>
      <c r="G814" s="288" t="s">
        <v>616</v>
      </c>
    </row>
    <row r="815" ht="15.0" customHeight="1">
      <c r="A815" s="483" t="s">
        <v>8608</v>
      </c>
      <c r="B815" s="483" t="s">
        <v>94</v>
      </c>
      <c r="C815" s="148" t="s">
        <v>11006</v>
      </c>
      <c r="D815" s="156" t="s">
        <v>10305</v>
      </c>
      <c r="E815" s="168" t="s">
        <v>11007</v>
      </c>
      <c r="F815" s="151">
        <f>18/3</f>
        <v>6</v>
      </c>
      <c r="G815" s="288" t="s">
        <v>616</v>
      </c>
    </row>
    <row r="816" ht="15.0" customHeight="1">
      <c r="A816" s="483" t="s">
        <v>8608</v>
      </c>
      <c r="B816" s="483" t="s">
        <v>94</v>
      </c>
      <c r="C816" s="148" t="s">
        <v>11008</v>
      </c>
      <c r="D816" s="156" t="s">
        <v>10309</v>
      </c>
      <c r="E816" s="168" t="s">
        <v>11009</v>
      </c>
      <c r="F816" s="151">
        <f>41/3*0.5</f>
        <v>6.833333333</v>
      </c>
      <c r="G816" s="288" t="s">
        <v>616</v>
      </c>
    </row>
    <row r="817" ht="15.0" customHeight="1">
      <c r="A817" s="483" t="s">
        <v>8608</v>
      </c>
      <c r="B817" s="483" t="s">
        <v>94</v>
      </c>
      <c r="C817" s="148" t="s">
        <v>11010</v>
      </c>
      <c r="D817" s="156" t="s">
        <v>10309</v>
      </c>
      <c r="E817" s="168" t="s">
        <v>11011</v>
      </c>
      <c r="F817" s="151">
        <f>(11/3)*0.5</f>
        <v>1.833333333</v>
      </c>
      <c r="G817" s="288" t="s">
        <v>616</v>
      </c>
    </row>
    <row r="818" ht="15.0" customHeight="1">
      <c r="A818" s="483" t="s">
        <v>8608</v>
      </c>
      <c r="B818" s="483" t="s">
        <v>94</v>
      </c>
      <c r="C818" s="148" t="s">
        <v>11012</v>
      </c>
      <c r="D818" s="156" t="s">
        <v>10309</v>
      </c>
      <c r="E818" s="168" t="s">
        <v>11013</v>
      </c>
      <c r="F818" s="151">
        <f>26/3*0.5</f>
        <v>4.333333333</v>
      </c>
      <c r="G818" s="288" t="s">
        <v>616</v>
      </c>
    </row>
    <row r="819" ht="15.0" customHeight="1">
      <c r="A819" s="483" t="s">
        <v>8608</v>
      </c>
      <c r="B819" s="483" t="s">
        <v>94</v>
      </c>
      <c r="C819" s="148" t="s">
        <v>11014</v>
      </c>
      <c r="D819" s="156" t="s">
        <v>10309</v>
      </c>
      <c r="E819" s="168" t="s">
        <v>11015</v>
      </c>
      <c r="F819" s="151">
        <f>35/3*0.5</f>
        <v>5.833333333</v>
      </c>
      <c r="G819" s="288" t="s">
        <v>616</v>
      </c>
    </row>
    <row r="820" ht="15.0" customHeight="1">
      <c r="A820" s="483" t="s">
        <v>8608</v>
      </c>
      <c r="B820" s="483" t="s">
        <v>94</v>
      </c>
      <c r="C820" s="148" t="s">
        <v>11016</v>
      </c>
      <c r="D820" s="156" t="s">
        <v>10305</v>
      </c>
      <c r="E820" s="168" t="s">
        <v>11017</v>
      </c>
      <c r="F820" s="151">
        <f>46/3</f>
        <v>15.33333333</v>
      </c>
      <c r="G820" s="288" t="s">
        <v>616</v>
      </c>
    </row>
    <row r="821" ht="15.75" customHeight="1">
      <c r="A821" s="483" t="s">
        <v>8608</v>
      </c>
      <c r="B821" s="483" t="s">
        <v>94</v>
      </c>
      <c r="C821" s="148" t="s">
        <v>11018</v>
      </c>
      <c r="D821" s="156" t="s">
        <v>10309</v>
      </c>
      <c r="E821" s="168" t="s">
        <v>11019</v>
      </c>
      <c r="F821" s="151">
        <f>22/3*0.5</f>
        <v>3.666666667</v>
      </c>
      <c r="G821" s="288" t="s">
        <v>616</v>
      </c>
    </row>
    <row r="822" ht="15.75" customHeight="1">
      <c r="A822" s="483" t="s">
        <v>8608</v>
      </c>
      <c r="B822" s="483" t="s">
        <v>94</v>
      </c>
      <c r="C822" s="148" t="s">
        <v>11020</v>
      </c>
      <c r="D822" s="156" t="s">
        <v>10305</v>
      </c>
      <c r="E822" s="168" t="s">
        <v>11021</v>
      </c>
      <c r="F822" s="151">
        <f>(28/3)</f>
        <v>9.333333333</v>
      </c>
      <c r="G822" s="288" t="s">
        <v>616</v>
      </c>
    </row>
    <row r="823" ht="15.75" customHeight="1">
      <c r="A823" s="483" t="s">
        <v>8608</v>
      </c>
      <c r="B823" s="483" t="s">
        <v>94</v>
      </c>
      <c r="C823" s="148" t="s">
        <v>11022</v>
      </c>
      <c r="D823" s="156" t="s">
        <v>10309</v>
      </c>
      <c r="E823" s="168" t="s">
        <v>11019</v>
      </c>
      <c r="F823" s="151">
        <f>22/3*0.5</f>
        <v>3.666666667</v>
      </c>
      <c r="G823" s="288" t="s">
        <v>616</v>
      </c>
    </row>
    <row r="824" ht="15.75" customHeight="1">
      <c r="A824" s="483" t="s">
        <v>8608</v>
      </c>
      <c r="B824" s="483" t="s">
        <v>94</v>
      </c>
      <c r="C824" s="148" t="s">
        <v>11023</v>
      </c>
      <c r="D824" s="156" t="s">
        <v>10309</v>
      </c>
      <c r="E824" s="168" t="s">
        <v>11024</v>
      </c>
      <c r="F824" s="151">
        <f t="shared" ref="F824:F826" si="107">23/3*0.5</f>
        <v>3.833333333</v>
      </c>
      <c r="G824" s="288" t="s">
        <v>616</v>
      </c>
    </row>
    <row r="825" ht="15.75" customHeight="1">
      <c r="A825" s="483" t="s">
        <v>8608</v>
      </c>
      <c r="B825" s="483" t="s">
        <v>94</v>
      </c>
      <c r="C825" s="148" t="s">
        <v>11025</v>
      </c>
      <c r="D825" s="156" t="s">
        <v>10309</v>
      </c>
      <c r="E825" s="168" t="s">
        <v>11024</v>
      </c>
      <c r="F825" s="151">
        <f t="shared" si="107"/>
        <v>3.833333333</v>
      </c>
      <c r="G825" s="288" t="s">
        <v>616</v>
      </c>
    </row>
    <row r="826" ht="15.75" customHeight="1">
      <c r="A826" s="483" t="s">
        <v>8608</v>
      </c>
      <c r="B826" s="483" t="s">
        <v>94</v>
      </c>
      <c r="C826" s="148" t="s">
        <v>11026</v>
      </c>
      <c r="D826" s="156" t="s">
        <v>10309</v>
      </c>
      <c r="E826" s="168" t="s">
        <v>11024</v>
      </c>
      <c r="F826" s="151">
        <f t="shared" si="107"/>
        <v>3.833333333</v>
      </c>
      <c r="G826" s="288" t="s">
        <v>616</v>
      </c>
    </row>
    <row r="827" ht="15.75" customHeight="1">
      <c r="A827" s="483" t="s">
        <v>8608</v>
      </c>
      <c r="B827" s="483" t="s">
        <v>94</v>
      </c>
      <c r="C827" s="148" t="s">
        <v>11027</v>
      </c>
      <c r="D827" s="156" t="s">
        <v>10309</v>
      </c>
      <c r="E827" s="168" t="s">
        <v>11028</v>
      </c>
      <c r="F827" s="151">
        <f>(29/3)*0.5</f>
        <v>4.833333333</v>
      </c>
      <c r="G827" s="288" t="s">
        <v>616</v>
      </c>
    </row>
    <row r="828" ht="15.0" customHeight="1">
      <c r="A828" s="483" t="s">
        <v>8608</v>
      </c>
      <c r="B828" s="483" t="s">
        <v>94</v>
      </c>
      <c r="C828" s="148" t="s">
        <v>11029</v>
      </c>
      <c r="D828" s="156" t="s">
        <v>10309</v>
      </c>
      <c r="E828" s="168" t="s">
        <v>11030</v>
      </c>
      <c r="F828" s="151">
        <f>16/3*0.5</f>
        <v>2.666666667</v>
      </c>
      <c r="G828" s="288" t="s">
        <v>616</v>
      </c>
    </row>
    <row r="829" ht="15.0" customHeight="1">
      <c r="A829" s="483" t="s">
        <v>8608</v>
      </c>
      <c r="B829" s="483" t="s">
        <v>94</v>
      </c>
      <c r="C829" s="148" t="s">
        <v>11031</v>
      </c>
      <c r="D829" s="156" t="s">
        <v>10309</v>
      </c>
      <c r="E829" s="168" t="s">
        <v>11019</v>
      </c>
      <c r="F829" s="151">
        <f>22/3*0.5</f>
        <v>3.666666667</v>
      </c>
      <c r="G829" s="288" t="s">
        <v>616</v>
      </c>
    </row>
    <row r="830" ht="15.75" customHeight="1">
      <c r="A830" s="483" t="s">
        <v>8608</v>
      </c>
      <c r="B830" s="483" t="s">
        <v>94</v>
      </c>
      <c r="C830" s="164" t="s">
        <v>11032</v>
      </c>
      <c r="D830" s="156" t="s">
        <v>10309</v>
      </c>
      <c r="E830" s="168" t="s">
        <v>11033</v>
      </c>
      <c r="F830" s="151">
        <f>18/3*0.5</f>
        <v>3</v>
      </c>
      <c r="G830" s="288" t="s">
        <v>616</v>
      </c>
    </row>
    <row r="831" ht="15.0" customHeight="1">
      <c r="A831" s="483" t="s">
        <v>8608</v>
      </c>
      <c r="B831" s="483" t="s">
        <v>94</v>
      </c>
      <c r="C831" s="164" t="s">
        <v>11034</v>
      </c>
      <c r="D831" s="156" t="s">
        <v>11035</v>
      </c>
      <c r="E831" s="168" t="s">
        <v>11036</v>
      </c>
      <c r="F831" s="151">
        <f>1/3*2</f>
        <v>0.6666666667</v>
      </c>
      <c r="G831" s="288" t="s">
        <v>616</v>
      </c>
    </row>
    <row r="832" ht="15.0" customHeight="1">
      <c r="A832" s="483" t="s">
        <v>8608</v>
      </c>
      <c r="B832" s="483" t="s">
        <v>94</v>
      </c>
      <c r="C832" s="164" t="s">
        <v>11037</v>
      </c>
      <c r="D832" s="156" t="s">
        <v>11035</v>
      </c>
      <c r="E832" s="168" t="s">
        <v>11038</v>
      </c>
      <c r="F832" s="151">
        <f>(21/3)*2</f>
        <v>14</v>
      </c>
      <c r="G832" s="288" t="s">
        <v>616</v>
      </c>
    </row>
    <row r="833" ht="15.0" customHeight="1">
      <c r="A833" s="483" t="s">
        <v>8608</v>
      </c>
      <c r="B833" s="483" t="s">
        <v>94</v>
      </c>
      <c r="C833" s="164" t="s">
        <v>11039</v>
      </c>
      <c r="D833" s="156" t="s">
        <v>11040</v>
      </c>
      <c r="E833" s="168" t="s">
        <v>10881</v>
      </c>
      <c r="F833" s="151">
        <f>14/3*2</f>
        <v>9.333333333</v>
      </c>
      <c r="G833" s="288" t="s">
        <v>616</v>
      </c>
    </row>
    <row r="834" ht="15.0" customHeight="1">
      <c r="A834" s="483" t="s">
        <v>8608</v>
      </c>
      <c r="B834" s="483" t="s">
        <v>94</v>
      </c>
      <c r="C834" s="164" t="s">
        <v>11041</v>
      </c>
      <c r="D834" s="156" t="s">
        <v>11042</v>
      </c>
      <c r="E834" s="168" t="s">
        <v>10889</v>
      </c>
      <c r="F834" s="151">
        <f>1/3*3</f>
        <v>1</v>
      </c>
      <c r="G834" s="288" t="s">
        <v>616</v>
      </c>
    </row>
    <row r="835" ht="15.0" customHeight="1">
      <c r="A835" s="483" t="s">
        <v>8608</v>
      </c>
      <c r="B835" s="483" t="s">
        <v>94</v>
      </c>
      <c r="C835" s="164" t="s">
        <v>11043</v>
      </c>
      <c r="D835" s="156" t="s">
        <v>11042</v>
      </c>
      <c r="E835" s="168" t="s">
        <v>11044</v>
      </c>
      <c r="F835" s="151">
        <f>(11/3)*3</f>
        <v>11</v>
      </c>
      <c r="G835" s="288" t="s">
        <v>616</v>
      </c>
    </row>
    <row r="836" ht="15.0" customHeight="1">
      <c r="A836" s="483" t="s">
        <v>8608</v>
      </c>
      <c r="B836" s="483" t="s">
        <v>94</v>
      </c>
      <c r="C836" s="164" t="s">
        <v>11045</v>
      </c>
      <c r="D836" s="156" t="s">
        <v>11046</v>
      </c>
      <c r="E836" s="168" t="s">
        <v>11047</v>
      </c>
      <c r="F836" s="151">
        <f>(3/3)*3</f>
        <v>3</v>
      </c>
      <c r="G836" s="288" t="s">
        <v>616</v>
      </c>
    </row>
    <row r="837" ht="15.0" customHeight="1">
      <c r="A837" s="483" t="s">
        <v>8608</v>
      </c>
      <c r="B837" s="483" t="s">
        <v>94</v>
      </c>
      <c r="C837" s="164" t="s">
        <v>11048</v>
      </c>
      <c r="D837" s="156" t="s">
        <v>11046</v>
      </c>
      <c r="E837" s="168" t="s">
        <v>11049</v>
      </c>
      <c r="F837" s="151">
        <f>(21/3)*3</f>
        <v>21</v>
      </c>
      <c r="G837" s="288" t="s">
        <v>616</v>
      </c>
    </row>
    <row r="838" ht="15.0" customHeight="1">
      <c r="A838" s="483" t="s">
        <v>8608</v>
      </c>
      <c r="B838" s="483" t="s">
        <v>94</v>
      </c>
      <c r="C838" s="164" t="s">
        <v>11050</v>
      </c>
      <c r="D838" s="156" t="s">
        <v>11051</v>
      </c>
      <c r="E838" s="168" t="s">
        <v>10889</v>
      </c>
      <c r="F838" s="151">
        <f>1/3*3</f>
        <v>1</v>
      </c>
      <c r="G838" s="288" t="s">
        <v>616</v>
      </c>
    </row>
    <row r="839" ht="15.75" customHeight="1">
      <c r="A839" s="224" t="s">
        <v>8608</v>
      </c>
      <c r="B839" s="224" t="s">
        <v>94</v>
      </c>
      <c r="C839" s="148" t="s">
        <v>11052</v>
      </c>
      <c r="D839" s="83" t="s">
        <v>11053</v>
      </c>
      <c r="E839" s="191" t="s">
        <v>11054</v>
      </c>
      <c r="F839" s="92">
        <v>13.33</v>
      </c>
      <c r="G839" s="288" t="s">
        <v>616</v>
      </c>
    </row>
    <row r="840" ht="15.75" customHeight="1">
      <c r="A840" s="224" t="s">
        <v>8608</v>
      </c>
      <c r="B840" s="224" t="s">
        <v>94</v>
      </c>
      <c r="C840" s="148" t="s">
        <v>11055</v>
      </c>
      <c r="D840" s="83" t="s">
        <v>11053</v>
      </c>
      <c r="E840" s="191" t="s">
        <v>11056</v>
      </c>
      <c r="F840" s="92">
        <v>12.67</v>
      </c>
      <c r="G840" s="288" t="s">
        <v>616</v>
      </c>
    </row>
    <row r="841" ht="15.75" customHeight="1">
      <c r="A841" s="483" t="s">
        <v>8608</v>
      </c>
      <c r="B841" s="483" t="s">
        <v>94</v>
      </c>
      <c r="C841" s="164" t="s">
        <v>11057</v>
      </c>
      <c r="D841" s="156" t="s">
        <v>11058</v>
      </c>
      <c r="E841" s="168" t="s">
        <v>11059</v>
      </c>
      <c r="F841" s="151">
        <v>42.67</v>
      </c>
      <c r="G841" s="288" t="s">
        <v>616</v>
      </c>
    </row>
    <row r="842" ht="15.75" customHeight="1">
      <c r="A842" s="224" t="s">
        <v>8608</v>
      </c>
      <c r="B842" s="224" t="s">
        <v>94</v>
      </c>
      <c r="C842" s="148" t="s">
        <v>11055</v>
      </c>
      <c r="D842" s="83" t="s">
        <v>11053</v>
      </c>
      <c r="E842" s="191" t="s">
        <v>11056</v>
      </c>
      <c r="F842" s="92">
        <v>78.0</v>
      </c>
      <c r="G842" s="288" t="s">
        <v>616</v>
      </c>
    </row>
    <row r="843" ht="15.75" customHeight="1">
      <c r="A843" s="483" t="s">
        <v>8608</v>
      </c>
      <c r="B843" s="483" t="s">
        <v>94</v>
      </c>
      <c r="C843" s="164" t="s">
        <v>11057</v>
      </c>
      <c r="D843" s="156" t="s">
        <v>11058</v>
      </c>
      <c r="E843" s="168" t="s">
        <v>11059</v>
      </c>
      <c r="F843" s="151">
        <v>20.0</v>
      </c>
      <c r="G843" s="288" t="s">
        <v>616</v>
      </c>
    </row>
    <row r="844" ht="15.0" customHeight="1">
      <c r="A844" s="224" t="s">
        <v>2853</v>
      </c>
      <c r="B844" s="224" t="s">
        <v>94</v>
      </c>
      <c r="C844" s="82" t="s">
        <v>11060</v>
      </c>
      <c r="D844" s="83" t="s">
        <v>10305</v>
      </c>
      <c r="E844" s="83" t="s">
        <v>10897</v>
      </c>
      <c r="F844" s="92">
        <v>14.33</v>
      </c>
      <c r="G844" s="288" t="s">
        <v>2853</v>
      </c>
    </row>
    <row r="845" ht="15.0" customHeight="1">
      <c r="A845" s="224" t="s">
        <v>2853</v>
      </c>
      <c r="B845" s="224" t="s">
        <v>94</v>
      </c>
      <c r="C845" s="82" t="s">
        <v>11061</v>
      </c>
      <c r="D845" s="83" t="s">
        <v>10305</v>
      </c>
      <c r="E845" s="83" t="s">
        <v>10899</v>
      </c>
      <c r="F845" s="92">
        <v>4.33</v>
      </c>
      <c r="G845" s="288" t="s">
        <v>2853</v>
      </c>
    </row>
    <row r="846" ht="15.0" customHeight="1">
      <c r="A846" s="224" t="s">
        <v>2853</v>
      </c>
      <c r="B846" s="224" t="s">
        <v>94</v>
      </c>
      <c r="C846" s="82" t="s">
        <v>11062</v>
      </c>
      <c r="D846" s="83" t="s">
        <v>10305</v>
      </c>
      <c r="E846" s="83" t="s">
        <v>10897</v>
      </c>
      <c r="F846" s="92">
        <v>14.33</v>
      </c>
      <c r="G846" s="288" t="s">
        <v>2853</v>
      </c>
    </row>
    <row r="847" ht="15.0" customHeight="1">
      <c r="A847" s="224" t="s">
        <v>2853</v>
      </c>
      <c r="B847" s="224" t="s">
        <v>94</v>
      </c>
      <c r="C847" s="82" t="s">
        <v>11063</v>
      </c>
      <c r="D847" s="83" t="s">
        <v>10305</v>
      </c>
      <c r="E847" s="83" t="s">
        <v>10899</v>
      </c>
      <c r="F847" s="92">
        <v>4.33</v>
      </c>
      <c r="G847" s="288" t="s">
        <v>2853</v>
      </c>
    </row>
    <row r="848" ht="15.0" customHeight="1">
      <c r="A848" s="224" t="s">
        <v>2853</v>
      </c>
      <c r="B848" s="224" t="s">
        <v>94</v>
      </c>
      <c r="C848" s="82" t="s">
        <v>11064</v>
      </c>
      <c r="D848" s="83" t="s">
        <v>10305</v>
      </c>
      <c r="E848" s="83" t="s">
        <v>11065</v>
      </c>
      <c r="F848" s="92">
        <v>3.58</v>
      </c>
      <c r="G848" s="288" t="s">
        <v>2853</v>
      </c>
    </row>
    <row r="849" ht="15.0" customHeight="1">
      <c r="A849" s="224" t="s">
        <v>2853</v>
      </c>
      <c r="B849" s="224" t="s">
        <v>94</v>
      </c>
      <c r="C849" s="82" t="s">
        <v>11066</v>
      </c>
      <c r="D849" s="83" t="s">
        <v>10305</v>
      </c>
      <c r="E849" s="83" t="s">
        <v>11067</v>
      </c>
      <c r="F849" s="92">
        <v>1.43</v>
      </c>
      <c r="G849" s="288" t="s">
        <v>2853</v>
      </c>
    </row>
    <row r="850" ht="15.0" customHeight="1">
      <c r="A850" s="224" t="s">
        <v>2853</v>
      </c>
      <c r="B850" s="224" t="s">
        <v>94</v>
      </c>
      <c r="C850" s="82" t="s">
        <v>11068</v>
      </c>
      <c r="D850" s="83" t="s">
        <v>10305</v>
      </c>
      <c r="E850" s="83" t="s">
        <v>11069</v>
      </c>
      <c r="F850" s="92">
        <v>1.08</v>
      </c>
      <c r="G850" s="288" t="s">
        <v>2853</v>
      </c>
    </row>
    <row r="851" ht="15.0" customHeight="1">
      <c r="A851" s="224" t="s">
        <v>2853</v>
      </c>
      <c r="B851" s="224" t="s">
        <v>94</v>
      </c>
      <c r="C851" s="82" t="s">
        <v>11070</v>
      </c>
      <c r="D851" s="83" t="s">
        <v>10305</v>
      </c>
      <c r="E851" s="83" t="s">
        <v>11071</v>
      </c>
      <c r="F851" s="92">
        <v>0.43</v>
      </c>
      <c r="G851" s="288" t="s">
        <v>2853</v>
      </c>
    </row>
    <row r="852" ht="15.0" customHeight="1">
      <c r="A852" s="224" t="s">
        <v>2853</v>
      </c>
      <c r="B852" s="224" t="s">
        <v>94</v>
      </c>
      <c r="C852" s="82" t="s">
        <v>11072</v>
      </c>
      <c r="D852" s="83" t="s">
        <v>10305</v>
      </c>
      <c r="E852" s="83" t="s">
        <v>11073</v>
      </c>
      <c r="F852" s="92">
        <v>9.0</v>
      </c>
      <c r="G852" s="288" t="s">
        <v>2853</v>
      </c>
    </row>
    <row r="853" ht="15.0" customHeight="1">
      <c r="A853" s="224" t="s">
        <v>2853</v>
      </c>
      <c r="B853" s="224" t="s">
        <v>94</v>
      </c>
      <c r="C853" s="82" t="s">
        <v>11074</v>
      </c>
      <c r="D853" s="83" t="s">
        <v>10305</v>
      </c>
      <c r="E853" s="83" t="s">
        <v>11073</v>
      </c>
      <c r="F853" s="92">
        <v>9.0</v>
      </c>
      <c r="G853" s="288" t="s">
        <v>2853</v>
      </c>
    </row>
    <row r="854" ht="15.0" customHeight="1">
      <c r="A854" s="224" t="s">
        <v>2853</v>
      </c>
      <c r="B854" s="224" t="s">
        <v>94</v>
      </c>
      <c r="C854" s="82" t="s">
        <v>11075</v>
      </c>
      <c r="D854" s="83" t="s">
        <v>10305</v>
      </c>
      <c r="E854" s="83" t="s">
        <v>11076</v>
      </c>
      <c r="F854" s="92">
        <v>2.25</v>
      </c>
      <c r="G854" s="288" t="s">
        <v>2853</v>
      </c>
    </row>
    <row r="855" ht="15.0" customHeight="1">
      <c r="A855" s="224" t="s">
        <v>2853</v>
      </c>
      <c r="B855" s="224" t="s">
        <v>94</v>
      </c>
      <c r="C855" s="82" t="s">
        <v>11077</v>
      </c>
      <c r="D855" s="83" t="s">
        <v>10305</v>
      </c>
      <c r="E855" s="83" t="s">
        <v>11078</v>
      </c>
      <c r="F855" s="92">
        <v>0.9</v>
      </c>
      <c r="G855" s="288" t="s">
        <v>2853</v>
      </c>
    </row>
    <row r="856" ht="15.0" customHeight="1">
      <c r="A856" s="224" t="s">
        <v>2853</v>
      </c>
      <c r="B856" s="224" t="s">
        <v>94</v>
      </c>
      <c r="C856" s="82" t="s">
        <v>11079</v>
      </c>
      <c r="D856" s="83" t="s">
        <v>10305</v>
      </c>
      <c r="E856" s="83" t="s">
        <v>11080</v>
      </c>
      <c r="F856" s="92">
        <v>10.0</v>
      </c>
      <c r="G856" s="288" t="s">
        <v>2853</v>
      </c>
    </row>
    <row r="857" ht="15.0" customHeight="1">
      <c r="A857" s="224" t="s">
        <v>2853</v>
      </c>
      <c r="B857" s="224" t="s">
        <v>94</v>
      </c>
      <c r="C857" s="82" t="s">
        <v>11081</v>
      </c>
      <c r="D857" s="83" t="s">
        <v>10305</v>
      </c>
      <c r="E857" s="83" t="s">
        <v>11080</v>
      </c>
      <c r="F857" s="92">
        <v>10.0</v>
      </c>
      <c r="G857" s="288" t="s">
        <v>2853</v>
      </c>
    </row>
    <row r="858" ht="15.0" customHeight="1">
      <c r="A858" s="224" t="s">
        <v>2853</v>
      </c>
      <c r="B858" s="224" t="s">
        <v>94</v>
      </c>
      <c r="C858" s="82" t="s">
        <v>11082</v>
      </c>
      <c r="D858" s="83" t="s">
        <v>10305</v>
      </c>
      <c r="E858" s="83" t="s">
        <v>11083</v>
      </c>
      <c r="F858" s="92">
        <v>2.5</v>
      </c>
      <c r="G858" s="288" t="s">
        <v>2853</v>
      </c>
    </row>
    <row r="859" ht="15.0" customHeight="1">
      <c r="A859" s="224" t="s">
        <v>2853</v>
      </c>
      <c r="B859" s="224" t="s">
        <v>94</v>
      </c>
      <c r="C859" s="82" t="s">
        <v>11084</v>
      </c>
      <c r="D859" s="83" t="s">
        <v>10305</v>
      </c>
      <c r="E859" s="83" t="s">
        <v>11085</v>
      </c>
      <c r="F859" s="92">
        <v>1.0</v>
      </c>
      <c r="G859" s="288" t="s">
        <v>2853</v>
      </c>
    </row>
    <row r="860" ht="15.0" customHeight="1">
      <c r="A860" s="224" t="s">
        <v>2853</v>
      </c>
      <c r="B860" s="224" t="s">
        <v>94</v>
      </c>
      <c r="C860" s="82" t="s">
        <v>11086</v>
      </c>
      <c r="D860" s="83" t="s">
        <v>10305</v>
      </c>
      <c r="E860" s="83" t="s">
        <v>11087</v>
      </c>
      <c r="F860" s="92">
        <v>17.67</v>
      </c>
      <c r="G860" s="288" t="s">
        <v>2853</v>
      </c>
    </row>
    <row r="861" ht="15.0" customHeight="1">
      <c r="A861" s="224" t="s">
        <v>2853</v>
      </c>
      <c r="B861" s="224" t="s">
        <v>94</v>
      </c>
      <c r="C861" s="82" t="s">
        <v>11088</v>
      </c>
      <c r="D861" s="83" t="s">
        <v>10305</v>
      </c>
      <c r="E861" s="83" t="s">
        <v>11087</v>
      </c>
      <c r="F861" s="92">
        <v>17.67</v>
      </c>
      <c r="G861" s="288" t="s">
        <v>2853</v>
      </c>
    </row>
    <row r="862" ht="15.0" customHeight="1">
      <c r="A862" s="224" t="s">
        <v>2853</v>
      </c>
      <c r="B862" s="224" t="s">
        <v>94</v>
      </c>
      <c r="C862" s="82" t="s">
        <v>11089</v>
      </c>
      <c r="D862" s="83" t="s">
        <v>10305</v>
      </c>
      <c r="E862" s="83" t="s">
        <v>11090</v>
      </c>
      <c r="F862" s="92">
        <v>4.42</v>
      </c>
      <c r="G862" s="288" t="s">
        <v>2853</v>
      </c>
    </row>
    <row r="863" ht="15.0" customHeight="1">
      <c r="A863" s="224" t="s">
        <v>2853</v>
      </c>
      <c r="B863" s="224" t="s">
        <v>94</v>
      </c>
      <c r="C863" s="82" t="s">
        <v>11091</v>
      </c>
      <c r="D863" s="83" t="s">
        <v>10305</v>
      </c>
      <c r="E863" s="83" t="s">
        <v>11092</v>
      </c>
      <c r="F863" s="92">
        <v>1.77</v>
      </c>
      <c r="G863" s="288" t="s">
        <v>2853</v>
      </c>
    </row>
    <row r="864" ht="15.0" customHeight="1">
      <c r="A864" s="224" t="s">
        <v>2853</v>
      </c>
      <c r="B864" s="224" t="s">
        <v>94</v>
      </c>
      <c r="C864" s="82" t="s">
        <v>11093</v>
      </c>
      <c r="D864" s="83" t="s">
        <v>10305</v>
      </c>
      <c r="E864" s="83" t="s">
        <v>11094</v>
      </c>
      <c r="F864" s="92">
        <v>7.0</v>
      </c>
      <c r="G864" s="288" t="s">
        <v>2853</v>
      </c>
    </row>
    <row r="865" ht="15.0" customHeight="1">
      <c r="A865" s="224" t="s">
        <v>2853</v>
      </c>
      <c r="B865" s="224" t="s">
        <v>94</v>
      </c>
      <c r="C865" s="82" t="s">
        <v>11095</v>
      </c>
      <c r="D865" s="83" t="s">
        <v>10305</v>
      </c>
      <c r="E865" s="83" t="s">
        <v>11094</v>
      </c>
      <c r="F865" s="92">
        <v>7.0</v>
      </c>
      <c r="G865" s="288" t="s">
        <v>2853</v>
      </c>
    </row>
    <row r="866" ht="15.0" customHeight="1">
      <c r="A866" s="224" t="s">
        <v>2853</v>
      </c>
      <c r="B866" s="224" t="s">
        <v>94</v>
      </c>
      <c r="C866" s="82" t="s">
        <v>11096</v>
      </c>
      <c r="D866" s="83" t="s">
        <v>10305</v>
      </c>
      <c r="E866" s="83" t="s">
        <v>11097</v>
      </c>
      <c r="F866" s="92">
        <v>1.75</v>
      </c>
      <c r="G866" s="288" t="s">
        <v>2853</v>
      </c>
    </row>
    <row r="867" ht="15.0" customHeight="1">
      <c r="A867" s="224" t="s">
        <v>2853</v>
      </c>
      <c r="B867" s="224" t="s">
        <v>94</v>
      </c>
      <c r="C867" s="82" t="s">
        <v>11098</v>
      </c>
      <c r="D867" s="83" t="s">
        <v>10305</v>
      </c>
      <c r="E867" s="83" t="s">
        <v>11099</v>
      </c>
      <c r="F867" s="92">
        <v>0.7</v>
      </c>
      <c r="G867" s="288" t="s">
        <v>2853</v>
      </c>
    </row>
    <row r="868" ht="15.0" customHeight="1">
      <c r="A868" s="224" t="s">
        <v>2853</v>
      </c>
      <c r="B868" s="224" t="s">
        <v>94</v>
      </c>
      <c r="C868" s="82" t="s">
        <v>11100</v>
      </c>
      <c r="D868" s="83" t="s">
        <v>10305</v>
      </c>
      <c r="E868" s="83" t="s">
        <v>11101</v>
      </c>
      <c r="F868" s="92">
        <v>8.67</v>
      </c>
      <c r="G868" s="288" t="s">
        <v>2853</v>
      </c>
    </row>
    <row r="869" ht="15.0" customHeight="1">
      <c r="A869" s="224" t="s">
        <v>2853</v>
      </c>
      <c r="B869" s="224" t="s">
        <v>94</v>
      </c>
      <c r="C869" s="82" t="s">
        <v>11102</v>
      </c>
      <c r="D869" s="83" t="s">
        <v>10305</v>
      </c>
      <c r="E869" s="83" t="s">
        <v>11101</v>
      </c>
      <c r="F869" s="92">
        <v>8.67</v>
      </c>
      <c r="G869" s="288" t="s">
        <v>2853</v>
      </c>
    </row>
    <row r="870" ht="15.0" customHeight="1">
      <c r="A870" s="224" t="s">
        <v>2853</v>
      </c>
      <c r="B870" s="224" t="s">
        <v>94</v>
      </c>
      <c r="C870" s="82" t="s">
        <v>11103</v>
      </c>
      <c r="D870" s="83" t="s">
        <v>10305</v>
      </c>
      <c r="E870" s="83" t="s">
        <v>11104</v>
      </c>
      <c r="F870" s="92">
        <v>2.17</v>
      </c>
      <c r="G870" s="288" t="s">
        <v>2853</v>
      </c>
    </row>
    <row r="871" ht="15.0" customHeight="1">
      <c r="A871" s="224" t="s">
        <v>2853</v>
      </c>
      <c r="B871" s="224" t="s">
        <v>94</v>
      </c>
      <c r="C871" s="82" t="s">
        <v>11105</v>
      </c>
      <c r="D871" s="83" t="s">
        <v>10305</v>
      </c>
      <c r="E871" s="83" t="s">
        <v>11106</v>
      </c>
      <c r="F871" s="92">
        <v>0.87</v>
      </c>
      <c r="G871" s="288" t="s">
        <v>2853</v>
      </c>
    </row>
    <row r="872" ht="15.0" customHeight="1">
      <c r="A872" s="224" t="s">
        <v>2853</v>
      </c>
      <c r="B872" s="224" t="s">
        <v>94</v>
      </c>
      <c r="C872" s="82" t="s">
        <v>11107</v>
      </c>
      <c r="D872" s="83" t="s">
        <v>11108</v>
      </c>
      <c r="E872" s="83" t="s">
        <v>11109</v>
      </c>
      <c r="F872" s="92">
        <v>48.0</v>
      </c>
      <c r="G872" s="288" t="s">
        <v>2853</v>
      </c>
    </row>
    <row r="873" ht="15.0" customHeight="1">
      <c r="A873" s="224" t="s">
        <v>2853</v>
      </c>
      <c r="B873" s="224" t="s">
        <v>94</v>
      </c>
      <c r="C873" s="82" t="s">
        <v>11110</v>
      </c>
      <c r="D873" s="83" t="s">
        <v>11108</v>
      </c>
      <c r="E873" s="83" t="s">
        <v>11111</v>
      </c>
      <c r="F873" s="92">
        <v>28.67</v>
      </c>
      <c r="G873" s="288" t="s">
        <v>2853</v>
      </c>
    </row>
    <row r="874" ht="15.0" customHeight="1">
      <c r="A874" s="224" t="s">
        <v>2853</v>
      </c>
      <c r="B874" s="224" t="s">
        <v>94</v>
      </c>
      <c r="C874" s="82" t="s">
        <v>11112</v>
      </c>
      <c r="D874" s="83" t="s">
        <v>11108</v>
      </c>
      <c r="E874" s="83" t="s">
        <v>11113</v>
      </c>
      <c r="F874" s="92">
        <v>3.33</v>
      </c>
      <c r="G874" s="288" t="s">
        <v>2853</v>
      </c>
    </row>
    <row r="875" ht="15.0" customHeight="1">
      <c r="A875" s="224" t="s">
        <v>2853</v>
      </c>
      <c r="B875" s="224" t="s">
        <v>94</v>
      </c>
      <c r="C875" s="82" t="s">
        <v>11114</v>
      </c>
      <c r="D875" s="83" t="s">
        <v>11108</v>
      </c>
      <c r="E875" s="83" t="s">
        <v>11115</v>
      </c>
      <c r="F875" s="92">
        <v>25.33</v>
      </c>
      <c r="G875" s="288" t="s">
        <v>2853</v>
      </c>
    </row>
    <row r="876" ht="15.0" customHeight="1">
      <c r="A876" s="224" t="s">
        <v>2853</v>
      </c>
      <c r="B876" s="224" t="s">
        <v>94</v>
      </c>
      <c r="C876" s="82" t="s">
        <v>11116</v>
      </c>
      <c r="D876" s="83" t="s">
        <v>11108</v>
      </c>
      <c r="E876" s="83" t="s">
        <v>11117</v>
      </c>
      <c r="F876" s="92">
        <v>15.0</v>
      </c>
      <c r="G876" s="288" t="s">
        <v>2853</v>
      </c>
    </row>
    <row r="877" ht="15.0" customHeight="1">
      <c r="A877" s="224" t="s">
        <v>2853</v>
      </c>
      <c r="B877" s="224" t="s">
        <v>94</v>
      </c>
      <c r="C877" s="82" t="s">
        <v>11118</v>
      </c>
      <c r="D877" s="83" t="s">
        <v>11108</v>
      </c>
      <c r="E877" s="83" t="s">
        <v>11119</v>
      </c>
      <c r="F877" s="92">
        <v>3.0</v>
      </c>
      <c r="G877" s="288" t="s">
        <v>2853</v>
      </c>
    </row>
    <row r="878" ht="15.0" customHeight="1">
      <c r="A878" s="224" t="s">
        <v>2853</v>
      </c>
      <c r="B878" s="224" t="s">
        <v>94</v>
      </c>
      <c r="C878" s="82" t="s">
        <v>11120</v>
      </c>
      <c r="D878" s="83" t="s">
        <v>11108</v>
      </c>
      <c r="E878" s="83" t="s">
        <v>11121</v>
      </c>
      <c r="F878" s="92">
        <v>21.0</v>
      </c>
      <c r="G878" s="288" t="s">
        <v>2853</v>
      </c>
    </row>
    <row r="879" ht="15.0" customHeight="1">
      <c r="A879" s="224" t="s">
        <v>626</v>
      </c>
      <c r="B879" s="224" t="s">
        <v>94</v>
      </c>
      <c r="C879" s="82" t="s">
        <v>11122</v>
      </c>
      <c r="D879" s="83" t="s">
        <v>10305</v>
      </c>
      <c r="E879" s="83" t="s">
        <v>11123</v>
      </c>
      <c r="F879" s="92">
        <f t="shared" ref="F879:F880" si="108">48/3</f>
        <v>16</v>
      </c>
      <c r="G879" s="288" t="s">
        <v>626</v>
      </c>
    </row>
    <row r="880" ht="15.0" customHeight="1">
      <c r="A880" s="224" t="s">
        <v>626</v>
      </c>
      <c r="B880" s="224" t="s">
        <v>94</v>
      </c>
      <c r="C880" s="82" t="s">
        <v>11124</v>
      </c>
      <c r="D880" s="83" t="s">
        <v>10305</v>
      </c>
      <c r="E880" s="83" t="s">
        <v>11123</v>
      </c>
      <c r="F880" s="92">
        <f t="shared" si="108"/>
        <v>16</v>
      </c>
      <c r="G880" s="288" t="s">
        <v>626</v>
      </c>
    </row>
    <row r="881" ht="15.0" customHeight="1">
      <c r="A881" s="224" t="s">
        <v>626</v>
      </c>
      <c r="B881" s="224" t="s">
        <v>94</v>
      </c>
      <c r="C881" s="82" t="s">
        <v>11125</v>
      </c>
      <c r="D881" s="83" t="s">
        <v>10305</v>
      </c>
      <c r="E881" s="83" t="s">
        <v>11126</v>
      </c>
      <c r="F881" s="92">
        <f t="shared" ref="F881:F885" si="109">56/3</f>
        <v>18.66666667</v>
      </c>
      <c r="G881" s="288" t="s">
        <v>626</v>
      </c>
    </row>
    <row r="882" ht="15.0" customHeight="1">
      <c r="A882" s="224" t="s">
        <v>626</v>
      </c>
      <c r="B882" s="224" t="s">
        <v>94</v>
      </c>
      <c r="C882" s="82" t="s">
        <v>11127</v>
      </c>
      <c r="D882" s="83" t="s">
        <v>10305</v>
      </c>
      <c r="E882" s="83" t="s">
        <v>11126</v>
      </c>
      <c r="F882" s="92">
        <f t="shared" si="109"/>
        <v>18.66666667</v>
      </c>
      <c r="G882" s="288" t="s">
        <v>626</v>
      </c>
    </row>
    <row r="883" ht="15.0" customHeight="1">
      <c r="A883" s="224" t="s">
        <v>626</v>
      </c>
      <c r="B883" s="224" t="s">
        <v>94</v>
      </c>
      <c r="C883" s="82" t="s">
        <v>11128</v>
      </c>
      <c r="D883" s="83" t="s">
        <v>10305</v>
      </c>
      <c r="E883" s="83" t="s">
        <v>11129</v>
      </c>
      <c r="F883" s="92">
        <f t="shared" si="109"/>
        <v>18.66666667</v>
      </c>
      <c r="G883" s="288" t="s">
        <v>626</v>
      </c>
    </row>
    <row r="884" ht="15.0" customHeight="1">
      <c r="A884" s="224" t="s">
        <v>626</v>
      </c>
      <c r="B884" s="224" t="s">
        <v>94</v>
      </c>
      <c r="C884" s="82" t="s">
        <v>11130</v>
      </c>
      <c r="D884" s="83" t="s">
        <v>10305</v>
      </c>
      <c r="E884" s="83" t="s">
        <v>11129</v>
      </c>
      <c r="F884" s="92">
        <f t="shared" si="109"/>
        <v>18.66666667</v>
      </c>
      <c r="G884" s="288" t="s">
        <v>626</v>
      </c>
    </row>
    <row r="885" ht="15.0" customHeight="1">
      <c r="A885" s="224" t="s">
        <v>626</v>
      </c>
      <c r="B885" s="224" t="s">
        <v>94</v>
      </c>
      <c r="C885" s="82" t="s">
        <v>11131</v>
      </c>
      <c r="D885" s="83" t="s">
        <v>10305</v>
      </c>
      <c r="E885" s="83" t="s">
        <v>11129</v>
      </c>
      <c r="F885" s="92">
        <f t="shared" si="109"/>
        <v>18.66666667</v>
      </c>
      <c r="G885" s="288" t="s">
        <v>626</v>
      </c>
    </row>
    <row r="886" ht="15.0" customHeight="1">
      <c r="A886" s="224" t="s">
        <v>626</v>
      </c>
      <c r="B886" s="224" t="s">
        <v>94</v>
      </c>
      <c r="C886" s="82" t="s">
        <v>11132</v>
      </c>
      <c r="D886" s="83" t="s">
        <v>10305</v>
      </c>
      <c r="E886" s="83" t="s">
        <v>11133</v>
      </c>
      <c r="F886" s="92">
        <f>12/3</f>
        <v>4</v>
      </c>
      <c r="G886" s="288" t="s">
        <v>626</v>
      </c>
    </row>
    <row r="887" ht="15.0" customHeight="1">
      <c r="A887" s="224" t="s">
        <v>626</v>
      </c>
      <c r="B887" s="224" t="s">
        <v>94</v>
      </c>
      <c r="C887" s="82" t="s">
        <v>11134</v>
      </c>
      <c r="D887" s="83" t="s">
        <v>10305</v>
      </c>
      <c r="E887" s="83" t="s">
        <v>11135</v>
      </c>
      <c r="F887" s="92">
        <f t="shared" ref="F887:F888" si="110">14/3</f>
        <v>4.666666667</v>
      </c>
      <c r="G887" s="288" t="s">
        <v>626</v>
      </c>
    </row>
    <row r="888" ht="15.0" customHeight="1">
      <c r="A888" s="224" t="s">
        <v>626</v>
      </c>
      <c r="B888" s="224" t="s">
        <v>94</v>
      </c>
      <c r="C888" s="82" t="s">
        <v>11136</v>
      </c>
      <c r="D888" s="83" t="s">
        <v>10305</v>
      </c>
      <c r="E888" s="83" t="s">
        <v>11135</v>
      </c>
      <c r="F888" s="92">
        <f t="shared" si="110"/>
        <v>4.666666667</v>
      </c>
      <c r="G888" s="288" t="s">
        <v>626</v>
      </c>
    </row>
    <row r="889" ht="15.0" customHeight="1">
      <c r="A889" s="224" t="s">
        <v>626</v>
      </c>
      <c r="B889" s="224" t="s">
        <v>94</v>
      </c>
      <c r="C889" s="82" t="s">
        <v>11137</v>
      </c>
      <c r="D889" s="83" t="s">
        <v>10305</v>
      </c>
      <c r="E889" s="83" t="s">
        <v>11138</v>
      </c>
      <c r="F889" s="92">
        <f>4.8/3</f>
        <v>1.6</v>
      </c>
      <c r="G889" s="288" t="s">
        <v>626</v>
      </c>
    </row>
    <row r="890" ht="15.0" customHeight="1">
      <c r="A890" s="224" t="s">
        <v>626</v>
      </c>
      <c r="B890" s="224" t="s">
        <v>94</v>
      </c>
      <c r="C890" s="82" t="s">
        <v>11139</v>
      </c>
      <c r="D890" s="83" t="s">
        <v>10305</v>
      </c>
      <c r="E890" s="83" t="s">
        <v>11140</v>
      </c>
      <c r="F890" s="92">
        <f t="shared" ref="F890:F891" si="111">5.6/3</f>
        <v>1.866666667</v>
      </c>
      <c r="G890" s="288" t="s">
        <v>626</v>
      </c>
    </row>
    <row r="891" ht="15.0" customHeight="1">
      <c r="A891" s="224" t="s">
        <v>626</v>
      </c>
      <c r="B891" s="224" t="s">
        <v>94</v>
      </c>
      <c r="C891" s="82" t="s">
        <v>11141</v>
      </c>
      <c r="D891" s="83" t="s">
        <v>10305</v>
      </c>
      <c r="E891" s="83" t="s">
        <v>11140</v>
      </c>
      <c r="F891" s="92">
        <f t="shared" si="111"/>
        <v>1.866666667</v>
      </c>
      <c r="G891" s="288" t="s">
        <v>626</v>
      </c>
    </row>
    <row r="892" ht="15.0" customHeight="1">
      <c r="A892" s="224" t="s">
        <v>626</v>
      </c>
      <c r="B892" s="224" t="s">
        <v>94</v>
      </c>
      <c r="C892" s="82" t="s">
        <v>11142</v>
      </c>
      <c r="D892" s="83" t="s">
        <v>10305</v>
      </c>
      <c r="E892" s="83" t="s">
        <v>11143</v>
      </c>
      <c r="F892" s="92">
        <f>14/3*3</f>
        <v>14</v>
      </c>
      <c r="G892" s="288" t="s">
        <v>626</v>
      </c>
    </row>
    <row r="893" ht="15.0" customHeight="1">
      <c r="A893" s="224" t="s">
        <v>626</v>
      </c>
      <c r="B893" s="224" t="s">
        <v>52</v>
      </c>
      <c r="C893" s="82" t="s">
        <v>11144</v>
      </c>
      <c r="D893" s="83" t="s">
        <v>11145</v>
      </c>
      <c r="E893" s="83" t="s">
        <v>11146</v>
      </c>
      <c r="F893" s="92">
        <f>0.5*18/3</f>
        <v>3</v>
      </c>
      <c r="G893" s="288" t="s">
        <v>626</v>
      </c>
    </row>
    <row r="894" ht="15.0" customHeight="1">
      <c r="A894" s="224" t="s">
        <v>9249</v>
      </c>
      <c r="B894" s="224" t="s">
        <v>5327</v>
      </c>
      <c r="C894" s="82" t="s">
        <v>11147</v>
      </c>
      <c r="D894" s="83" t="s">
        <v>10305</v>
      </c>
      <c r="E894" s="83">
        <f t="shared" ref="E894:F894" si="112">(27+11)/3</f>
        <v>12.66666667</v>
      </c>
      <c r="F894" s="83">
        <f t="shared" si="112"/>
        <v>12.66666667</v>
      </c>
      <c r="G894" s="288" t="s">
        <v>5331</v>
      </c>
    </row>
    <row r="895" ht="15.0" customHeight="1">
      <c r="A895" s="224" t="s">
        <v>9249</v>
      </c>
      <c r="B895" s="224" t="s">
        <v>5327</v>
      </c>
      <c r="C895" s="82" t="s">
        <v>11147</v>
      </c>
      <c r="D895" s="83" t="s">
        <v>10305</v>
      </c>
      <c r="E895" s="83">
        <f t="shared" ref="E895:F895" si="113">(35+22)/3</f>
        <v>19</v>
      </c>
      <c r="F895" s="83">
        <f t="shared" si="113"/>
        <v>19</v>
      </c>
      <c r="G895" s="288" t="s">
        <v>5331</v>
      </c>
    </row>
    <row r="896" ht="15.0" customHeight="1">
      <c r="A896" s="224" t="s">
        <v>9249</v>
      </c>
      <c r="B896" s="224" t="s">
        <v>5327</v>
      </c>
      <c r="C896" s="82" t="s">
        <v>11148</v>
      </c>
      <c r="D896" s="83" t="s">
        <v>10305</v>
      </c>
      <c r="E896" s="83">
        <f t="shared" ref="E896:F896" si="114">(27+11)/3</f>
        <v>12.66666667</v>
      </c>
      <c r="F896" s="83">
        <f t="shared" si="114"/>
        <v>12.66666667</v>
      </c>
      <c r="G896" s="288" t="s">
        <v>5331</v>
      </c>
    </row>
    <row r="897" ht="15.0" customHeight="1">
      <c r="A897" s="224" t="s">
        <v>9249</v>
      </c>
      <c r="B897" s="224" t="s">
        <v>5327</v>
      </c>
      <c r="C897" s="82" t="s">
        <v>11148</v>
      </c>
      <c r="D897" s="83" t="s">
        <v>10305</v>
      </c>
      <c r="E897" s="83">
        <f t="shared" ref="E897:F897" si="115">(35+22)/3</f>
        <v>19</v>
      </c>
      <c r="F897" s="83">
        <f t="shared" si="115"/>
        <v>19</v>
      </c>
      <c r="G897" s="288" t="s">
        <v>5331</v>
      </c>
    </row>
    <row r="898" ht="15.0" customHeight="1">
      <c r="A898" s="224" t="s">
        <v>9249</v>
      </c>
      <c r="B898" s="224" t="s">
        <v>5327</v>
      </c>
      <c r="C898" s="82" t="s">
        <v>11148</v>
      </c>
      <c r="D898" s="83" t="s">
        <v>10305</v>
      </c>
      <c r="E898" s="83">
        <f>23/3</f>
        <v>7.666666667</v>
      </c>
      <c r="F898" s="83">
        <f>17/3</f>
        <v>5.666666667</v>
      </c>
      <c r="G898" s="288" t="s">
        <v>5331</v>
      </c>
    </row>
    <row r="899" ht="15.0" customHeight="1">
      <c r="A899" s="224" t="s">
        <v>9249</v>
      </c>
      <c r="B899" s="224" t="s">
        <v>5327</v>
      </c>
      <c r="C899" s="82" t="s">
        <v>11148</v>
      </c>
      <c r="D899" s="83" t="s">
        <v>10305</v>
      </c>
      <c r="E899" s="83">
        <f>(19)/3</f>
        <v>6.333333333</v>
      </c>
      <c r="F899" s="83">
        <f>(28/3)</f>
        <v>9.333333333</v>
      </c>
      <c r="G899" s="288" t="s">
        <v>5331</v>
      </c>
    </row>
    <row r="900" ht="15.0" customHeight="1">
      <c r="A900" s="224" t="s">
        <v>9249</v>
      </c>
      <c r="B900" s="224" t="s">
        <v>5327</v>
      </c>
      <c r="C900" s="82" t="s">
        <v>11149</v>
      </c>
      <c r="D900" s="83" t="s">
        <v>10305</v>
      </c>
      <c r="E900" s="83">
        <f t="shared" ref="E900:E903" si="116">E896*0.25</f>
        <v>3.166666667</v>
      </c>
      <c r="F900" s="83">
        <f>(39+23)/3*0.25</f>
        <v>5.166666667</v>
      </c>
      <c r="G900" s="288" t="s">
        <v>5331</v>
      </c>
    </row>
    <row r="901" ht="15.0" customHeight="1">
      <c r="A901" s="224" t="s">
        <v>9249</v>
      </c>
      <c r="B901" s="224" t="s">
        <v>5327</v>
      </c>
      <c r="C901" s="82" t="s">
        <v>11149</v>
      </c>
      <c r="D901" s="83" t="s">
        <v>10305</v>
      </c>
      <c r="E901" s="83">
        <f t="shared" si="116"/>
        <v>4.75</v>
      </c>
      <c r="F901" s="83">
        <f>(45+23)/3*0.25</f>
        <v>5.666666667</v>
      </c>
      <c r="G901" s="288" t="s">
        <v>5331</v>
      </c>
    </row>
    <row r="902" ht="15.0" customHeight="1">
      <c r="A902" s="224" t="s">
        <v>9249</v>
      </c>
      <c r="B902" s="224" t="s">
        <v>5327</v>
      </c>
      <c r="C902" s="82" t="s">
        <v>11149</v>
      </c>
      <c r="D902" s="83" t="s">
        <v>10305</v>
      </c>
      <c r="E902" s="83">
        <f t="shared" si="116"/>
        <v>1.916666667</v>
      </c>
      <c r="F902" s="83">
        <f>17/3*0.25</f>
        <v>1.416666667</v>
      </c>
      <c r="G902" s="288" t="s">
        <v>5331</v>
      </c>
    </row>
    <row r="903" ht="15.0" customHeight="1">
      <c r="A903" s="224" t="s">
        <v>9249</v>
      </c>
      <c r="B903" s="224" t="s">
        <v>5327</v>
      </c>
      <c r="C903" s="82" t="s">
        <v>11149</v>
      </c>
      <c r="D903" s="83" t="s">
        <v>10305</v>
      </c>
      <c r="E903" s="83">
        <f t="shared" si="116"/>
        <v>1.583333333</v>
      </c>
      <c r="F903" s="83">
        <f>(28)/3*0.25</f>
        <v>2.333333333</v>
      </c>
      <c r="G903" s="288" t="s">
        <v>5331</v>
      </c>
    </row>
    <row r="904" ht="15.0" customHeight="1">
      <c r="A904" s="224" t="s">
        <v>9249</v>
      </c>
      <c r="B904" s="224" t="s">
        <v>5327</v>
      </c>
      <c r="C904" s="82" t="s">
        <v>11150</v>
      </c>
      <c r="D904" s="83" t="s">
        <v>10305</v>
      </c>
      <c r="E904" s="83">
        <f t="shared" ref="E904:E907" si="117">E896*0.1</f>
        <v>1.266666667</v>
      </c>
      <c r="F904" s="83">
        <f>(39+23)/3*0.1</f>
        <v>2.066666667</v>
      </c>
      <c r="G904" s="288" t="s">
        <v>5331</v>
      </c>
    </row>
    <row r="905" ht="15.0" customHeight="1">
      <c r="A905" s="224" t="s">
        <v>9249</v>
      </c>
      <c r="B905" s="224" t="s">
        <v>5327</v>
      </c>
      <c r="C905" s="82" t="s">
        <v>11150</v>
      </c>
      <c r="D905" s="83" t="s">
        <v>10305</v>
      </c>
      <c r="E905" s="83">
        <f t="shared" si="117"/>
        <v>1.9</v>
      </c>
      <c r="F905" s="83">
        <f>(45+23)/3*0.1</f>
        <v>2.266666667</v>
      </c>
      <c r="G905" s="288" t="s">
        <v>5331</v>
      </c>
    </row>
    <row r="906" ht="15.0" customHeight="1">
      <c r="A906" s="224" t="s">
        <v>9249</v>
      </c>
      <c r="B906" s="224" t="s">
        <v>5327</v>
      </c>
      <c r="C906" s="82" t="s">
        <v>11150</v>
      </c>
      <c r="D906" s="83" t="s">
        <v>10305</v>
      </c>
      <c r="E906" s="83">
        <f t="shared" si="117"/>
        <v>0.7666666667</v>
      </c>
      <c r="F906" s="83">
        <f>17/3*0.1</f>
        <v>0.5666666667</v>
      </c>
      <c r="G906" s="288" t="s">
        <v>5331</v>
      </c>
    </row>
    <row r="907" ht="15.0" customHeight="1">
      <c r="A907" s="224" t="s">
        <v>9249</v>
      </c>
      <c r="B907" s="224" t="s">
        <v>5327</v>
      </c>
      <c r="C907" s="82" t="s">
        <v>11150</v>
      </c>
      <c r="D907" s="83" t="s">
        <v>10305</v>
      </c>
      <c r="E907" s="83">
        <f t="shared" si="117"/>
        <v>0.6333333333</v>
      </c>
      <c r="F907" s="83">
        <f>(28)/3*0.1</f>
        <v>0.9333333333</v>
      </c>
      <c r="G907" s="288" t="s">
        <v>5331</v>
      </c>
    </row>
    <row r="908" ht="15.0" customHeight="1">
      <c r="A908" s="224" t="s">
        <v>9249</v>
      </c>
      <c r="B908" s="224" t="s">
        <v>5333</v>
      </c>
      <c r="C908" s="82" t="s">
        <v>11151</v>
      </c>
      <c r="D908" s="83" t="s">
        <v>11152</v>
      </c>
      <c r="E908" s="83">
        <f t="shared" ref="E908:F908" si="118">22/3*2</f>
        <v>14.66666667</v>
      </c>
      <c r="F908" s="83">
        <f t="shared" si="118"/>
        <v>14.66666667</v>
      </c>
      <c r="G908" s="288" t="s">
        <v>5331</v>
      </c>
    </row>
    <row r="909" ht="15.0" customHeight="1">
      <c r="A909" s="224" t="s">
        <v>9249</v>
      </c>
      <c r="B909" s="224" t="s">
        <v>11153</v>
      </c>
      <c r="C909" s="82" t="s">
        <v>11154</v>
      </c>
      <c r="D909" s="83" t="s">
        <v>11152</v>
      </c>
      <c r="E909" s="83">
        <f t="shared" ref="E909:F909" si="119">64/3*2</f>
        <v>42.66666667</v>
      </c>
      <c r="F909" s="83">
        <f t="shared" si="119"/>
        <v>42.66666667</v>
      </c>
      <c r="G909" s="288" t="s">
        <v>5331</v>
      </c>
    </row>
    <row r="910" ht="15.0" customHeight="1">
      <c r="A910" s="224" t="s">
        <v>9249</v>
      </c>
      <c r="B910" s="224" t="s">
        <v>11153</v>
      </c>
      <c r="C910" s="82" t="s">
        <v>11155</v>
      </c>
      <c r="D910" s="83" t="s">
        <v>11156</v>
      </c>
      <c r="E910" s="83">
        <f t="shared" ref="E910:F910" si="120">(22+1)/3*3</f>
        <v>23</v>
      </c>
      <c r="F910" s="83">
        <f t="shared" si="120"/>
        <v>23</v>
      </c>
      <c r="G910" s="288" t="s">
        <v>5331</v>
      </c>
    </row>
    <row r="911" ht="15.0" customHeight="1">
      <c r="A911" s="224" t="s">
        <v>9011</v>
      </c>
      <c r="B911" s="224" t="s">
        <v>94</v>
      </c>
      <c r="C911" s="100" t="s">
        <v>11157</v>
      </c>
      <c r="D911" s="83" t="s">
        <v>10305</v>
      </c>
      <c r="E911" s="83">
        <f t="shared" ref="E911:E912" si="121">41/3</f>
        <v>13.66666667</v>
      </c>
      <c r="F911" s="92">
        <f t="shared" ref="F911:F928" si="122">E911</f>
        <v>13.66666667</v>
      </c>
      <c r="G911" s="288" t="s">
        <v>646</v>
      </c>
    </row>
    <row r="912" ht="15.0" customHeight="1">
      <c r="A912" s="224" t="s">
        <v>9011</v>
      </c>
      <c r="B912" s="224" t="s">
        <v>94</v>
      </c>
      <c r="C912" s="100" t="s">
        <v>11158</v>
      </c>
      <c r="D912" s="83" t="s">
        <v>10305</v>
      </c>
      <c r="E912" s="83">
        <f t="shared" si="121"/>
        <v>13.66666667</v>
      </c>
      <c r="F912" s="92">
        <f t="shared" si="122"/>
        <v>13.66666667</v>
      </c>
      <c r="G912" s="288" t="s">
        <v>646</v>
      </c>
    </row>
    <row r="913" ht="15.0" customHeight="1">
      <c r="A913" s="224" t="s">
        <v>9011</v>
      </c>
      <c r="B913" s="224" t="s">
        <v>94</v>
      </c>
      <c r="C913" s="100" t="s">
        <v>11159</v>
      </c>
      <c r="D913" s="83" t="s">
        <v>10305</v>
      </c>
      <c r="E913" s="83">
        <f t="shared" ref="E913:E914" si="123">30/3</f>
        <v>10</v>
      </c>
      <c r="F913" s="92">
        <f t="shared" si="122"/>
        <v>10</v>
      </c>
      <c r="G913" s="288" t="s">
        <v>646</v>
      </c>
    </row>
    <row r="914" ht="15.0" customHeight="1">
      <c r="A914" s="224" t="s">
        <v>9011</v>
      </c>
      <c r="B914" s="224" t="s">
        <v>94</v>
      </c>
      <c r="C914" s="100" t="s">
        <v>11160</v>
      </c>
      <c r="D914" s="83" t="s">
        <v>10305</v>
      </c>
      <c r="E914" s="83">
        <f t="shared" si="123"/>
        <v>10</v>
      </c>
      <c r="F914" s="92">
        <f t="shared" si="122"/>
        <v>10</v>
      </c>
      <c r="G914" s="288" t="s">
        <v>646</v>
      </c>
    </row>
    <row r="915" ht="15.0" customHeight="1">
      <c r="A915" s="224" t="s">
        <v>9011</v>
      </c>
      <c r="B915" s="224" t="s">
        <v>94</v>
      </c>
      <c r="C915" s="100" t="s">
        <v>11161</v>
      </c>
      <c r="D915" s="83" t="s">
        <v>10305</v>
      </c>
      <c r="E915" s="83">
        <f>22/3</f>
        <v>7.333333333</v>
      </c>
      <c r="F915" s="92">
        <f t="shared" si="122"/>
        <v>7.333333333</v>
      </c>
      <c r="G915" s="288" t="s">
        <v>646</v>
      </c>
    </row>
    <row r="916" ht="15.0" customHeight="1">
      <c r="A916" s="224" t="s">
        <v>9011</v>
      </c>
      <c r="B916" s="224" t="s">
        <v>94</v>
      </c>
      <c r="C916" s="100" t="s">
        <v>11162</v>
      </c>
      <c r="D916" s="83" t="s">
        <v>10305</v>
      </c>
      <c r="E916" s="83">
        <f>24/3</f>
        <v>8</v>
      </c>
      <c r="F916" s="92">
        <f t="shared" si="122"/>
        <v>8</v>
      </c>
      <c r="G916" s="288" t="s">
        <v>646</v>
      </c>
    </row>
    <row r="917" ht="15.0" customHeight="1">
      <c r="A917" s="224" t="s">
        <v>9011</v>
      </c>
      <c r="B917" s="224" t="s">
        <v>94</v>
      </c>
      <c r="C917" s="100" t="s">
        <v>11163</v>
      </c>
      <c r="D917" s="83" t="s">
        <v>10305</v>
      </c>
      <c r="E917" s="83">
        <f t="shared" ref="E917:E918" si="124">35/3</f>
        <v>11.66666667</v>
      </c>
      <c r="F917" s="92">
        <f t="shared" si="122"/>
        <v>11.66666667</v>
      </c>
      <c r="G917" s="288" t="s">
        <v>646</v>
      </c>
    </row>
    <row r="918" ht="15.0" customHeight="1">
      <c r="A918" s="224" t="s">
        <v>9011</v>
      </c>
      <c r="B918" s="224" t="s">
        <v>94</v>
      </c>
      <c r="C918" s="100" t="s">
        <v>11164</v>
      </c>
      <c r="D918" s="83" t="s">
        <v>10305</v>
      </c>
      <c r="E918" s="83">
        <f t="shared" si="124"/>
        <v>11.66666667</v>
      </c>
      <c r="F918" s="92">
        <f t="shared" si="122"/>
        <v>11.66666667</v>
      </c>
      <c r="G918" s="288" t="s">
        <v>646</v>
      </c>
    </row>
    <row r="919" ht="15.0" customHeight="1">
      <c r="A919" s="224" t="s">
        <v>9011</v>
      </c>
      <c r="B919" s="224" t="s">
        <v>94</v>
      </c>
      <c r="C919" s="100" t="s">
        <v>11165</v>
      </c>
      <c r="D919" s="83" t="s">
        <v>10305</v>
      </c>
      <c r="E919" s="83">
        <f>E911/4</f>
        <v>3.416666667</v>
      </c>
      <c r="F919" s="92">
        <f t="shared" si="122"/>
        <v>3.416666667</v>
      </c>
      <c r="G919" s="288" t="s">
        <v>646</v>
      </c>
    </row>
    <row r="920" ht="15.0" customHeight="1">
      <c r="A920" s="224" t="s">
        <v>9011</v>
      </c>
      <c r="B920" s="224" t="s">
        <v>94</v>
      </c>
      <c r="C920" s="100" t="s">
        <v>11166</v>
      </c>
      <c r="D920" s="83" t="s">
        <v>10305</v>
      </c>
      <c r="E920" s="83">
        <f>E913/4</f>
        <v>2.5</v>
      </c>
      <c r="F920" s="92">
        <f t="shared" si="122"/>
        <v>2.5</v>
      </c>
      <c r="G920" s="288" t="s">
        <v>646</v>
      </c>
    </row>
    <row r="921" ht="15.0" customHeight="1">
      <c r="A921" s="224" t="s">
        <v>9011</v>
      </c>
      <c r="B921" s="224" t="s">
        <v>94</v>
      </c>
      <c r="C921" s="100" t="s">
        <v>11167</v>
      </c>
      <c r="D921" s="83" t="s">
        <v>10305</v>
      </c>
      <c r="E921" s="83">
        <f>E917/4</f>
        <v>2.916666667</v>
      </c>
      <c r="F921" s="92">
        <f t="shared" si="122"/>
        <v>2.916666667</v>
      </c>
      <c r="G921" s="288" t="s">
        <v>646</v>
      </c>
    </row>
    <row r="922" ht="15.0" customHeight="1">
      <c r="A922" s="224" t="s">
        <v>9011</v>
      </c>
      <c r="B922" s="224" t="s">
        <v>94</v>
      </c>
      <c r="C922" s="100" t="s">
        <v>11168</v>
      </c>
      <c r="D922" s="83" t="s">
        <v>10305</v>
      </c>
      <c r="E922" s="156">
        <f>E911*0.1</f>
        <v>1.366666667</v>
      </c>
      <c r="F922" s="92">
        <f t="shared" si="122"/>
        <v>1.366666667</v>
      </c>
      <c r="G922" s="288" t="s">
        <v>646</v>
      </c>
    </row>
    <row r="923" ht="15.0" customHeight="1">
      <c r="A923" s="224" t="s">
        <v>9011</v>
      </c>
      <c r="B923" s="224" t="s">
        <v>94</v>
      </c>
      <c r="C923" s="100" t="s">
        <v>11169</v>
      </c>
      <c r="D923" s="83" t="s">
        <v>10305</v>
      </c>
      <c r="E923" s="156">
        <f>E913*0.1</f>
        <v>1</v>
      </c>
      <c r="F923" s="92">
        <f t="shared" si="122"/>
        <v>1</v>
      </c>
      <c r="G923" s="288" t="s">
        <v>646</v>
      </c>
    </row>
    <row r="924" ht="15.0" customHeight="1">
      <c r="A924" s="224" t="s">
        <v>9011</v>
      </c>
      <c r="B924" s="224" t="s">
        <v>94</v>
      </c>
      <c r="C924" s="100" t="s">
        <v>11170</v>
      </c>
      <c r="D924" s="83" t="s">
        <v>10305</v>
      </c>
      <c r="E924" s="156">
        <f>E918*0.1</f>
        <v>1.166666667</v>
      </c>
      <c r="F924" s="92">
        <f t="shared" si="122"/>
        <v>1.166666667</v>
      </c>
      <c r="G924" s="288" t="s">
        <v>646</v>
      </c>
    </row>
    <row r="925" ht="15.0" customHeight="1">
      <c r="A925" s="224" t="s">
        <v>9011</v>
      </c>
      <c r="B925" s="224" t="s">
        <v>94</v>
      </c>
      <c r="C925" s="100" t="s">
        <v>11171</v>
      </c>
      <c r="D925" s="83" t="s">
        <v>10305</v>
      </c>
      <c r="E925" s="83">
        <f>43/3*2</f>
        <v>28.66666667</v>
      </c>
      <c r="F925" s="92">
        <f t="shared" si="122"/>
        <v>28.66666667</v>
      </c>
      <c r="G925" s="288" t="s">
        <v>646</v>
      </c>
    </row>
    <row r="926" ht="15.0" customHeight="1">
      <c r="A926" s="224" t="s">
        <v>9011</v>
      </c>
      <c r="B926" s="224" t="s">
        <v>94</v>
      </c>
      <c r="C926" s="100" t="s">
        <v>11172</v>
      </c>
      <c r="D926" s="83" t="s">
        <v>10305</v>
      </c>
      <c r="E926" s="83">
        <f>46/3*2</f>
        <v>30.66666667</v>
      </c>
      <c r="F926" s="92">
        <f t="shared" si="122"/>
        <v>30.66666667</v>
      </c>
      <c r="G926" s="288" t="s">
        <v>646</v>
      </c>
    </row>
    <row r="927" ht="15.0" customHeight="1">
      <c r="A927" s="224" t="s">
        <v>9011</v>
      </c>
      <c r="B927" s="224" t="s">
        <v>94</v>
      </c>
      <c r="C927" s="100" t="s">
        <v>11173</v>
      </c>
      <c r="D927" s="83" t="s">
        <v>10305</v>
      </c>
      <c r="E927" s="83">
        <f>15/3*3</f>
        <v>15</v>
      </c>
      <c r="F927" s="92">
        <f t="shared" si="122"/>
        <v>15</v>
      </c>
      <c r="G927" s="288" t="s">
        <v>646</v>
      </c>
    </row>
    <row r="928" ht="15.0" customHeight="1">
      <c r="A928" s="224" t="s">
        <v>9011</v>
      </c>
      <c r="B928" s="224" t="s">
        <v>94</v>
      </c>
      <c r="C928" s="100" t="s">
        <v>11174</v>
      </c>
      <c r="D928" s="83" t="s">
        <v>10305</v>
      </c>
      <c r="E928" s="83">
        <f>(72+43)*2/3</f>
        <v>76.66666667</v>
      </c>
      <c r="F928" s="92">
        <f t="shared" si="122"/>
        <v>76.66666667</v>
      </c>
      <c r="G928" s="288" t="s">
        <v>646</v>
      </c>
    </row>
    <row r="929" ht="15.0" customHeight="1">
      <c r="A929" s="224" t="s">
        <v>655</v>
      </c>
      <c r="B929" s="224" t="s">
        <v>94</v>
      </c>
      <c r="C929" s="82" t="s">
        <v>11175</v>
      </c>
      <c r="D929" s="83" t="s">
        <v>10046</v>
      </c>
      <c r="E929" s="83" t="s">
        <v>11087</v>
      </c>
      <c r="F929" s="92">
        <v>17.66</v>
      </c>
      <c r="G929" s="288" t="s">
        <v>655</v>
      </c>
    </row>
    <row r="930" ht="15.0" customHeight="1">
      <c r="A930" s="224" t="s">
        <v>655</v>
      </c>
      <c r="B930" s="224" t="s">
        <v>94</v>
      </c>
      <c r="C930" s="82" t="s">
        <v>11176</v>
      </c>
      <c r="D930" s="83" t="s">
        <v>10046</v>
      </c>
      <c r="E930" s="83" t="s">
        <v>11177</v>
      </c>
      <c r="F930" s="92">
        <v>7.0</v>
      </c>
      <c r="G930" s="288" t="s">
        <v>655</v>
      </c>
    </row>
    <row r="931" ht="15.0" customHeight="1">
      <c r="A931" s="224" t="s">
        <v>655</v>
      </c>
      <c r="B931" s="224" t="s">
        <v>94</v>
      </c>
      <c r="C931" s="82" t="s">
        <v>11178</v>
      </c>
      <c r="D931" s="83" t="s">
        <v>10046</v>
      </c>
      <c r="E931" s="83" t="s">
        <v>11087</v>
      </c>
      <c r="F931" s="92">
        <v>17.66</v>
      </c>
      <c r="G931" s="288" t="s">
        <v>655</v>
      </c>
    </row>
    <row r="932" ht="15.0" customHeight="1">
      <c r="A932" s="224" t="s">
        <v>655</v>
      </c>
      <c r="B932" s="224" t="s">
        <v>94</v>
      </c>
      <c r="C932" s="82" t="s">
        <v>11179</v>
      </c>
      <c r="D932" s="83" t="s">
        <v>10046</v>
      </c>
      <c r="E932" s="83" t="s">
        <v>11177</v>
      </c>
      <c r="F932" s="92">
        <v>7.0</v>
      </c>
      <c r="G932" s="288" t="s">
        <v>655</v>
      </c>
    </row>
    <row r="933" ht="15.0" customHeight="1">
      <c r="A933" s="224" t="s">
        <v>655</v>
      </c>
      <c r="B933" s="224" t="s">
        <v>94</v>
      </c>
      <c r="C933" s="82" t="s">
        <v>11180</v>
      </c>
      <c r="D933" s="83" t="s">
        <v>10305</v>
      </c>
      <c r="E933" s="83" t="s">
        <v>11181</v>
      </c>
      <c r="F933" s="92">
        <v>4.41</v>
      </c>
      <c r="G933" s="288" t="s">
        <v>655</v>
      </c>
    </row>
    <row r="934" ht="15.0" customHeight="1">
      <c r="A934" s="416" t="s">
        <v>655</v>
      </c>
      <c r="B934" s="416" t="s">
        <v>94</v>
      </c>
      <c r="C934" s="352" t="s">
        <v>11182</v>
      </c>
      <c r="D934" s="489" t="s">
        <v>10305</v>
      </c>
      <c r="E934" s="489" t="s">
        <v>11097</v>
      </c>
      <c r="F934" s="419">
        <v>1.75</v>
      </c>
      <c r="G934" s="288" t="s">
        <v>655</v>
      </c>
    </row>
    <row r="935" ht="15.0" customHeight="1">
      <c r="A935" s="224" t="s">
        <v>655</v>
      </c>
      <c r="B935" s="224" t="s">
        <v>94</v>
      </c>
      <c r="C935" s="82" t="s">
        <v>11183</v>
      </c>
      <c r="D935" s="83" t="s">
        <v>10046</v>
      </c>
      <c r="E935" s="83" t="s">
        <v>11184</v>
      </c>
      <c r="F935" s="92">
        <v>1.76</v>
      </c>
      <c r="G935" s="288" t="s">
        <v>655</v>
      </c>
    </row>
    <row r="936" ht="15.0" customHeight="1">
      <c r="A936" s="416" t="s">
        <v>655</v>
      </c>
      <c r="B936" s="416" t="s">
        <v>94</v>
      </c>
      <c r="C936" s="352" t="s">
        <v>11185</v>
      </c>
      <c r="D936" s="489" t="s">
        <v>10046</v>
      </c>
      <c r="E936" s="489" t="s">
        <v>11186</v>
      </c>
      <c r="F936" s="419">
        <v>0.7</v>
      </c>
      <c r="G936" s="288" t="s">
        <v>655</v>
      </c>
    </row>
    <row r="937" ht="15.0" customHeight="1">
      <c r="A937" s="224" t="s">
        <v>655</v>
      </c>
      <c r="B937" s="224" t="s">
        <v>94</v>
      </c>
      <c r="C937" s="82" t="s">
        <v>11187</v>
      </c>
      <c r="D937" s="83" t="s">
        <v>10046</v>
      </c>
      <c r="E937" s="83" t="s">
        <v>11188</v>
      </c>
      <c r="F937" s="92">
        <v>15.33</v>
      </c>
      <c r="G937" s="288" t="s">
        <v>655</v>
      </c>
    </row>
    <row r="938" ht="15.0" customHeight="1">
      <c r="A938" s="224" t="s">
        <v>655</v>
      </c>
      <c r="B938" s="224" t="s">
        <v>94</v>
      </c>
      <c r="C938" s="82" t="s">
        <v>11189</v>
      </c>
      <c r="D938" s="83" t="s">
        <v>10046</v>
      </c>
      <c r="E938" s="83" t="s">
        <v>11101</v>
      </c>
      <c r="F938" s="92">
        <v>8.66</v>
      </c>
      <c r="G938" s="288" t="s">
        <v>655</v>
      </c>
    </row>
    <row r="939" ht="15.0" customHeight="1">
      <c r="A939" s="224" t="s">
        <v>655</v>
      </c>
      <c r="B939" s="224" t="s">
        <v>94</v>
      </c>
      <c r="C939" s="82" t="s">
        <v>11190</v>
      </c>
      <c r="D939" s="83" t="s">
        <v>10046</v>
      </c>
      <c r="E939" s="83" t="s">
        <v>11188</v>
      </c>
      <c r="F939" s="92">
        <v>15.33</v>
      </c>
      <c r="G939" s="288" t="s">
        <v>655</v>
      </c>
    </row>
    <row r="940" ht="15.0" customHeight="1">
      <c r="A940" s="224" t="s">
        <v>655</v>
      </c>
      <c r="B940" s="224" t="s">
        <v>94</v>
      </c>
      <c r="C940" s="82" t="s">
        <v>11191</v>
      </c>
      <c r="D940" s="83" t="s">
        <v>10046</v>
      </c>
      <c r="E940" s="83" t="s">
        <v>11101</v>
      </c>
      <c r="F940" s="92">
        <v>8.66</v>
      </c>
      <c r="G940" s="288" t="s">
        <v>655</v>
      </c>
    </row>
    <row r="941" ht="15.0" customHeight="1">
      <c r="A941" s="224" t="s">
        <v>655</v>
      </c>
      <c r="B941" s="224" t="s">
        <v>94</v>
      </c>
      <c r="C941" s="82" t="s">
        <v>11192</v>
      </c>
      <c r="D941" s="83" t="s">
        <v>10046</v>
      </c>
      <c r="E941" s="83" t="s">
        <v>11193</v>
      </c>
      <c r="F941" s="92">
        <v>3.83</v>
      </c>
      <c r="G941" s="288" t="s">
        <v>655</v>
      </c>
    </row>
    <row r="942" ht="15.0" customHeight="1">
      <c r="A942" s="224" t="s">
        <v>655</v>
      </c>
      <c r="B942" s="224" t="s">
        <v>94</v>
      </c>
      <c r="C942" s="82" t="s">
        <v>11194</v>
      </c>
      <c r="D942" s="83" t="s">
        <v>10046</v>
      </c>
      <c r="E942" s="83" t="s">
        <v>11195</v>
      </c>
      <c r="F942" s="92">
        <v>2.16</v>
      </c>
      <c r="G942" s="288" t="s">
        <v>655</v>
      </c>
    </row>
    <row r="943" ht="15.0" customHeight="1">
      <c r="A943" s="224" t="s">
        <v>655</v>
      </c>
      <c r="B943" s="224" t="s">
        <v>94</v>
      </c>
      <c r="C943" s="82" t="s">
        <v>11196</v>
      </c>
      <c r="D943" s="83" t="s">
        <v>10046</v>
      </c>
      <c r="E943" s="83" t="s">
        <v>11197</v>
      </c>
      <c r="F943" s="92">
        <v>1.53</v>
      </c>
      <c r="G943" s="288" t="s">
        <v>655</v>
      </c>
    </row>
    <row r="944" ht="15.0" customHeight="1">
      <c r="A944" s="416" t="s">
        <v>655</v>
      </c>
      <c r="B944" s="416" t="s">
        <v>94</v>
      </c>
      <c r="C944" s="352" t="s">
        <v>11198</v>
      </c>
      <c r="D944" s="489" t="s">
        <v>10046</v>
      </c>
      <c r="E944" s="489" t="s">
        <v>11199</v>
      </c>
      <c r="F944" s="419">
        <v>0.86</v>
      </c>
      <c r="G944" s="288" t="s">
        <v>655</v>
      </c>
    </row>
    <row r="945" ht="15.0" customHeight="1">
      <c r="A945" s="224" t="s">
        <v>655</v>
      </c>
      <c r="B945" s="224" t="s">
        <v>94</v>
      </c>
      <c r="C945" s="82" t="s">
        <v>11200</v>
      </c>
      <c r="D945" s="83" t="s">
        <v>10046</v>
      </c>
      <c r="E945" s="83" t="s">
        <v>11087</v>
      </c>
      <c r="F945" s="92">
        <v>17.66</v>
      </c>
      <c r="G945" s="288" t="s">
        <v>655</v>
      </c>
    </row>
    <row r="946" ht="15.0" customHeight="1">
      <c r="A946" s="224" t="s">
        <v>655</v>
      </c>
      <c r="B946" s="224" t="s">
        <v>94</v>
      </c>
      <c r="C946" s="82" t="s">
        <v>11201</v>
      </c>
      <c r="D946" s="83" t="s">
        <v>10046</v>
      </c>
      <c r="E946" s="83" t="s">
        <v>11177</v>
      </c>
      <c r="F946" s="92">
        <v>7.0</v>
      </c>
      <c r="G946" s="288" t="s">
        <v>655</v>
      </c>
    </row>
    <row r="947" ht="15.0" customHeight="1">
      <c r="A947" s="224" t="s">
        <v>655</v>
      </c>
      <c r="B947" s="224" t="s">
        <v>94</v>
      </c>
      <c r="C947" s="82" t="s">
        <v>11202</v>
      </c>
      <c r="D947" s="83" t="s">
        <v>10046</v>
      </c>
      <c r="E947" s="83" t="s">
        <v>11087</v>
      </c>
      <c r="F947" s="92">
        <v>17.66</v>
      </c>
      <c r="G947" s="288" t="s">
        <v>655</v>
      </c>
    </row>
    <row r="948" ht="15.0" customHeight="1">
      <c r="A948" s="224" t="s">
        <v>655</v>
      </c>
      <c r="B948" s="224" t="s">
        <v>94</v>
      </c>
      <c r="C948" s="82" t="s">
        <v>11203</v>
      </c>
      <c r="D948" s="83" t="s">
        <v>10046</v>
      </c>
      <c r="E948" s="83" t="s">
        <v>11177</v>
      </c>
      <c r="F948" s="92">
        <v>7.0</v>
      </c>
      <c r="G948" s="288" t="s">
        <v>655</v>
      </c>
    </row>
    <row r="949" ht="15.0" customHeight="1">
      <c r="A949" s="224" t="s">
        <v>655</v>
      </c>
      <c r="B949" s="224" t="s">
        <v>94</v>
      </c>
      <c r="C949" s="82" t="s">
        <v>11204</v>
      </c>
      <c r="D949" s="83" t="s">
        <v>10046</v>
      </c>
      <c r="E949" s="83" t="s">
        <v>11181</v>
      </c>
      <c r="F949" s="92">
        <v>4.41</v>
      </c>
      <c r="G949" s="288" t="s">
        <v>655</v>
      </c>
    </row>
    <row r="950" ht="15.0" customHeight="1">
      <c r="A950" s="224" t="s">
        <v>655</v>
      </c>
      <c r="B950" s="224" t="s">
        <v>94</v>
      </c>
      <c r="C950" s="82" t="s">
        <v>11205</v>
      </c>
      <c r="D950" s="83" t="s">
        <v>10046</v>
      </c>
      <c r="E950" s="83" t="s">
        <v>11097</v>
      </c>
      <c r="F950" s="92">
        <v>1.75</v>
      </c>
      <c r="G950" s="288" t="s">
        <v>655</v>
      </c>
    </row>
    <row r="951" ht="15.0" customHeight="1">
      <c r="A951" s="224" t="s">
        <v>655</v>
      </c>
      <c r="B951" s="224" t="s">
        <v>94</v>
      </c>
      <c r="C951" s="82" t="s">
        <v>11206</v>
      </c>
      <c r="D951" s="83" t="s">
        <v>10046</v>
      </c>
      <c r="E951" s="83" t="s">
        <v>11184</v>
      </c>
      <c r="F951" s="92">
        <v>1.76</v>
      </c>
      <c r="G951" s="288" t="s">
        <v>655</v>
      </c>
    </row>
    <row r="952" ht="15.0" customHeight="1">
      <c r="A952" s="416" t="s">
        <v>655</v>
      </c>
      <c r="B952" s="416" t="s">
        <v>94</v>
      </c>
      <c r="C952" s="352" t="s">
        <v>11207</v>
      </c>
      <c r="D952" s="489" t="s">
        <v>10046</v>
      </c>
      <c r="E952" s="489" t="s">
        <v>11186</v>
      </c>
      <c r="F952" s="419">
        <v>0.7</v>
      </c>
      <c r="G952" s="288" t="s">
        <v>655</v>
      </c>
    </row>
    <row r="953" ht="15.0" customHeight="1">
      <c r="A953" s="224" t="s">
        <v>5777</v>
      </c>
      <c r="B953" s="224" t="s">
        <v>94</v>
      </c>
      <c r="C953" s="82" t="s">
        <v>11208</v>
      </c>
      <c r="D953" s="83" t="s">
        <v>10046</v>
      </c>
      <c r="E953" s="83" t="s">
        <v>11209</v>
      </c>
      <c r="F953" s="92">
        <v>14.333</v>
      </c>
      <c r="G953" s="288" t="s">
        <v>3008</v>
      </c>
    </row>
    <row r="954" ht="15.0" customHeight="1">
      <c r="A954" s="224" t="s">
        <v>5777</v>
      </c>
      <c r="B954" s="224" t="s">
        <v>94</v>
      </c>
      <c r="C954" s="82" t="s">
        <v>11210</v>
      </c>
      <c r="D954" s="83" t="s">
        <v>10046</v>
      </c>
      <c r="E954" s="83" t="s">
        <v>11209</v>
      </c>
      <c r="F954" s="92">
        <v>14.333</v>
      </c>
      <c r="G954" s="288" t="s">
        <v>3008</v>
      </c>
    </row>
    <row r="955" ht="15.0" customHeight="1">
      <c r="A955" s="224" t="s">
        <v>5777</v>
      </c>
      <c r="B955" s="224" t="s">
        <v>94</v>
      </c>
      <c r="C955" s="82" t="s">
        <v>11211</v>
      </c>
      <c r="D955" s="83" t="s">
        <v>10046</v>
      </c>
      <c r="E955" s="83" t="s">
        <v>11212</v>
      </c>
      <c r="F955" s="92">
        <v>3.583</v>
      </c>
      <c r="G955" s="288" t="s">
        <v>3008</v>
      </c>
    </row>
    <row r="956" ht="15.0" customHeight="1">
      <c r="A956" s="224" t="s">
        <v>5777</v>
      </c>
      <c r="B956" s="224" t="s">
        <v>94</v>
      </c>
      <c r="C956" s="82" t="s">
        <v>11213</v>
      </c>
      <c r="D956" s="83" t="s">
        <v>10046</v>
      </c>
      <c r="E956" s="83" t="s">
        <v>11214</v>
      </c>
      <c r="F956" s="92">
        <v>1.433</v>
      </c>
      <c r="G956" s="288" t="s">
        <v>3008</v>
      </c>
    </row>
    <row r="957" ht="15.0" customHeight="1">
      <c r="A957" s="224" t="s">
        <v>5777</v>
      </c>
      <c r="B957" s="224" t="s">
        <v>94</v>
      </c>
      <c r="C957" s="82" t="s">
        <v>11215</v>
      </c>
      <c r="D957" s="83" t="s">
        <v>11216</v>
      </c>
      <c r="E957" s="83" t="s">
        <v>11217</v>
      </c>
      <c r="F957" s="92">
        <v>3.67</v>
      </c>
      <c r="G957" s="288" t="s">
        <v>3008</v>
      </c>
    </row>
    <row r="958" ht="15.0" customHeight="1">
      <c r="A958" s="224" t="s">
        <v>5777</v>
      </c>
      <c r="B958" s="224" t="s">
        <v>94</v>
      </c>
      <c r="C958" s="82" t="s">
        <v>11218</v>
      </c>
      <c r="D958" s="83" t="s">
        <v>11216</v>
      </c>
      <c r="E958" s="83" t="s">
        <v>11217</v>
      </c>
      <c r="F958" s="92">
        <v>3.67</v>
      </c>
      <c r="G958" s="288" t="s">
        <v>3008</v>
      </c>
    </row>
    <row r="959" ht="15.0" customHeight="1">
      <c r="A959" s="224" t="s">
        <v>5777</v>
      </c>
      <c r="B959" s="224" t="s">
        <v>94</v>
      </c>
      <c r="C959" s="82" t="s">
        <v>11219</v>
      </c>
      <c r="D959" s="83" t="s">
        <v>11216</v>
      </c>
      <c r="E959" s="83" t="s">
        <v>11220</v>
      </c>
      <c r="F959" s="92">
        <v>0.92</v>
      </c>
      <c r="G959" s="288" t="s">
        <v>3008</v>
      </c>
    </row>
    <row r="960" ht="15.0" customHeight="1">
      <c r="A960" s="224" t="s">
        <v>5777</v>
      </c>
      <c r="B960" s="224" t="s">
        <v>94</v>
      </c>
      <c r="C960" s="82" t="s">
        <v>11221</v>
      </c>
      <c r="D960" s="83" t="s">
        <v>11216</v>
      </c>
      <c r="E960" s="83" t="s">
        <v>11222</v>
      </c>
      <c r="F960" s="92">
        <v>0.37</v>
      </c>
      <c r="G960" s="288" t="s">
        <v>3008</v>
      </c>
    </row>
    <row r="961" ht="15.0" customHeight="1">
      <c r="A961" s="224" t="s">
        <v>5777</v>
      </c>
      <c r="B961" s="224" t="s">
        <v>94</v>
      </c>
      <c r="C961" s="82" t="s">
        <v>11223</v>
      </c>
      <c r="D961" s="83" t="s">
        <v>10046</v>
      </c>
      <c r="E961" s="83" t="s">
        <v>11224</v>
      </c>
      <c r="F961" s="92">
        <v>4.333</v>
      </c>
      <c r="G961" s="288" t="s">
        <v>3008</v>
      </c>
    </row>
    <row r="962" ht="15.0" customHeight="1">
      <c r="A962" s="224" t="s">
        <v>5777</v>
      </c>
      <c r="B962" s="224" t="s">
        <v>94</v>
      </c>
      <c r="C962" s="82" t="s">
        <v>11225</v>
      </c>
      <c r="D962" s="83" t="s">
        <v>10046</v>
      </c>
      <c r="E962" s="83" t="s">
        <v>11224</v>
      </c>
      <c r="F962" s="92">
        <v>4.333</v>
      </c>
      <c r="G962" s="288" t="s">
        <v>3008</v>
      </c>
    </row>
    <row r="963" ht="15.0" customHeight="1">
      <c r="A963" s="224" t="s">
        <v>5777</v>
      </c>
      <c r="B963" s="224" t="s">
        <v>94</v>
      </c>
      <c r="C963" s="82" t="s">
        <v>11226</v>
      </c>
      <c r="D963" s="83" t="s">
        <v>10046</v>
      </c>
      <c r="E963" s="83" t="s">
        <v>11227</v>
      </c>
      <c r="F963" s="92">
        <v>1.083</v>
      </c>
      <c r="G963" s="288" t="s">
        <v>3008</v>
      </c>
    </row>
    <row r="964" ht="15.0" customHeight="1">
      <c r="A964" s="224" t="s">
        <v>5777</v>
      </c>
      <c r="B964" s="224" t="s">
        <v>94</v>
      </c>
      <c r="C964" s="82" t="s">
        <v>11228</v>
      </c>
      <c r="D964" s="83" t="s">
        <v>10046</v>
      </c>
      <c r="E964" s="83" t="s">
        <v>11229</v>
      </c>
      <c r="F964" s="92">
        <v>0.433</v>
      </c>
      <c r="G964" s="288" t="s">
        <v>3008</v>
      </c>
    </row>
    <row r="965" ht="15.0" customHeight="1">
      <c r="A965" s="224" t="s">
        <v>5777</v>
      </c>
      <c r="B965" s="224" t="s">
        <v>94</v>
      </c>
      <c r="C965" s="82" t="s">
        <v>11230</v>
      </c>
      <c r="D965" s="83" t="s">
        <v>10046</v>
      </c>
      <c r="E965" s="83" t="s">
        <v>11231</v>
      </c>
      <c r="F965" s="92">
        <v>9.0</v>
      </c>
      <c r="G965" s="288" t="s">
        <v>3008</v>
      </c>
    </row>
    <row r="966" ht="15.0" customHeight="1">
      <c r="A966" s="224" t="s">
        <v>5777</v>
      </c>
      <c r="B966" s="224" t="s">
        <v>94</v>
      </c>
      <c r="C966" s="82" t="s">
        <v>11232</v>
      </c>
      <c r="D966" s="83" t="s">
        <v>10046</v>
      </c>
      <c r="E966" s="83" t="s">
        <v>11231</v>
      </c>
      <c r="F966" s="92">
        <v>9.0</v>
      </c>
      <c r="G966" s="288" t="s">
        <v>3008</v>
      </c>
    </row>
    <row r="967" ht="15.0" customHeight="1">
      <c r="A967" s="224" t="s">
        <v>5777</v>
      </c>
      <c r="B967" s="224" t="s">
        <v>94</v>
      </c>
      <c r="C967" s="82" t="s">
        <v>11233</v>
      </c>
      <c r="D967" s="83" t="s">
        <v>10046</v>
      </c>
      <c r="E967" s="83" t="s">
        <v>11234</v>
      </c>
      <c r="F967" s="92">
        <v>2.25</v>
      </c>
      <c r="G967" s="288" t="s">
        <v>3008</v>
      </c>
    </row>
    <row r="968" ht="15.0" customHeight="1">
      <c r="A968" s="224" t="s">
        <v>5777</v>
      </c>
      <c r="B968" s="224" t="s">
        <v>94</v>
      </c>
      <c r="C968" s="82" t="s">
        <v>11235</v>
      </c>
      <c r="D968" s="83" t="s">
        <v>10046</v>
      </c>
      <c r="E968" s="83" t="s">
        <v>11236</v>
      </c>
      <c r="F968" s="92">
        <v>0.9</v>
      </c>
      <c r="G968" s="288" t="s">
        <v>3008</v>
      </c>
    </row>
    <row r="969" ht="15.0" customHeight="1">
      <c r="A969" s="224" t="s">
        <v>5777</v>
      </c>
      <c r="B969" s="224" t="s">
        <v>94</v>
      </c>
      <c r="C969" s="82" t="s">
        <v>11237</v>
      </c>
      <c r="D969" s="83" t="s">
        <v>11238</v>
      </c>
      <c r="E969" s="83" t="s">
        <v>11239</v>
      </c>
      <c r="F969" s="92">
        <v>5.0</v>
      </c>
      <c r="G969" s="288" t="s">
        <v>3008</v>
      </c>
    </row>
    <row r="970" ht="15.0" customHeight="1">
      <c r="A970" s="224" t="s">
        <v>5777</v>
      </c>
      <c r="B970" s="224" t="s">
        <v>94</v>
      </c>
      <c r="C970" s="82" t="s">
        <v>11240</v>
      </c>
      <c r="D970" s="83" t="s">
        <v>11241</v>
      </c>
      <c r="E970" s="83" t="s">
        <v>11242</v>
      </c>
      <c r="F970" s="92">
        <v>2.5</v>
      </c>
      <c r="G970" s="288" t="s">
        <v>3008</v>
      </c>
    </row>
    <row r="971" ht="15.0" customHeight="1">
      <c r="A971" s="224" t="s">
        <v>5777</v>
      </c>
      <c r="B971" s="224" t="s">
        <v>94</v>
      </c>
      <c r="C971" s="82" t="s">
        <v>11243</v>
      </c>
      <c r="D971" s="83" t="s">
        <v>11241</v>
      </c>
      <c r="E971" s="83" t="s">
        <v>11244</v>
      </c>
      <c r="F971" s="92">
        <v>0.5625</v>
      </c>
      <c r="G971" s="288" t="s">
        <v>3008</v>
      </c>
    </row>
    <row r="972" ht="15.0" customHeight="1">
      <c r="A972" s="224" t="s">
        <v>5777</v>
      </c>
      <c r="B972" s="224" t="s">
        <v>94</v>
      </c>
      <c r="C972" s="82" t="s">
        <v>11245</v>
      </c>
      <c r="D972" s="83" t="s">
        <v>11241</v>
      </c>
      <c r="E972" s="83" t="s">
        <v>11246</v>
      </c>
      <c r="F972" s="92">
        <v>0.25</v>
      </c>
      <c r="G972" s="288" t="s">
        <v>3008</v>
      </c>
    </row>
    <row r="973" ht="15.0" customHeight="1">
      <c r="A973" s="224" t="s">
        <v>5777</v>
      </c>
      <c r="B973" s="224" t="s">
        <v>94</v>
      </c>
      <c r="C973" s="82" t="s">
        <v>11247</v>
      </c>
      <c r="D973" s="83" t="s">
        <v>11248</v>
      </c>
      <c r="E973" s="83" t="s">
        <v>11249</v>
      </c>
      <c r="F973" s="92">
        <v>10.0</v>
      </c>
      <c r="G973" s="288" t="s">
        <v>3008</v>
      </c>
    </row>
    <row r="974" ht="15.0" customHeight="1">
      <c r="A974" s="224" t="s">
        <v>5777</v>
      </c>
      <c r="B974" s="224" t="s">
        <v>94</v>
      </c>
      <c r="C974" s="82" t="s">
        <v>11250</v>
      </c>
      <c r="D974" s="83" t="s">
        <v>11241</v>
      </c>
      <c r="E974" s="83" t="s">
        <v>11251</v>
      </c>
      <c r="F974" s="92">
        <v>5.0</v>
      </c>
      <c r="G974" s="288" t="s">
        <v>3008</v>
      </c>
    </row>
    <row r="975" ht="15.0" customHeight="1">
      <c r="A975" s="224" t="s">
        <v>5777</v>
      </c>
      <c r="B975" s="224" t="s">
        <v>94</v>
      </c>
      <c r="C975" s="82" t="s">
        <v>11252</v>
      </c>
      <c r="D975" s="83" t="s">
        <v>11241</v>
      </c>
      <c r="E975" s="83" t="s">
        <v>11253</v>
      </c>
      <c r="F975" s="92">
        <v>1.25</v>
      </c>
      <c r="G975" s="288" t="s">
        <v>3008</v>
      </c>
    </row>
    <row r="976" ht="15.0" customHeight="1">
      <c r="A976" s="224" t="s">
        <v>5777</v>
      </c>
      <c r="B976" s="224" t="s">
        <v>94</v>
      </c>
      <c r="C976" s="82" t="s">
        <v>11254</v>
      </c>
      <c r="D976" s="83" t="s">
        <v>11241</v>
      </c>
      <c r="E976" s="83" t="s">
        <v>11255</v>
      </c>
      <c r="F976" s="92">
        <v>0.5</v>
      </c>
      <c r="G976" s="288" t="s">
        <v>3008</v>
      </c>
    </row>
    <row r="977" ht="15.0" customHeight="1">
      <c r="A977" s="224" t="s">
        <v>5777</v>
      </c>
      <c r="B977" s="224" t="s">
        <v>94</v>
      </c>
      <c r="C977" s="82" t="s">
        <v>11256</v>
      </c>
      <c r="D977" s="83" t="s">
        <v>11257</v>
      </c>
      <c r="E977" s="83" t="s">
        <v>11249</v>
      </c>
      <c r="F977" s="92">
        <v>10.0</v>
      </c>
      <c r="G977" s="288" t="s">
        <v>3008</v>
      </c>
    </row>
    <row r="978" ht="15.0" customHeight="1">
      <c r="A978" s="224" t="s">
        <v>5777</v>
      </c>
      <c r="B978" s="224" t="s">
        <v>94</v>
      </c>
      <c r="C978" s="82" t="s">
        <v>11258</v>
      </c>
      <c r="D978" s="83" t="s">
        <v>11241</v>
      </c>
      <c r="E978" s="83" t="s">
        <v>11251</v>
      </c>
      <c r="F978" s="92">
        <v>5.0</v>
      </c>
      <c r="G978" s="288" t="s">
        <v>3008</v>
      </c>
    </row>
    <row r="979" ht="15.0" customHeight="1">
      <c r="A979" s="224" t="s">
        <v>5777</v>
      </c>
      <c r="B979" s="224" t="s">
        <v>94</v>
      </c>
      <c r="C979" s="82" t="s">
        <v>11259</v>
      </c>
      <c r="D979" s="83" t="s">
        <v>11241</v>
      </c>
      <c r="E979" s="83" t="s">
        <v>11253</v>
      </c>
      <c r="F979" s="92">
        <v>1.25</v>
      </c>
      <c r="G979" s="288" t="s">
        <v>3008</v>
      </c>
    </row>
    <row r="980" ht="15.0" customHeight="1">
      <c r="A980" s="224" t="s">
        <v>5777</v>
      </c>
      <c r="B980" s="224" t="s">
        <v>94</v>
      </c>
      <c r="C980" s="82" t="s">
        <v>11260</v>
      </c>
      <c r="D980" s="83" t="s">
        <v>11241</v>
      </c>
      <c r="E980" s="83" t="s">
        <v>11255</v>
      </c>
      <c r="F980" s="92">
        <v>0.5</v>
      </c>
      <c r="G980" s="288" t="s">
        <v>3008</v>
      </c>
    </row>
    <row r="981" ht="15.0" customHeight="1">
      <c r="A981" s="224" t="s">
        <v>8632</v>
      </c>
      <c r="B981" s="224" t="s">
        <v>94</v>
      </c>
      <c r="C981" s="82" t="s">
        <v>11261</v>
      </c>
      <c r="D981" s="83" t="s">
        <v>10046</v>
      </c>
      <c r="E981" s="83">
        <v>54.3</v>
      </c>
      <c r="F981" s="83">
        <v>54.3</v>
      </c>
      <c r="G981" s="288" t="s">
        <v>8632</v>
      </c>
    </row>
    <row r="982" ht="15.0" customHeight="1">
      <c r="A982" s="224" t="s">
        <v>8632</v>
      </c>
      <c r="B982" s="224" t="s">
        <v>94</v>
      </c>
      <c r="C982" s="82" t="s">
        <v>11262</v>
      </c>
      <c r="D982" s="83" t="s">
        <v>10046</v>
      </c>
      <c r="E982" s="83">
        <v>54.3</v>
      </c>
      <c r="F982" s="83">
        <v>54.3</v>
      </c>
      <c r="G982" s="288" t="s">
        <v>8632</v>
      </c>
    </row>
    <row r="983" ht="15.0" customHeight="1">
      <c r="A983" s="224" t="s">
        <v>8632</v>
      </c>
      <c r="B983" s="224" t="s">
        <v>94</v>
      </c>
      <c r="C983" s="82" t="s">
        <v>11263</v>
      </c>
      <c r="D983" s="83" t="s">
        <v>10046</v>
      </c>
      <c r="E983" s="83">
        <v>4.33</v>
      </c>
      <c r="F983" s="83">
        <v>4.33</v>
      </c>
      <c r="G983" s="288" t="s">
        <v>8632</v>
      </c>
    </row>
    <row r="984" ht="15.0" customHeight="1">
      <c r="A984" s="224" t="s">
        <v>7955</v>
      </c>
      <c r="B984" s="224" t="s">
        <v>94</v>
      </c>
      <c r="C984" s="82" t="s">
        <v>11264</v>
      </c>
      <c r="D984" s="83" t="s">
        <v>10305</v>
      </c>
      <c r="E984" s="83" t="s">
        <v>11265</v>
      </c>
      <c r="F984" s="92">
        <v>12.87</v>
      </c>
      <c r="G984" s="288" t="s">
        <v>3018</v>
      </c>
    </row>
    <row r="985" ht="15.0" customHeight="1">
      <c r="A985" s="224" t="s">
        <v>7955</v>
      </c>
      <c r="B985" s="224" t="s">
        <v>94</v>
      </c>
      <c r="C985" s="82" t="s">
        <v>11266</v>
      </c>
      <c r="D985" s="83" t="s">
        <v>10305</v>
      </c>
      <c r="E985" s="83" t="s">
        <v>11265</v>
      </c>
      <c r="F985" s="92">
        <v>12.87</v>
      </c>
      <c r="G985" s="288" t="s">
        <v>3018</v>
      </c>
    </row>
    <row r="986" ht="15.0" customHeight="1">
      <c r="A986" s="224" t="s">
        <v>7955</v>
      </c>
      <c r="B986" s="224" t="s">
        <v>94</v>
      </c>
      <c r="C986" s="82" t="s">
        <v>11267</v>
      </c>
      <c r="D986" s="83" t="s">
        <v>10305</v>
      </c>
      <c r="E986" s="83" t="s">
        <v>11268</v>
      </c>
      <c r="F986" s="92">
        <v>3.22</v>
      </c>
      <c r="G986" s="288" t="s">
        <v>3018</v>
      </c>
    </row>
    <row r="987" ht="15.0" customHeight="1">
      <c r="A987" s="224" t="s">
        <v>7955</v>
      </c>
      <c r="B987" s="224" t="s">
        <v>94</v>
      </c>
      <c r="C987" s="82" t="s">
        <v>11269</v>
      </c>
      <c r="D987" s="83" t="s">
        <v>10305</v>
      </c>
      <c r="E987" s="83" t="s">
        <v>11270</v>
      </c>
      <c r="F987" s="92">
        <v>1.29</v>
      </c>
      <c r="G987" s="288" t="s">
        <v>3018</v>
      </c>
    </row>
    <row r="988" ht="15.0" customHeight="1">
      <c r="A988" s="224" t="s">
        <v>7955</v>
      </c>
      <c r="B988" s="224" t="s">
        <v>94</v>
      </c>
      <c r="C988" s="82" t="s">
        <v>11271</v>
      </c>
      <c r="D988" s="83" t="s">
        <v>10305</v>
      </c>
      <c r="E988" s="83" t="s">
        <v>11272</v>
      </c>
      <c r="F988" s="92">
        <v>10.0</v>
      </c>
      <c r="G988" s="288" t="s">
        <v>3018</v>
      </c>
    </row>
    <row r="989" ht="15.0" customHeight="1">
      <c r="A989" s="224" t="s">
        <v>7955</v>
      </c>
      <c r="B989" s="224" t="s">
        <v>94</v>
      </c>
      <c r="C989" s="82" t="s">
        <v>11273</v>
      </c>
      <c r="D989" s="83" t="s">
        <v>10305</v>
      </c>
      <c r="E989" s="83" t="s">
        <v>11265</v>
      </c>
      <c r="F989" s="92">
        <v>10.0</v>
      </c>
      <c r="G989" s="288" t="s">
        <v>3018</v>
      </c>
    </row>
    <row r="990" ht="15.0" customHeight="1">
      <c r="A990" s="224" t="s">
        <v>7955</v>
      </c>
      <c r="B990" s="224" t="s">
        <v>94</v>
      </c>
      <c r="C990" s="82" t="s">
        <v>11274</v>
      </c>
      <c r="D990" s="83" t="s">
        <v>10305</v>
      </c>
      <c r="E990" s="83" t="s">
        <v>11268</v>
      </c>
      <c r="F990" s="92">
        <v>2.5</v>
      </c>
      <c r="G990" s="288" t="s">
        <v>3018</v>
      </c>
    </row>
    <row r="991" ht="15.0" customHeight="1">
      <c r="A991" s="224" t="s">
        <v>7955</v>
      </c>
      <c r="B991" s="224" t="s">
        <v>94</v>
      </c>
      <c r="C991" s="82" t="s">
        <v>11275</v>
      </c>
      <c r="D991" s="83" t="s">
        <v>10305</v>
      </c>
      <c r="E991" s="83" t="s">
        <v>11270</v>
      </c>
      <c r="F991" s="92">
        <v>1.0</v>
      </c>
      <c r="G991" s="288" t="s">
        <v>3018</v>
      </c>
    </row>
    <row r="992" ht="15.0" customHeight="1">
      <c r="A992" s="224" t="s">
        <v>7955</v>
      </c>
      <c r="B992" s="224" t="s">
        <v>94</v>
      </c>
      <c r="C992" s="82" t="s">
        <v>11276</v>
      </c>
      <c r="D992" s="83" t="s">
        <v>10305</v>
      </c>
      <c r="E992" s="83" t="s">
        <v>11272</v>
      </c>
      <c r="F992" s="92">
        <v>10.0</v>
      </c>
      <c r="G992" s="288" t="s">
        <v>3018</v>
      </c>
    </row>
    <row r="993" ht="15.0" customHeight="1">
      <c r="A993" s="224" t="s">
        <v>7955</v>
      </c>
      <c r="B993" s="224" t="s">
        <v>94</v>
      </c>
      <c r="C993" s="82" t="s">
        <v>11277</v>
      </c>
      <c r="D993" s="83" t="s">
        <v>10305</v>
      </c>
      <c r="E993" s="83" t="s">
        <v>11265</v>
      </c>
      <c r="F993" s="92">
        <v>10.0</v>
      </c>
      <c r="G993" s="288" t="s">
        <v>3018</v>
      </c>
    </row>
    <row r="994" ht="15.0" customHeight="1">
      <c r="A994" s="224" t="s">
        <v>7955</v>
      </c>
      <c r="B994" s="224" t="s">
        <v>94</v>
      </c>
      <c r="C994" s="82" t="s">
        <v>11278</v>
      </c>
      <c r="D994" s="83" t="s">
        <v>10305</v>
      </c>
      <c r="E994" s="83" t="s">
        <v>11268</v>
      </c>
      <c r="F994" s="92">
        <v>2.5</v>
      </c>
      <c r="G994" s="288" t="s">
        <v>3018</v>
      </c>
    </row>
    <row r="995" ht="15.0" customHeight="1">
      <c r="A995" s="224" t="s">
        <v>7955</v>
      </c>
      <c r="B995" s="224" t="s">
        <v>94</v>
      </c>
      <c r="C995" s="82" t="s">
        <v>11279</v>
      </c>
      <c r="D995" s="83" t="s">
        <v>10305</v>
      </c>
      <c r="E995" s="83" t="s">
        <v>11270</v>
      </c>
      <c r="F995" s="92">
        <v>1.0</v>
      </c>
      <c r="G995" s="288" t="s">
        <v>3018</v>
      </c>
    </row>
    <row r="996" ht="15.0" customHeight="1">
      <c r="A996" s="224" t="s">
        <v>7955</v>
      </c>
      <c r="B996" s="224" t="s">
        <v>52</v>
      </c>
      <c r="C996" s="82" t="s">
        <v>11280</v>
      </c>
      <c r="D996" s="83" t="s">
        <v>10305</v>
      </c>
      <c r="E996" s="83" t="s">
        <v>11281</v>
      </c>
      <c r="F996" s="92">
        <v>8.0</v>
      </c>
      <c r="G996" s="288" t="s">
        <v>3018</v>
      </c>
    </row>
    <row r="997" ht="15.0" customHeight="1">
      <c r="A997" s="224" t="s">
        <v>7955</v>
      </c>
      <c r="B997" s="224" t="s">
        <v>94</v>
      </c>
      <c r="C997" s="82" t="s">
        <v>11282</v>
      </c>
      <c r="D997" s="83" t="s">
        <v>10957</v>
      </c>
      <c r="E997" s="83" t="s">
        <v>11283</v>
      </c>
      <c r="F997" s="92">
        <v>8.0</v>
      </c>
      <c r="G997" s="288" t="s">
        <v>3018</v>
      </c>
    </row>
    <row r="998" ht="15.0" customHeight="1">
      <c r="A998" s="224" t="s">
        <v>7955</v>
      </c>
      <c r="B998" s="224" t="s">
        <v>94</v>
      </c>
      <c r="C998" s="82" t="s">
        <v>11284</v>
      </c>
      <c r="D998" s="83" t="s">
        <v>10952</v>
      </c>
      <c r="E998" s="83" t="s">
        <v>11285</v>
      </c>
      <c r="F998" s="92">
        <v>10.0</v>
      </c>
      <c r="G998" s="288" t="s">
        <v>3018</v>
      </c>
    </row>
    <row r="999" ht="15.0" customHeight="1">
      <c r="A999" s="224" t="s">
        <v>7955</v>
      </c>
      <c r="B999" s="224" t="s">
        <v>94</v>
      </c>
      <c r="C999" s="82" t="s">
        <v>11286</v>
      </c>
      <c r="D999" s="83" t="s">
        <v>10952</v>
      </c>
      <c r="E999" s="83" t="s">
        <v>11287</v>
      </c>
      <c r="F999" s="92">
        <f>83/3*2</f>
        <v>55.33333333</v>
      </c>
      <c r="G999" s="288" t="s">
        <v>3018</v>
      </c>
    </row>
    <row r="1000" ht="15.0" customHeight="1">
      <c r="A1000" s="224" t="s">
        <v>5706</v>
      </c>
      <c r="B1000" s="224" t="s">
        <v>94</v>
      </c>
      <c r="C1000" s="82" t="s">
        <v>11288</v>
      </c>
      <c r="D1000" s="83" t="s">
        <v>10046</v>
      </c>
      <c r="E1000" s="83">
        <v>11.33</v>
      </c>
      <c r="F1000" s="92">
        <v>11.33</v>
      </c>
      <c r="G1000" s="288" t="s">
        <v>5709</v>
      </c>
    </row>
    <row r="1001" ht="15.0" customHeight="1">
      <c r="A1001" s="224" t="s">
        <v>5706</v>
      </c>
      <c r="B1001" s="224" t="s">
        <v>94</v>
      </c>
      <c r="C1001" s="82" t="s">
        <v>11289</v>
      </c>
      <c r="D1001" s="83" t="s">
        <v>10046</v>
      </c>
      <c r="E1001" s="83">
        <v>11.33</v>
      </c>
      <c r="F1001" s="92">
        <v>11.33</v>
      </c>
      <c r="G1001" s="288" t="s">
        <v>5709</v>
      </c>
    </row>
    <row r="1002" ht="15.0" customHeight="1">
      <c r="A1002" s="224" t="s">
        <v>5706</v>
      </c>
      <c r="B1002" s="224" t="s">
        <v>94</v>
      </c>
      <c r="C1002" s="82" t="s">
        <v>11290</v>
      </c>
      <c r="D1002" s="83" t="s">
        <v>10046</v>
      </c>
      <c r="E1002" s="83">
        <v>11.33</v>
      </c>
      <c r="F1002" s="92">
        <v>11.33</v>
      </c>
      <c r="G1002" s="288" t="s">
        <v>5709</v>
      </c>
    </row>
    <row r="1003" ht="15.0" customHeight="1">
      <c r="A1003" s="224" t="s">
        <v>5706</v>
      </c>
      <c r="B1003" s="224" t="s">
        <v>94</v>
      </c>
      <c r="C1003" s="82" t="s">
        <v>11291</v>
      </c>
      <c r="D1003" s="83" t="s">
        <v>10046</v>
      </c>
      <c r="E1003" s="83">
        <v>4.33</v>
      </c>
      <c r="F1003" s="92">
        <v>4.33</v>
      </c>
      <c r="G1003" s="288" t="s">
        <v>5709</v>
      </c>
    </row>
    <row r="1004" ht="15.0" customHeight="1">
      <c r="A1004" s="224" t="s">
        <v>5706</v>
      </c>
      <c r="B1004" s="224" t="s">
        <v>94</v>
      </c>
      <c r="C1004" s="82" t="s">
        <v>11292</v>
      </c>
      <c r="D1004" s="83" t="s">
        <v>10046</v>
      </c>
      <c r="E1004" s="83">
        <v>4.33</v>
      </c>
      <c r="F1004" s="92">
        <v>3.33</v>
      </c>
      <c r="G1004" s="288" t="s">
        <v>5709</v>
      </c>
    </row>
    <row r="1005" ht="15.0" customHeight="1">
      <c r="A1005" s="224" t="s">
        <v>5706</v>
      </c>
      <c r="B1005" s="224" t="s">
        <v>94</v>
      </c>
      <c r="C1005" s="82" t="s">
        <v>11293</v>
      </c>
      <c r="D1005" s="83" t="s">
        <v>10046</v>
      </c>
      <c r="E1005" s="83">
        <v>4.33</v>
      </c>
      <c r="F1005" s="92">
        <v>4.33</v>
      </c>
      <c r="G1005" s="288" t="s">
        <v>5709</v>
      </c>
    </row>
    <row r="1006" ht="15.0" customHeight="1">
      <c r="A1006" s="224" t="s">
        <v>5706</v>
      </c>
      <c r="B1006" s="224" t="s">
        <v>94</v>
      </c>
      <c r="C1006" s="82" t="s">
        <v>11294</v>
      </c>
      <c r="D1006" s="83" t="s">
        <v>10046</v>
      </c>
      <c r="E1006" s="83">
        <v>9.0</v>
      </c>
      <c r="F1006" s="92">
        <v>9.0</v>
      </c>
      <c r="G1006" s="288" t="s">
        <v>5709</v>
      </c>
    </row>
    <row r="1007" ht="15.0" customHeight="1">
      <c r="A1007" s="224" t="s">
        <v>5706</v>
      </c>
      <c r="B1007" s="224" t="s">
        <v>94</v>
      </c>
      <c r="C1007" s="82" t="s">
        <v>11295</v>
      </c>
      <c r="D1007" s="83" t="s">
        <v>10046</v>
      </c>
      <c r="E1007" s="83">
        <v>9.0</v>
      </c>
      <c r="F1007" s="92">
        <v>9.0</v>
      </c>
      <c r="G1007" s="288" t="s">
        <v>5709</v>
      </c>
    </row>
    <row r="1008" ht="15.0" customHeight="1">
      <c r="A1008" s="224" t="s">
        <v>5706</v>
      </c>
      <c r="B1008" s="224" t="s">
        <v>94</v>
      </c>
      <c r="C1008" s="82" t="s">
        <v>11296</v>
      </c>
      <c r="D1008" s="83" t="s">
        <v>10046</v>
      </c>
      <c r="E1008" s="83">
        <v>9.0</v>
      </c>
      <c r="F1008" s="92">
        <v>9.0</v>
      </c>
      <c r="G1008" s="288" t="s">
        <v>5709</v>
      </c>
    </row>
    <row r="1009" ht="15.0" customHeight="1">
      <c r="A1009" s="224" t="s">
        <v>5706</v>
      </c>
      <c r="B1009" s="224" t="s">
        <v>94</v>
      </c>
      <c r="C1009" s="82" t="s">
        <v>11297</v>
      </c>
      <c r="D1009" s="83" t="s">
        <v>10046</v>
      </c>
      <c r="E1009" s="83">
        <v>3.67</v>
      </c>
      <c r="F1009" s="92">
        <v>3.67</v>
      </c>
      <c r="G1009" s="288" t="s">
        <v>5709</v>
      </c>
    </row>
    <row r="1010" ht="15.0" customHeight="1">
      <c r="A1010" s="224" t="s">
        <v>5706</v>
      </c>
      <c r="B1010" s="224" t="s">
        <v>94</v>
      </c>
      <c r="C1010" s="82" t="s">
        <v>11298</v>
      </c>
      <c r="D1010" s="83" t="s">
        <v>10046</v>
      </c>
      <c r="E1010" s="83">
        <v>3.67</v>
      </c>
      <c r="F1010" s="92">
        <v>3.67</v>
      </c>
      <c r="G1010" s="288" t="s">
        <v>5709</v>
      </c>
    </row>
    <row r="1011" ht="15.0" customHeight="1">
      <c r="A1011" s="224" t="s">
        <v>5706</v>
      </c>
      <c r="B1011" s="224" t="s">
        <v>94</v>
      </c>
      <c r="C1011" s="82" t="s">
        <v>11299</v>
      </c>
      <c r="D1011" s="83" t="s">
        <v>10046</v>
      </c>
      <c r="E1011" s="83">
        <v>3.67</v>
      </c>
      <c r="F1011" s="92">
        <v>3.67</v>
      </c>
      <c r="G1011" s="288" t="s">
        <v>5709</v>
      </c>
    </row>
    <row r="1012" ht="15.0" customHeight="1">
      <c r="A1012" s="224" t="s">
        <v>5706</v>
      </c>
      <c r="B1012" s="224" t="s">
        <v>94</v>
      </c>
      <c r="C1012" s="82" t="s">
        <v>11300</v>
      </c>
      <c r="D1012" s="83" t="s">
        <v>10046</v>
      </c>
      <c r="E1012" s="83">
        <v>10.0</v>
      </c>
      <c r="F1012" s="92">
        <v>0.0</v>
      </c>
      <c r="G1012" s="288" t="s">
        <v>5709</v>
      </c>
    </row>
    <row r="1013" ht="15.0" customHeight="1">
      <c r="A1013" s="224" t="s">
        <v>5706</v>
      </c>
      <c r="B1013" s="224" t="s">
        <v>94</v>
      </c>
      <c r="C1013" s="82" t="s">
        <v>11301</v>
      </c>
      <c r="D1013" s="83" t="s">
        <v>10046</v>
      </c>
      <c r="E1013" s="83">
        <v>10.0</v>
      </c>
      <c r="F1013" s="92">
        <v>10.0</v>
      </c>
      <c r="G1013" s="288" t="s">
        <v>5709</v>
      </c>
    </row>
    <row r="1014" ht="15.0" customHeight="1">
      <c r="A1014" s="224" t="s">
        <v>5706</v>
      </c>
      <c r="B1014" s="224" t="s">
        <v>94</v>
      </c>
      <c r="C1014" s="82" t="s">
        <v>11302</v>
      </c>
      <c r="D1014" s="83" t="s">
        <v>10046</v>
      </c>
      <c r="E1014" s="83">
        <v>10.0</v>
      </c>
      <c r="F1014" s="92">
        <v>0.0</v>
      </c>
      <c r="G1014" s="288" t="s">
        <v>5709</v>
      </c>
    </row>
    <row r="1015" ht="15.0" customHeight="1">
      <c r="A1015" s="224" t="s">
        <v>5706</v>
      </c>
      <c r="B1015" s="224" t="s">
        <v>94</v>
      </c>
      <c r="C1015" s="82" t="s">
        <v>11303</v>
      </c>
      <c r="D1015" s="83" t="s">
        <v>10046</v>
      </c>
      <c r="E1015" s="83">
        <v>5.0</v>
      </c>
      <c r="F1015" s="92">
        <v>0.0</v>
      </c>
      <c r="G1015" s="288" t="s">
        <v>5709</v>
      </c>
    </row>
    <row r="1016" ht="15.0" customHeight="1">
      <c r="A1016" s="224" t="s">
        <v>5706</v>
      </c>
      <c r="B1016" s="224" t="s">
        <v>94</v>
      </c>
      <c r="C1016" s="82" t="s">
        <v>11304</v>
      </c>
      <c r="D1016" s="83" t="s">
        <v>10046</v>
      </c>
      <c r="E1016" s="83">
        <v>5.0</v>
      </c>
      <c r="F1016" s="92">
        <v>0.0</v>
      </c>
      <c r="G1016" s="288" t="s">
        <v>5709</v>
      </c>
    </row>
    <row r="1017" ht="15.0" customHeight="1">
      <c r="A1017" s="224" t="s">
        <v>5706</v>
      </c>
      <c r="B1017" s="224" t="s">
        <v>94</v>
      </c>
      <c r="C1017" s="82" t="s">
        <v>11305</v>
      </c>
      <c r="D1017" s="83" t="s">
        <v>10046</v>
      </c>
      <c r="E1017" s="83">
        <v>5.0</v>
      </c>
      <c r="F1017" s="92">
        <v>0.0</v>
      </c>
      <c r="G1017" s="288" t="s">
        <v>5709</v>
      </c>
    </row>
    <row r="1018" ht="15.0" customHeight="1">
      <c r="A1018" s="224" t="s">
        <v>5706</v>
      </c>
      <c r="B1018" s="224" t="s">
        <v>94</v>
      </c>
      <c r="C1018" s="82" t="s">
        <v>11306</v>
      </c>
      <c r="D1018" s="83" t="s">
        <v>10046</v>
      </c>
      <c r="E1018" s="83">
        <v>6.0</v>
      </c>
      <c r="F1018" s="92">
        <v>6.0</v>
      </c>
      <c r="G1018" s="288" t="s">
        <v>5709</v>
      </c>
    </row>
    <row r="1019" ht="15.0" customHeight="1">
      <c r="A1019" s="224" t="s">
        <v>5706</v>
      </c>
      <c r="B1019" s="224" t="s">
        <v>94</v>
      </c>
      <c r="C1019" s="82" t="s">
        <v>11307</v>
      </c>
      <c r="D1019" s="83" t="s">
        <v>10046</v>
      </c>
      <c r="E1019" s="83">
        <v>6.0</v>
      </c>
      <c r="F1019" s="92">
        <v>6.0</v>
      </c>
      <c r="G1019" s="288" t="s">
        <v>5709</v>
      </c>
    </row>
    <row r="1020" ht="15.0" customHeight="1">
      <c r="A1020" s="224" t="s">
        <v>5706</v>
      </c>
      <c r="B1020" s="224" t="s">
        <v>94</v>
      </c>
      <c r="C1020" s="82" t="s">
        <v>11308</v>
      </c>
      <c r="D1020" s="83" t="s">
        <v>10046</v>
      </c>
      <c r="E1020" s="83">
        <v>6.0</v>
      </c>
      <c r="F1020" s="92">
        <v>6.0</v>
      </c>
      <c r="G1020" s="288" t="s">
        <v>5709</v>
      </c>
    </row>
    <row r="1021" ht="15.0" customHeight="1">
      <c r="A1021" s="224" t="s">
        <v>5706</v>
      </c>
      <c r="B1021" s="224" t="s">
        <v>94</v>
      </c>
      <c r="C1021" s="82" t="s">
        <v>11309</v>
      </c>
      <c r="D1021" s="83" t="s">
        <v>10072</v>
      </c>
      <c r="E1021" s="83">
        <v>2.165</v>
      </c>
      <c r="F1021" s="92">
        <v>2.615</v>
      </c>
      <c r="G1021" s="288" t="s">
        <v>5709</v>
      </c>
    </row>
    <row r="1022" ht="15.0" customHeight="1">
      <c r="A1022" s="224" t="s">
        <v>5706</v>
      </c>
      <c r="B1022" s="224" t="s">
        <v>94</v>
      </c>
      <c r="C1022" s="82" t="s">
        <v>11310</v>
      </c>
      <c r="D1022" s="83" t="s">
        <v>10072</v>
      </c>
      <c r="E1022" s="83">
        <v>5.67</v>
      </c>
      <c r="F1022" s="92">
        <v>5.67</v>
      </c>
      <c r="G1022" s="288" t="s">
        <v>5709</v>
      </c>
    </row>
    <row r="1023" ht="15.0" customHeight="1">
      <c r="A1023" s="224" t="s">
        <v>5706</v>
      </c>
      <c r="B1023" s="224" t="s">
        <v>94</v>
      </c>
      <c r="C1023" s="82" t="s">
        <v>11311</v>
      </c>
      <c r="D1023" s="83" t="s">
        <v>10072</v>
      </c>
      <c r="E1023" s="83">
        <v>1.83</v>
      </c>
      <c r="F1023" s="92">
        <v>0.0</v>
      </c>
      <c r="G1023" s="288" t="s">
        <v>5709</v>
      </c>
    </row>
    <row r="1024" ht="15.0" customHeight="1">
      <c r="A1024" s="224" t="s">
        <v>5706</v>
      </c>
      <c r="B1024" s="224" t="s">
        <v>94</v>
      </c>
      <c r="C1024" s="82" t="s">
        <v>11296</v>
      </c>
      <c r="D1024" s="83" t="s">
        <v>10072</v>
      </c>
      <c r="E1024" s="83">
        <v>4.5</v>
      </c>
      <c r="F1024" s="92">
        <v>4.5</v>
      </c>
      <c r="G1024" s="288" t="s">
        <v>5709</v>
      </c>
    </row>
    <row r="1025" ht="15.0" customHeight="1">
      <c r="A1025" s="253" t="s">
        <v>3050</v>
      </c>
      <c r="B1025" s="253" t="s">
        <v>94</v>
      </c>
      <c r="C1025" s="406" t="s">
        <v>11312</v>
      </c>
      <c r="D1025" s="299" t="s">
        <v>10046</v>
      </c>
      <c r="E1025" s="530" t="s">
        <v>11313</v>
      </c>
      <c r="F1025" s="162">
        <f>11/3*2.35</f>
        <v>8.616666667</v>
      </c>
      <c r="G1025" s="288" t="s">
        <v>3050</v>
      </c>
    </row>
    <row r="1026" ht="15.0" customHeight="1">
      <c r="A1026" s="253" t="s">
        <v>3050</v>
      </c>
      <c r="B1026" s="253" t="s">
        <v>94</v>
      </c>
      <c r="C1026" s="148" t="s">
        <v>11314</v>
      </c>
      <c r="D1026" s="299" t="s">
        <v>10046</v>
      </c>
      <c r="E1026" s="160" t="s">
        <v>10822</v>
      </c>
      <c r="F1026" s="162">
        <f>11/3</f>
        <v>3.666666667</v>
      </c>
      <c r="G1026" s="288" t="s">
        <v>3050</v>
      </c>
    </row>
    <row r="1027" ht="15.0" customHeight="1">
      <c r="A1027" s="253" t="s">
        <v>3050</v>
      </c>
      <c r="B1027" s="253" t="s">
        <v>94</v>
      </c>
      <c r="C1027" s="406" t="s">
        <v>11315</v>
      </c>
      <c r="D1027" s="299" t="s">
        <v>10046</v>
      </c>
      <c r="E1027" s="530" t="s">
        <v>11313</v>
      </c>
      <c r="F1027" s="162">
        <f>11/3*2.35</f>
        <v>8.616666667</v>
      </c>
      <c r="G1027" s="288" t="s">
        <v>3050</v>
      </c>
    </row>
    <row r="1028" ht="15.0" customHeight="1">
      <c r="A1028" s="253" t="s">
        <v>3050</v>
      </c>
      <c r="B1028" s="253" t="s">
        <v>94</v>
      </c>
      <c r="C1028" s="148" t="s">
        <v>11316</v>
      </c>
      <c r="D1028" s="299" t="s">
        <v>10046</v>
      </c>
      <c r="E1028" s="160" t="s">
        <v>10822</v>
      </c>
      <c r="F1028" s="162">
        <f>11/3</f>
        <v>3.666666667</v>
      </c>
      <c r="G1028" s="288" t="s">
        <v>3050</v>
      </c>
    </row>
    <row r="1029" ht="15.0" customHeight="1">
      <c r="A1029" s="253" t="s">
        <v>3050</v>
      </c>
      <c r="B1029" s="253" t="s">
        <v>94</v>
      </c>
      <c r="C1029" s="148" t="s">
        <v>11317</v>
      </c>
      <c r="D1029" s="191" t="s">
        <v>10046</v>
      </c>
      <c r="E1029" s="191" t="s">
        <v>11318</v>
      </c>
      <c r="F1029" s="162">
        <f>47/3*2.35</f>
        <v>36.81666667</v>
      </c>
      <c r="G1029" s="288" t="s">
        <v>3050</v>
      </c>
    </row>
    <row r="1030" ht="15.0" customHeight="1">
      <c r="A1030" s="253" t="s">
        <v>3050</v>
      </c>
      <c r="B1030" s="253" t="s">
        <v>94</v>
      </c>
      <c r="C1030" s="148" t="s">
        <v>11319</v>
      </c>
      <c r="D1030" s="191" t="s">
        <v>10046</v>
      </c>
      <c r="E1030" s="160" t="s">
        <v>11320</v>
      </c>
      <c r="F1030" s="162">
        <v>6.0</v>
      </c>
      <c r="G1030" s="288" t="s">
        <v>3050</v>
      </c>
    </row>
    <row r="1031" ht="15.0" customHeight="1">
      <c r="A1031" s="253" t="s">
        <v>3050</v>
      </c>
      <c r="B1031" s="253" t="s">
        <v>94</v>
      </c>
      <c r="C1031" s="148" t="s">
        <v>11321</v>
      </c>
      <c r="D1031" s="191" t="s">
        <v>10046</v>
      </c>
      <c r="E1031" s="191" t="s">
        <v>11322</v>
      </c>
      <c r="F1031" s="162">
        <f>14/3*2</f>
        <v>9.333333333</v>
      </c>
      <c r="G1031" s="288" t="s">
        <v>3050</v>
      </c>
    </row>
    <row r="1032" ht="15.0" customHeight="1">
      <c r="A1032" s="224" t="s">
        <v>7972</v>
      </c>
      <c r="B1032" s="224" t="s">
        <v>94</v>
      </c>
      <c r="C1032" s="82" t="s">
        <v>11323</v>
      </c>
      <c r="D1032" s="83" t="s">
        <v>10305</v>
      </c>
      <c r="E1032" s="92">
        <v>7.33</v>
      </c>
      <c r="F1032" s="92">
        <v>7.33</v>
      </c>
      <c r="G1032" s="288" t="s">
        <v>5354</v>
      </c>
    </row>
    <row r="1033" ht="15.0" customHeight="1">
      <c r="A1033" s="224" t="s">
        <v>7972</v>
      </c>
      <c r="B1033" s="224" t="s">
        <v>94</v>
      </c>
      <c r="C1033" s="82" t="s">
        <v>11324</v>
      </c>
      <c r="D1033" s="83" t="s">
        <v>10305</v>
      </c>
      <c r="E1033" s="92">
        <v>7.66</v>
      </c>
      <c r="F1033" s="92">
        <v>7.66</v>
      </c>
      <c r="G1033" s="288" t="s">
        <v>5354</v>
      </c>
    </row>
    <row r="1034" ht="15.0" customHeight="1">
      <c r="A1034" s="224" t="s">
        <v>7972</v>
      </c>
      <c r="B1034" s="224" t="s">
        <v>94</v>
      </c>
      <c r="C1034" s="82" t="s">
        <v>11325</v>
      </c>
      <c r="D1034" s="83" t="s">
        <v>10305</v>
      </c>
      <c r="E1034" s="92">
        <v>7.66</v>
      </c>
      <c r="F1034" s="92">
        <v>7.66</v>
      </c>
      <c r="G1034" s="288" t="s">
        <v>5354</v>
      </c>
    </row>
    <row r="1035" ht="15.0" customHeight="1">
      <c r="A1035" s="224" t="s">
        <v>7972</v>
      </c>
      <c r="B1035" s="224" t="s">
        <v>94</v>
      </c>
      <c r="C1035" s="82" t="s">
        <v>11326</v>
      </c>
      <c r="D1035" s="83" t="s">
        <v>10305</v>
      </c>
      <c r="E1035" s="92">
        <v>7.33</v>
      </c>
      <c r="F1035" s="92">
        <v>7.33</v>
      </c>
      <c r="G1035" s="288" t="s">
        <v>5354</v>
      </c>
    </row>
    <row r="1036" ht="15.0" customHeight="1">
      <c r="A1036" s="224" t="s">
        <v>7972</v>
      </c>
      <c r="B1036" s="224" t="s">
        <v>94</v>
      </c>
      <c r="C1036" s="82" t="s">
        <v>11327</v>
      </c>
      <c r="D1036" s="83" t="s">
        <v>10305</v>
      </c>
      <c r="E1036" s="92">
        <v>6.0</v>
      </c>
      <c r="F1036" s="92">
        <v>6.0</v>
      </c>
      <c r="G1036" s="288" t="s">
        <v>5354</v>
      </c>
    </row>
    <row r="1037" ht="15.0" customHeight="1">
      <c r="A1037" s="224" t="s">
        <v>7972</v>
      </c>
      <c r="B1037" s="224" t="s">
        <v>94</v>
      </c>
      <c r="C1037" s="82" t="s">
        <v>11328</v>
      </c>
      <c r="D1037" s="83"/>
      <c r="E1037" s="83">
        <v>7.33</v>
      </c>
      <c r="F1037" s="92">
        <v>14.66</v>
      </c>
      <c r="G1037" s="288" t="s">
        <v>5354</v>
      </c>
    </row>
    <row r="1038" ht="15.0" customHeight="1">
      <c r="A1038" s="224" t="s">
        <v>7972</v>
      </c>
      <c r="B1038" s="224" t="s">
        <v>94</v>
      </c>
      <c r="C1038" s="82" t="s">
        <v>11329</v>
      </c>
      <c r="D1038" s="83"/>
      <c r="E1038" s="83">
        <v>6.66</v>
      </c>
      <c r="F1038" s="92">
        <v>20.0</v>
      </c>
      <c r="G1038" s="288" t="s">
        <v>5354</v>
      </c>
    </row>
    <row r="1039" ht="15.0" customHeight="1">
      <c r="A1039" s="224" t="s">
        <v>8639</v>
      </c>
      <c r="B1039" s="224" t="s">
        <v>94</v>
      </c>
      <c r="C1039" s="82" t="s">
        <v>11330</v>
      </c>
      <c r="D1039" s="83" t="s">
        <v>11331</v>
      </c>
      <c r="E1039" s="92">
        <f>41/3*2</f>
        <v>27.33333333</v>
      </c>
      <c r="F1039" s="92">
        <f t="shared" ref="F1039:F1068" si="125">E1039</f>
        <v>27.33333333</v>
      </c>
      <c r="G1039" s="288" t="s">
        <v>3078</v>
      </c>
    </row>
    <row r="1040" ht="15.0" customHeight="1">
      <c r="A1040" s="224" t="s">
        <v>8639</v>
      </c>
      <c r="B1040" s="224" t="s">
        <v>94</v>
      </c>
      <c r="C1040" s="82" t="s">
        <v>11332</v>
      </c>
      <c r="D1040" s="83" t="s">
        <v>11331</v>
      </c>
      <c r="E1040" s="92">
        <f>31/3*2</f>
        <v>20.66666667</v>
      </c>
      <c r="F1040" s="92">
        <f t="shared" si="125"/>
        <v>20.66666667</v>
      </c>
      <c r="G1040" s="288" t="s">
        <v>3078</v>
      </c>
    </row>
    <row r="1041" ht="15.0" customHeight="1">
      <c r="A1041" s="224" t="s">
        <v>8639</v>
      </c>
      <c r="B1041" s="224" t="s">
        <v>94</v>
      </c>
      <c r="C1041" s="82" t="s">
        <v>11333</v>
      </c>
      <c r="D1041" s="83" t="s">
        <v>11334</v>
      </c>
      <c r="E1041" s="92">
        <f>23/3*3</f>
        <v>23</v>
      </c>
      <c r="F1041" s="92">
        <f t="shared" si="125"/>
        <v>23</v>
      </c>
      <c r="G1041" s="288" t="s">
        <v>3078</v>
      </c>
    </row>
    <row r="1042" ht="15.0" customHeight="1">
      <c r="A1042" s="224" t="s">
        <v>8639</v>
      </c>
      <c r="B1042" s="224" t="s">
        <v>94</v>
      </c>
      <c r="C1042" s="82" t="s">
        <v>11335</v>
      </c>
      <c r="D1042" s="83" t="s">
        <v>11331</v>
      </c>
      <c r="E1042" s="92">
        <f>14/3*2</f>
        <v>9.333333333</v>
      </c>
      <c r="F1042" s="92">
        <f t="shared" si="125"/>
        <v>9.333333333</v>
      </c>
      <c r="G1042" s="288" t="s">
        <v>3078</v>
      </c>
    </row>
    <row r="1043" ht="15.0" customHeight="1">
      <c r="A1043" s="224" t="s">
        <v>8639</v>
      </c>
      <c r="B1043" s="224" t="s">
        <v>94</v>
      </c>
      <c r="C1043" s="82" t="s">
        <v>11336</v>
      </c>
      <c r="D1043" s="83" t="s">
        <v>11337</v>
      </c>
      <c r="E1043" s="92">
        <f>30/3</f>
        <v>10</v>
      </c>
      <c r="F1043" s="92">
        <f t="shared" si="125"/>
        <v>10</v>
      </c>
      <c r="G1043" s="288" t="s">
        <v>3078</v>
      </c>
    </row>
    <row r="1044" ht="15.0" customHeight="1">
      <c r="A1044" s="224" t="s">
        <v>8639</v>
      </c>
      <c r="B1044" s="224" t="s">
        <v>94</v>
      </c>
      <c r="C1044" s="82" t="s">
        <v>11338</v>
      </c>
      <c r="D1044" s="83" t="s">
        <v>10072</v>
      </c>
      <c r="E1044" s="92">
        <f>30/3*0.5</f>
        <v>5</v>
      </c>
      <c r="F1044" s="92">
        <f t="shared" si="125"/>
        <v>5</v>
      </c>
      <c r="G1044" s="288" t="s">
        <v>3078</v>
      </c>
    </row>
    <row r="1045" ht="15.0" customHeight="1">
      <c r="A1045" s="224" t="s">
        <v>8639</v>
      </c>
      <c r="B1045" s="224" t="s">
        <v>94</v>
      </c>
      <c r="C1045" s="82" t="s">
        <v>11339</v>
      </c>
      <c r="D1045" s="83" t="s">
        <v>11337</v>
      </c>
      <c r="E1045" s="92">
        <f>18/3</f>
        <v>6</v>
      </c>
      <c r="F1045" s="92">
        <f t="shared" si="125"/>
        <v>6</v>
      </c>
      <c r="G1045" s="288" t="s">
        <v>3078</v>
      </c>
    </row>
    <row r="1046" ht="15.0" customHeight="1">
      <c r="A1046" s="224" t="s">
        <v>8639</v>
      </c>
      <c r="B1046" s="224" t="s">
        <v>94</v>
      </c>
      <c r="C1046" s="82" t="s">
        <v>11340</v>
      </c>
      <c r="D1046" s="83" t="s">
        <v>10072</v>
      </c>
      <c r="E1046" s="92">
        <f>18/3*0.5</f>
        <v>3</v>
      </c>
      <c r="F1046" s="92">
        <f t="shared" si="125"/>
        <v>3</v>
      </c>
      <c r="G1046" s="288" t="s">
        <v>3078</v>
      </c>
    </row>
    <row r="1047" ht="15.0" customHeight="1">
      <c r="A1047" s="224" t="s">
        <v>8639</v>
      </c>
      <c r="B1047" s="224" t="s">
        <v>94</v>
      </c>
      <c r="C1047" s="82" t="s">
        <v>11341</v>
      </c>
      <c r="D1047" s="83" t="s">
        <v>11342</v>
      </c>
      <c r="E1047" s="92">
        <f t="shared" ref="E1047:E1049" si="126">13/3</f>
        <v>4.333333333</v>
      </c>
      <c r="F1047" s="92">
        <f t="shared" si="125"/>
        <v>4.333333333</v>
      </c>
      <c r="G1047" s="288" t="s">
        <v>3078</v>
      </c>
    </row>
    <row r="1048" ht="15.0" customHeight="1">
      <c r="A1048" s="224" t="s">
        <v>8639</v>
      </c>
      <c r="B1048" s="224" t="s">
        <v>94</v>
      </c>
      <c r="C1048" s="82" t="s">
        <v>11343</v>
      </c>
      <c r="D1048" s="83" t="s">
        <v>11337</v>
      </c>
      <c r="E1048" s="92">
        <f t="shared" si="126"/>
        <v>4.333333333</v>
      </c>
      <c r="F1048" s="92">
        <f t="shared" si="125"/>
        <v>4.333333333</v>
      </c>
      <c r="G1048" s="288" t="s">
        <v>3078</v>
      </c>
    </row>
    <row r="1049" ht="15.0" customHeight="1">
      <c r="A1049" s="224" t="s">
        <v>8639</v>
      </c>
      <c r="B1049" s="224" t="s">
        <v>94</v>
      </c>
      <c r="C1049" s="82" t="s">
        <v>11344</v>
      </c>
      <c r="D1049" s="83" t="s">
        <v>10046</v>
      </c>
      <c r="E1049" s="92">
        <f t="shared" si="126"/>
        <v>4.333333333</v>
      </c>
      <c r="F1049" s="92">
        <f t="shared" si="125"/>
        <v>4.333333333</v>
      </c>
      <c r="G1049" s="288" t="s">
        <v>3078</v>
      </c>
    </row>
    <row r="1050" ht="15.0" customHeight="1">
      <c r="A1050" s="224" t="s">
        <v>8639</v>
      </c>
      <c r="B1050" s="224" t="s">
        <v>94</v>
      </c>
      <c r="C1050" s="82" t="s">
        <v>11345</v>
      </c>
      <c r="D1050" s="83" t="s">
        <v>10046</v>
      </c>
      <c r="E1050" s="92">
        <f>0.25*13/3</f>
        <v>1.083333333</v>
      </c>
      <c r="F1050" s="92">
        <f t="shared" si="125"/>
        <v>1.083333333</v>
      </c>
      <c r="G1050" s="288" t="s">
        <v>3078</v>
      </c>
    </row>
    <row r="1051" ht="15.0" customHeight="1">
      <c r="A1051" s="224" t="s">
        <v>8639</v>
      </c>
      <c r="B1051" s="224" t="s">
        <v>94</v>
      </c>
      <c r="C1051" s="82" t="s">
        <v>11346</v>
      </c>
      <c r="D1051" s="83" t="s">
        <v>10046</v>
      </c>
      <c r="E1051" s="92">
        <f>0.1*13/3</f>
        <v>0.4333333333</v>
      </c>
      <c r="F1051" s="92">
        <f t="shared" si="125"/>
        <v>0.4333333333</v>
      </c>
      <c r="G1051" s="288" t="s">
        <v>3078</v>
      </c>
    </row>
    <row r="1052" ht="15.0" customHeight="1">
      <c r="A1052" s="224" t="s">
        <v>8639</v>
      </c>
      <c r="B1052" s="224" t="s">
        <v>94</v>
      </c>
      <c r="C1052" s="82" t="s">
        <v>11347</v>
      </c>
      <c r="D1052" s="83" t="s">
        <v>11348</v>
      </c>
      <c r="E1052" s="92">
        <f>24/3</f>
        <v>8</v>
      </c>
      <c r="F1052" s="92">
        <f t="shared" si="125"/>
        <v>8</v>
      </c>
      <c r="G1052" s="288" t="s">
        <v>3078</v>
      </c>
    </row>
    <row r="1053" ht="15.0" customHeight="1">
      <c r="A1053" s="224" t="s">
        <v>8639</v>
      </c>
      <c r="B1053" s="224" t="s">
        <v>94</v>
      </c>
      <c r="C1053" s="82" t="s">
        <v>11349</v>
      </c>
      <c r="D1053" s="83" t="s">
        <v>11350</v>
      </c>
      <c r="E1053" s="92">
        <f>25/3*0.5</f>
        <v>4.166666667</v>
      </c>
      <c r="F1053" s="92">
        <f t="shared" si="125"/>
        <v>4.166666667</v>
      </c>
      <c r="G1053" s="288" t="s">
        <v>3078</v>
      </c>
    </row>
    <row r="1054" ht="15.0" customHeight="1">
      <c r="A1054" s="224" t="s">
        <v>8639</v>
      </c>
      <c r="B1054" s="224" t="s">
        <v>94</v>
      </c>
      <c r="C1054" s="82" t="s">
        <v>11351</v>
      </c>
      <c r="D1054" s="83" t="s">
        <v>11350</v>
      </c>
      <c r="E1054" s="92">
        <f>0.25*25/3*0.5</f>
        <v>1.041666667</v>
      </c>
      <c r="F1054" s="92">
        <f t="shared" si="125"/>
        <v>1.041666667</v>
      </c>
      <c r="G1054" s="288" t="s">
        <v>3078</v>
      </c>
    </row>
    <row r="1055" ht="15.0" customHeight="1">
      <c r="A1055" s="224" t="s">
        <v>8639</v>
      </c>
      <c r="B1055" s="224" t="s">
        <v>94</v>
      </c>
      <c r="C1055" s="82" t="s">
        <v>11352</v>
      </c>
      <c r="D1055" s="83" t="s">
        <v>11350</v>
      </c>
      <c r="E1055" s="92">
        <f>0.1*25/3*0.5</f>
        <v>0.4166666667</v>
      </c>
      <c r="F1055" s="92">
        <f t="shared" si="125"/>
        <v>0.4166666667</v>
      </c>
      <c r="G1055" s="288" t="s">
        <v>3078</v>
      </c>
    </row>
    <row r="1056" ht="15.0" customHeight="1">
      <c r="A1056" s="224" t="s">
        <v>8639</v>
      </c>
      <c r="B1056" s="224" t="s">
        <v>94</v>
      </c>
      <c r="C1056" s="82" t="s">
        <v>11353</v>
      </c>
      <c r="D1056" s="83" t="s">
        <v>10046</v>
      </c>
      <c r="E1056" s="92">
        <f t="shared" ref="E1056:E1057" si="127">69/3</f>
        <v>23</v>
      </c>
      <c r="F1056" s="92">
        <f t="shared" si="125"/>
        <v>23</v>
      </c>
      <c r="G1056" s="288" t="s">
        <v>3078</v>
      </c>
    </row>
    <row r="1057" ht="15.0" customHeight="1">
      <c r="A1057" s="224" t="s">
        <v>8639</v>
      </c>
      <c r="B1057" s="224" t="s">
        <v>94</v>
      </c>
      <c r="C1057" s="82" t="s">
        <v>11354</v>
      </c>
      <c r="D1057" s="83" t="s">
        <v>10046</v>
      </c>
      <c r="E1057" s="92">
        <f t="shared" si="127"/>
        <v>23</v>
      </c>
      <c r="F1057" s="92">
        <f t="shared" si="125"/>
        <v>23</v>
      </c>
      <c r="G1057" s="288" t="s">
        <v>3078</v>
      </c>
    </row>
    <row r="1058" ht="15.0" customHeight="1">
      <c r="A1058" s="224" t="s">
        <v>8639</v>
      </c>
      <c r="B1058" s="224" t="s">
        <v>94</v>
      </c>
      <c r="C1058" s="82" t="s">
        <v>11355</v>
      </c>
      <c r="D1058" s="83" t="s">
        <v>10046</v>
      </c>
      <c r="E1058" s="92">
        <f>0.25*69/3</f>
        <v>5.75</v>
      </c>
      <c r="F1058" s="92">
        <f t="shared" si="125"/>
        <v>5.75</v>
      </c>
      <c r="G1058" s="288" t="s">
        <v>3078</v>
      </c>
    </row>
    <row r="1059" ht="15.0" customHeight="1">
      <c r="A1059" s="224" t="s">
        <v>8639</v>
      </c>
      <c r="B1059" s="224" t="s">
        <v>94</v>
      </c>
      <c r="C1059" s="82" t="s">
        <v>11356</v>
      </c>
      <c r="D1059" s="83" t="s">
        <v>10046</v>
      </c>
      <c r="E1059" s="92">
        <f>0.1*69/3</f>
        <v>2.3</v>
      </c>
      <c r="F1059" s="92">
        <f t="shared" si="125"/>
        <v>2.3</v>
      </c>
      <c r="G1059" s="288" t="s">
        <v>3078</v>
      </c>
    </row>
    <row r="1060" ht="15.0" customHeight="1">
      <c r="A1060" s="224" t="s">
        <v>8639</v>
      </c>
      <c r="B1060" s="224" t="s">
        <v>94</v>
      </c>
      <c r="C1060" s="82" t="s">
        <v>11357</v>
      </c>
      <c r="D1060" s="83" t="s">
        <v>10046</v>
      </c>
      <c r="E1060" s="92">
        <f t="shared" ref="E1060:E1061" si="128">27/3</f>
        <v>9</v>
      </c>
      <c r="F1060" s="92">
        <f t="shared" si="125"/>
        <v>9</v>
      </c>
      <c r="G1060" s="288" t="s">
        <v>3078</v>
      </c>
    </row>
    <row r="1061" ht="15.0" customHeight="1">
      <c r="A1061" s="224" t="s">
        <v>8639</v>
      </c>
      <c r="B1061" s="224" t="s">
        <v>94</v>
      </c>
      <c r="C1061" s="82" t="s">
        <v>11358</v>
      </c>
      <c r="D1061" s="83" t="s">
        <v>10046</v>
      </c>
      <c r="E1061" s="92">
        <f t="shared" si="128"/>
        <v>9</v>
      </c>
      <c r="F1061" s="92">
        <f t="shared" si="125"/>
        <v>9</v>
      </c>
      <c r="G1061" s="288" t="s">
        <v>3078</v>
      </c>
    </row>
    <row r="1062" ht="15.0" customHeight="1">
      <c r="A1062" s="224" t="s">
        <v>8639</v>
      </c>
      <c r="B1062" s="224" t="s">
        <v>94</v>
      </c>
      <c r="C1062" s="82" t="s">
        <v>11359</v>
      </c>
      <c r="D1062" s="83" t="s">
        <v>10046</v>
      </c>
      <c r="E1062" s="92">
        <f>0.25*27/3</f>
        <v>2.25</v>
      </c>
      <c r="F1062" s="92">
        <f t="shared" si="125"/>
        <v>2.25</v>
      </c>
      <c r="G1062" s="288" t="s">
        <v>3078</v>
      </c>
    </row>
    <row r="1063" ht="15.0" customHeight="1">
      <c r="A1063" s="224" t="s">
        <v>8639</v>
      </c>
      <c r="B1063" s="224" t="s">
        <v>94</v>
      </c>
      <c r="C1063" s="82" t="s">
        <v>11360</v>
      </c>
      <c r="D1063" s="83" t="s">
        <v>10046</v>
      </c>
      <c r="E1063" s="92">
        <f>0.1*27/3</f>
        <v>0.9</v>
      </c>
      <c r="F1063" s="92">
        <f t="shared" si="125"/>
        <v>0.9</v>
      </c>
      <c r="G1063" s="288" t="s">
        <v>3078</v>
      </c>
    </row>
    <row r="1064" ht="15.0" customHeight="1">
      <c r="A1064" s="224" t="s">
        <v>8639</v>
      </c>
      <c r="B1064" s="224" t="s">
        <v>94</v>
      </c>
      <c r="C1064" s="82" t="s">
        <v>11361</v>
      </c>
      <c r="D1064" s="83" t="s">
        <v>10046</v>
      </c>
      <c r="E1064" s="92">
        <f t="shared" ref="E1064:E1065" si="129">41/3</f>
        <v>13.66666667</v>
      </c>
      <c r="F1064" s="92">
        <f t="shared" si="125"/>
        <v>13.66666667</v>
      </c>
      <c r="G1064" s="288" t="s">
        <v>3078</v>
      </c>
    </row>
    <row r="1065" ht="15.0" customHeight="1">
      <c r="A1065" s="224" t="s">
        <v>8639</v>
      </c>
      <c r="B1065" s="224" t="s">
        <v>94</v>
      </c>
      <c r="C1065" s="82" t="s">
        <v>11362</v>
      </c>
      <c r="D1065" s="83" t="s">
        <v>10046</v>
      </c>
      <c r="E1065" s="92">
        <f t="shared" si="129"/>
        <v>13.66666667</v>
      </c>
      <c r="F1065" s="92">
        <f t="shared" si="125"/>
        <v>13.66666667</v>
      </c>
      <c r="G1065" s="288" t="s">
        <v>3078</v>
      </c>
    </row>
    <row r="1066" ht="15.0" customHeight="1">
      <c r="A1066" s="224" t="s">
        <v>8639</v>
      </c>
      <c r="B1066" s="224" t="s">
        <v>94</v>
      </c>
      <c r="C1066" s="82" t="s">
        <v>11363</v>
      </c>
      <c r="D1066" s="83" t="s">
        <v>10046</v>
      </c>
      <c r="E1066" s="92">
        <f>0.25*41/3</f>
        <v>3.416666667</v>
      </c>
      <c r="F1066" s="92">
        <f t="shared" si="125"/>
        <v>3.416666667</v>
      </c>
      <c r="G1066" s="288" t="s">
        <v>3078</v>
      </c>
    </row>
    <row r="1067" ht="15.0" customHeight="1">
      <c r="A1067" s="224" t="s">
        <v>8639</v>
      </c>
      <c r="B1067" s="224" t="s">
        <v>94</v>
      </c>
      <c r="C1067" s="82" t="s">
        <v>11364</v>
      </c>
      <c r="D1067" s="83" t="s">
        <v>10046</v>
      </c>
      <c r="E1067" s="92">
        <f>0.1*41/3</f>
        <v>1.366666667</v>
      </c>
      <c r="F1067" s="92">
        <f t="shared" si="125"/>
        <v>1.366666667</v>
      </c>
      <c r="G1067" s="288" t="s">
        <v>3078</v>
      </c>
    </row>
    <row r="1068" ht="15.0" customHeight="1">
      <c r="A1068" s="224" t="s">
        <v>8639</v>
      </c>
      <c r="B1068" s="224" t="s">
        <v>94</v>
      </c>
      <c r="C1068" s="82" t="s">
        <v>11365</v>
      </c>
      <c r="D1068" s="83" t="s">
        <v>11366</v>
      </c>
      <c r="E1068" s="92">
        <f>15/3*0.5</f>
        <v>2.5</v>
      </c>
      <c r="F1068" s="92">
        <f t="shared" si="125"/>
        <v>2.5</v>
      </c>
      <c r="G1068" s="288" t="s">
        <v>3078</v>
      </c>
    </row>
    <row r="1069" ht="15.0" customHeight="1">
      <c r="A1069" s="224" t="s">
        <v>9256</v>
      </c>
      <c r="B1069" s="224" t="s">
        <v>94</v>
      </c>
      <c r="C1069" s="82" t="s">
        <v>11367</v>
      </c>
      <c r="D1069" s="83" t="s">
        <v>10072</v>
      </c>
      <c r="E1069" s="83">
        <f>25/3</f>
        <v>8.333333333</v>
      </c>
      <c r="F1069" s="92">
        <f t="shared" ref="F1069:F1076" si="130">E1069*0.5</f>
        <v>4.166666667</v>
      </c>
      <c r="G1069" s="288" t="s">
        <v>661</v>
      </c>
    </row>
    <row r="1070" ht="15.0" customHeight="1">
      <c r="A1070" s="224" t="s">
        <v>9256</v>
      </c>
      <c r="B1070" s="224" t="s">
        <v>94</v>
      </c>
      <c r="C1070" s="82" t="s">
        <v>11368</v>
      </c>
      <c r="D1070" s="83" t="s">
        <v>10072</v>
      </c>
      <c r="E1070" s="83">
        <f>34/3</f>
        <v>11.33333333</v>
      </c>
      <c r="F1070" s="92">
        <f t="shared" si="130"/>
        <v>5.666666667</v>
      </c>
      <c r="G1070" s="288" t="s">
        <v>661</v>
      </c>
    </row>
    <row r="1071" ht="15.0" customHeight="1">
      <c r="A1071" s="224" t="s">
        <v>9256</v>
      </c>
      <c r="B1071" s="224" t="s">
        <v>94</v>
      </c>
      <c r="C1071" s="82" t="s">
        <v>11369</v>
      </c>
      <c r="D1071" s="83" t="s">
        <v>10072</v>
      </c>
      <c r="E1071" s="83">
        <f>13/3</f>
        <v>4.333333333</v>
      </c>
      <c r="F1071" s="92">
        <f t="shared" si="130"/>
        <v>2.166666667</v>
      </c>
      <c r="G1071" s="288" t="s">
        <v>661</v>
      </c>
    </row>
    <row r="1072" ht="15.0" customHeight="1">
      <c r="A1072" s="224" t="s">
        <v>9256</v>
      </c>
      <c r="B1072" s="224" t="s">
        <v>94</v>
      </c>
      <c r="C1072" s="82" t="s">
        <v>11370</v>
      </c>
      <c r="D1072" s="83" t="s">
        <v>10072</v>
      </c>
      <c r="E1072" s="83">
        <f>21/3</f>
        <v>7</v>
      </c>
      <c r="F1072" s="92">
        <f t="shared" si="130"/>
        <v>3.5</v>
      </c>
      <c r="G1072" s="288" t="s">
        <v>661</v>
      </c>
    </row>
    <row r="1073" ht="15.0" customHeight="1">
      <c r="A1073" s="224" t="s">
        <v>9256</v>
      </c>
      <c r="B1073" s="224" t="s">
        <v>94</v>
      </c>
      <c r="C1073" s="82" t="s">
        <v>11371</v>
      </c>
      <c r="D1073" s="83" t="s">
        <v>10072</v>
      </c>
      <c r="E1073" s="83">
        <f>25*0.25/3</f>
        <v>2.083333333</v>
      </c>
      <c r="F1073" s="92">
        <f t="shared" si="130"/>
        <v>1.041666667</v>
      </c>
      <c r="G1073" s="288" t="s">
        <v>661</v>
      </c>
    </row>
    <row r="1074" ht="15.0" customHeight="1">
      <c r="A1074" s="224" t="s">
        <v>9256</v>
      </c>
      <c r="B1074" s="224" t="s">
        <v>94</v>
      </c>
      <c r="C1074" s="82" t="s">
        <v>11372</v>
      </c>
      <c r="D1074" s="83" t="s">
        <v>10072</v>
      </c>
      <c r="E1074" s="83">
        <f>34*0.25/3</f>
        <v>2.833333333</v>
      </c>
      <c r="F1074" s="92">
        <f t="shared" si="130"/>
        <v>1.416666667</v>
      </c>
      <c r="G1074" s="288" t="s">
        <v>661</v>
      </c>
    </row>
    <row r="1075" ht="15.0" customHeight="1">
      <c r="A1075" s="224" t="s">
        <v>9256</v>
      </c>
      <c r="B1075" s="224" t="s">
        <v>94</v>
      </c>
      <c r="C1075" s="82" t="s">
        <v>11373</v>
      </c>
      <c r="D1075" s="83" t="s">
        <v>10072</v>
      </c>
      <c r="E1075" s="83">
        <f>13*0.25/3</f>
        <v>1.083333333</v>
      </c>
      <c r="F1075" s="92">
        <f t="shared" si="130"/>
        <v>0.5416666667</v>
      </c>
      <c r="G1075" s="288" t="s">
        <v>661</v>
      </c>
    </row>
    <row r="1076" ht="15.0" customHeight="1">
      <c r="A1076" s="416" t="s">
        <v>9256</v>
      </c>
      <c r="B1076" s="416" t="s">
        <v>94</v>
      </c>
      <c r="C1076" s="352" t="s">
        <v>11374</v>
      </c>
      <c r="D1076" s="489" t="s">
        <v>10072</v>
      </c>
      <c r="E1076" s="489">
        <f>21*0.25/3</f>
        <v>1.75</v>
      </c>
      <c r="F1076" s="419">
        <f t="shared" si="130"/>
        <v>0.875</v>
      </c>
      <c r="G1076" s="288" t="s">
        <v>661</v>
      </c>
    </row>
    <row r="1077" ht="15.0" customHeight="1">
      <c r="A1077" s="224" t="s">
        <v>11375</v>
      </c>
      <c r="B1077" s="224" t="s">
        <v>182</v>
      </c>
      <c r="C1077" s="82" t="s">
        <v>11376</v>
      </c>
      <c r="D1077" s="83" t="s">
        <v>10046</v>
      </c>
      <c r="E1077" s="83" t="s">
        <v>10660</v>
      </c>
      <c r="F1077" s="92">
        <v>4.66</v>
      </c>
      <c r="G1077" s="288" t="s">
        <v>671</v>
      </c>
    </row>
    <row r="1078" ht="15.0" customHeight="1">
      <c r="A1078" s="224" t="s">
        <v>11375</v>
      </c>
      <c r="B1078" s="224" t="s">
        <v>182</v>
      </c>
      <c r="C1078" s="82" t="s">
        <v>11377</v>
      </c>
      <c r="D1078" s="83" t="s">
        <v>10046</v>
      </c>
      <c r="E1078" s="83" t="s">
        <v>10660</v>
      </c>
      <c r="F1078" s="92">
        <v>4.66</v>
      </c>
      <c r="G1078" s="288" t="s">
        <v>671</v>
      </c>
    </row>
    <row r="1079" ht="15.0" customHeight="1">
      <c r="A1079" s="224" t="s">
        <v>11375</v>
      </c>
      <c r="B1079" s="224" t="s">
        <v>182</v>
      </c>
      <c r="C1079" s="82" t="s">
        <v>11378</v>
      </c>
      <c r="D1079" s="83" t="s">
        <v>10046</v>
      </c>
      <c r="E1079" s="83" t="s">
        <v>10660</v>
      </c>
      <c r="F1079" s="92">
        <v>4.66</v>
      </c>
      <c r="G1079" s="288" t="s">
        <v>671</v>
      </c>
    </row>
    <row r="1080" ht="15.0" customHeight="1">
      <c r="A1080" s="224" t="s">
        <v>11375</v>
      </c>
      <c r="B1080" s="224" t="s">
        <v>182</v>
      </c>
      <c r="C1080" s="82" t="s">
        <v>11379</v>
      </c>
      <c r="D1080" s="83" t="s">
        <v>10046</v>
      </c>
      <c r="E1080" s="83" t="s">
        <v>10660</v>
      </c>
      <c r="F1080" s="92">
        <v>5.33</v>
      </c>
      <c r="G1080" s="288" t="s">
        <v>671</v>
      </c>
    </row>
    <row r="1081" ht="15.0" customHeight="1">
      <c r="A1081" s="224" t="s">
        <v>11375</v>
      </c>
      <c r="B1081" s="224" t="s">
        <v>182</v>
      </c>
      <c r="C1081" s="82" t="s">
        <v>11380</v>
      </c>
      <c r="D1081" s="83" t="s">
        <v>10046</v>
      </c>
      <c r="E1081" s="83" t="s">
        <v>10660</v>
      </c>
      <c r="F1081" s="92">
        <v>5.33</v>
      </c>
      <c r="G1081" s="288" t="s">
        <v>671</v>
      </c>
    </row>
    <row r="1082" ht="15.0" customHeight="1">
      <c r="A1082" s="224" t="s">
        <v>11375</v>
      </c>
      <c r="B1082" s="224" t="s">
        <v>182</v>
      </c>
      <c r="C1082" s="82" t="s">
        <v>11381</v>
      </c>
      <c r="D1082" s="83" t="s">
        <v>10046</v>
      </c>
      <c r="E1082" s="83" t="s">
        <v>10660</v>
      </c>
      <c r="F1082" s="92">
        <v>5.33</v>
      </c>
      <c r="G1082" s="288" t="s">
        <v>671</v>
      </c>
    </row>
    <row r="1083" ht="15.0" customHeight="1">
      <c r="A1083" s="224" t="s">
        <v>9258</v>
      </c>
      <c r="B1083" s="224" t="s">
        <v>94</v>
      </c>
      <c r="C1083" s="82" t="s">
        <v>11382</v>
      </c>
      <c r="D1083" s="83" t="s">
        <v>10046</v>
      </c>
      <c r="E1083" s="92">
        <v>11.67</v>
      </c>
      <c r="F1083" s="92">
        <v>11.67</v>
      </c>
      <c r="G1083" s="288" t="s">
        <v>3198</v>
      </c>
    </row>
    <row r="1084" ht="15.0" customHeight="1">
      <c r="A1084" s="224" t="s">
        <v>9258</v>
      </c>
      <c r="B1084" s="224" t="s">
        <v>94</v>
      </c>
      <c r="C1084" s="82" t="s">
        <v>11383</v>
      </c>
      <c r="D1084" s="83" t="s">
        <v>10046</v>
      </c>
      <c r="E1084" s="92">
        <v>11.67</v>
      </c>
      <c r="F1084" s="92">
        <v>11.67</v>
      </c>
      <c r="G1084" s="288" t="s">
        <v>3198</v>
      </c>
    </row>
    <row r="1085" ht="15.0" customHeight="1">
      <c r="A1085" s="224" t="s">
        <v>9258</v>
      </c>
      <c r="B1085" s="224" t="s">
        <v>94</v>
      </c>
      <c r="C1085" s="82" t="s">
        <v>11384</v>
      </c>
      <c r="D1085" s="83" t="s">
        <v>10046</v>
      </c>
      <c r="E1085" s="92">
        <v>11.67</v>
      </c>
      <c r="F1085" s="92">
        <v>11.67</v>
      </c>
      <c r="G1085" s="288" t="s">
        <v>3198</v>
      </c>
    </row>
    <row r="1086" ht="15.0" customHeight="1">
      <c r="A1086" s="224" t="s">
        <v>9258</v>
      </c>
      <c r="B1086" s="224" t="s">
        <v>94</v>
      </c>
      <c r="C1086" s="82" t="s">
        <v>11385</v>
      </c>
      <c r="D1086" s="83" t="s">
        <v>10046</v>
      </c>
      <c r="E1086" s="92">
        <v>2.92</v>
      </c>
      <c r="F1086" s="92">
        <v>2.92</v>
      </c>
      <c r="G1086" s="288" t="s">
        <v>3198</v>
      </c>
    </row>
    <row r="1087" ht="15.0" customHeight="1">
      <c r="A1087" s="224" t="s">
        <v>9258</v>
      </c>
      <c r="B1087" s="224" t="s">
        <v>94</v>
      </c>
      <c r="C1087" s="82" t="s">
        <v>11386</v>
      </c>
      <c r="D1087" s="83" t="s">
        <v>10046</v>
      </c>
      <c r="E1087" s="92">
        <v>1.17</v>
      </c>
      <c r="F1087" s="92">
        <v>1.17</v>
      </c>
      <c r="G1087" s="288" t="s">
        <v>3198</v>
      </c>
    </row>
    <row r="1088" ht="15.0" customHeight="1">
      <c r="A1088" s="224" t="s">
        <v>9258</v>
      </c>
      <c r="B1088" s="224" t="s">
        <v>94</v>
      </c>
      <c r="C1088" s="82" t="s">
        <v>11387</v>
      </c>
      <c r="D1088" s="83" t="s">
        <v>10046</v>
      </c>
      <c r="E1088" s="92">
        <v>7.33</v>
      </c>
      <c r="F1088" s="92">
        <v>7.33</v>
      </c>
      <c r="G1088" s="288" t="s">
        <v>3198</v>
      </c>
    </row>
    <row r="1089" ht="15.0" customHeight="1">
      <c r="A1089" s="224" t="s">
        <v>9258</v>
      </c>
      <c r="B1089" s="224" t="s">
        <v>94</v>
      </c>
      <c r="C1089" s="82" t="s">
        <v>11388</v>
      </c>
      <c r="D1089" s="83" t="s">
        <v>10046</v>
      </c>
      <c r="E1089" s="92">
        <v>3.67</v>
      </c>
      <c r="F1089" s="92">
        <v>3.67</v>
      </c>
      <c r="G1089" s="288" t="s">
        <v>3198</v>
      </c>
    </row>
    <row r="1090" ht="15.0" customHeight="1">
      <c r="A1090" s="224" t="s">
        <v>9258</v>
      </c>
      <c r="B1090" s="224" t="s">
        <v>94</v>
      </c>
      <c r="C1090" s="82" t="s">
        <v>11389</v>
      </c>
      <c r="D1090" s="83" t="s">
        <v>10046</v>
      </c>
      <c r="E1090" s="92">
        <v>7.33</v>
      </c>
      <c r="F1090" s="92">
        <v>7.33</v>
      </c>
      <c r="G1090" s="288" t="s">
        <v>3198</v>
      </c>
    </row>
    <row r="1091" ht="15.0" customHeight="1">
      <c r="A1091" s="224" t="s">
        <v>9258</v>
      </c>
      <c r="B1091" s="224" t="s">
        <v>94</v>
      </c>
      <c r="C1091" s="82" t="s">
        <v>11390</v>
      </c>
      <c r="D1091" s="83" t="s">
        <v>10046</v>
      </c>
      <c r="E1091" s="92">
        <v>1.83</v>
      </c>
      <c r="F1091" s="92">
        <v>1.83</v>
      </c>
      <c r="G1091" s="288" t="s">
        <v>3198</v>
      </c>
    </row>
    <row r="1092" ht="15.0" customHeight="1">
      <c r="A1092" s="224" t="s">
        <v>9258</v>
      </c>
      <c r="B1092" s="224" t="s">
        <v>94</v>
      </c>
      <c r="C1092" s="82" t="s">
        <v>11391</v>
      </c>
      <c r="D1092" s="83" t="s">
        <v>10046</v>
      </c>
      <c r="E1092" s="92">
        <v>0.73</v>
      </c>
      <c r="F1092" s="92">
        <v>0.73</v>
      </c>
      <c r="G1092" s="288" t="s">
        <v>3198</v>
      </c>
    </row>
    <row r="1093" ht="15.0" customHeight="1">
      <c r="A1093" s="224" t="s">
        <v>9258</v>
      </c>
      <c r="B1093" s="224" t="s">
        <v>94</v>
      </c>
      <c r="C1093" s="82" t="s">
        <v>11392</v>
      </c>
      <c r="D1093" s="83" t="s">
        <v>10046</v>
      </c>
      <c r="E1093" s="92">
        <v>9.0</v>
      </c>
      <c r="F1093" s="92">
        <v>9.0</v>
      </c>
      <c r="G1093" s="288" t="s">
        <v>3198</v>
      </c>
    </row>
    <row r="1094" ht="15.0" customHeight="1">
      <c r="A1094" s="224" t="s">
        <v>9258</v>
      </c>
      <c r="B1094" s="224" t="s">
        <v>94</v>
      </c>
      <c r="C1094" s="82" t="s">
        <v>11393</v>
      </c>
      <c r="D1094" s="83" t="s">
        <v>10046</v>
      </c>
      <c r="E1094" s="92">
        <v>9.0</v>
      </c>
      <c r="F1094" s="92">
        <v>9.0</v>
      </c>
      <c r="G1094" s="288" t="s">
        <v>3198</v>
      </c>
    </row>
    <row r="1095" ht="15.0" customHeight="1">
      <c r="A1095" s="224" t="s">
        <v>9258</v>
      </c>
      <c r="B1095" s="224" t="s">
        <v>94</v>
      </c>
      <c r="C1095" s="82" t="s">
        <v>11394</v>
      </c>
      <c r="D1095" s="83" t="s">
        <v>10046</v>
      </c>
      <c r="E1095" s="92">
        <v>9.0</v>
      </c>
      <c r="F1095" s="92">
        <v>9.0</v>
      </c>
      <c r="G1095" s="288" t="s">
        <v>3198</v>
      </c>
    </row>
    <row r="1096" ht="15.0" customHeight="1">
      <c r="A1096" s="224" t="s">
        <v>9258</v>
      </c>
      <c r="B1096" s="224" t="s">
        <v>94</v>
      </c>
      <c r="C1096" s="82" t="s">
        <v>11395</v>
      </c>
      <c r="D1096" s="83" t="s">
        <v>10046</v>
      </c>
      <c r="E1096" s="92">
        <v>2.25</v>
      </c>
      <c r="F1096" s="92">
        <v>2.25</v>
      </c>
      <c r="G1096" s="288" t="s">
        <v>3198</v>
      </c>
    </row>
    <row r="1097" ht="15.0" customHeight="1">
      <c r="A1097" s="224" t="s">
        <v>9258</v>
      </c>
      <c r="B1097" s="224" t="s">
        <v>94</v>
      </c>
      <c r="C1097" s="82" t="s">
        <v>11396</v>
      </c>
      <c r="D1097" s="83" t="s">
        <v>10046</v>
      </c>
      <c r="E1097" s="92">
        <v>0.9</v>
      </c>
      <c r="F1097" s="92">
        <v>0.9</v>
      </c>
      <c r="G1097" s="288" t="s">
        <v>3198</v>
      </c>
    </row>
    <row r="1098" ht="15.0" customHeight="1">
      <c r="A1098" s="224" t="s">
        <v>9258</v>
      </c>
      <c r="B1098" s="224" t="s">
        <v>94</v>
      </c>
      <c r="C1098" s="82" t="s">
        <v>11397</v>
      </c>
      <c r="D1098" s="83" t="s">
        <v>10046</v>
      </c>
      <c r="E1098" s="92">
        <v>3.67</v>
      </c>
      <c r="F1098" s="92">
        <v>3.67</v>
      </c>
      <c r="G1098" s="288" t="s">
        <v>3198</v>
      </c>
    </row>
    <row r="1099" ht="15.0" customHeight="1">
      <c r="A1099" s="224" t="s">
        <v>9258</v>
      </c>
      <c r="B1099" s="224" t="s">
        <v>94</v>
      </c>
      <c r="C1099" s="82" t="s">
        <v>11398</v>
      </c>
      <c r="D1099" s="83" t="s">
        <v>10046</v>
      </c>
      <c r="E1099" s="92">
        <v>3.67</v>
      </c>
      <c r="F1099" s="92">
        <v>3.67</v>
      </c>
      <c r="G1099" s="288" t="s">
        <v>3198</v>
      </c>
    </row>
    <row r="1100" ht="15.0" customHeight="1">
      <c r="A1100" s="224" t="s">
        <v>9258</v>
      </c>
      <c r="B1100" s="224" t="s">
        <v>94</v>
      </c>
      <c r="C1100" s="82" t="s">
        <v>11399</v>
      </c>
      <c r="D1100" s="83" t="s">
        <v>10046</v>
      </c>
      <c r="E1100" s="92">
        <v>3.67</v>
      </c>
      <c r="F1100" s="92">
        <v>3.67</v>
      </c>
      <c r="G1100" s="288" t="s">
        <v>3198</v>
      </c>
    </row>
    <row r="1101" ht="15.0" customHeight="1">
      <c r="A1101" s="224" t="s">
        <v>9258</v>
      </c>
      <c r="B1101" s="224" t="s">
        <v>94</v>
      </c>
      <c r="C1101" s="82" t="s">
        <v>11400</v>
      </c>
      <c r="D1101" s="83" t="s">
        <v>10046</v>
      </c>
      <c r="E1101" s="92">
        <v>0.92</v>
      </c>
      <c r="F1101" s="92">
        <v>0.92</v>
      </c>
      <c r="G1101" s="288" t="s">
        <v>3198</v>
      </c>
    </row>
    <row r="1102" ht="15.0" customHeight="1">
      <c r="A1102" s="224" t="s">
        <v>9258</v>
      </c>
      <c r="B1102" s="224" t="s">
        <v>94</v>
      </c>
      <c r="C1102" s="82" t="s">
        <v>11401</v>
      </c>
      <c r="D1102" s="83" t="s">
        <v>10046</v>
      </c>
      <c r="E1102" s="92">
        <v>0.37</v>
      </c>
      <c r="F1102" s="92">
        <v>0.37</v>
      </c>
      <c r="G1102" s="288" t="s">
        <v>3198</v>
      </c>
    </row>
    <row r="1103" ht="15.0" customHeight="1">
      <c r="A1103" s="224" t="s">
        <v>9258</v>
      </c>
      <c r="B1103" s="224" t="s">
        <v>94</v>
      </c>
      <c r="C1103" s="82" t="s">
        <v>11402</v>
      </c>
      <c r="D1103" s="83" t="s">
        <v>10046</v>
      </c>
      <c r="E1103" s="92">
        <v>4.33</v>
      </c>
      <c r="F1103" s="92">
        <v>4.33</v>
      </c>
      <c r="G1103" s="288" t="s">
        <v>3198</v>
      </c>
    </row>
    <row r="1104" ht="15.0" customHeight="1">
      <c r="A1104" s="224" t="s">
        <v>9258</v>
      </c>
      <c r="B1104" s="224" t="s">
        <v>94</v>
      </c>
      <c r="C1104" s="82" t="s">
        <v>11403</v>
      </c>
      <c r="D1104" s="83" t="s">
        <v>10046</v>
      </c>
      <c r="E1104" s="92">
        <v>4.33</v>
      </c>
      <c r="F1104" s="92">
        <v>4.33</v>
      </c>
      <c r="G1104" s="288" t="s">
        <v>3198</v>
      </c>
    </row>
    <row r="1105" ht="15.0" customHeight="1">
      <c r="A1105" s="224" t="s">
        <v>9258</v>
      </c>
      <c r="B1105" s="224" t="s">
        <v>94</v>
      </c>
      <c r="C1105" s="82" t="s">
        <v>11404</v>
      </c>
      <c r="D1105" s="83" t="s">
        <v>10046</v>
      </c>
      <c r="E1105" s="92">
        <v>4.33</v>
      </c>
      <c r="F1105" s="92">
        <v>4.33</v>
      </c>
      <c r="G1105" s="288" t="s">
        <v>3198</v>
      </c>
    </row>
    <row r="1106" ht="15.0" customHeight="1">
      <c r="A1106" s="224" t="s">
        <v>9258</v>
      </c>
      <c r="B1106" s="224" t="s">
        <v>94</v>
      </c>
      <c r="C1106" s="82" t="s">
        <v>11405</v>
      </c>
      <c r="D1106" s="83" t="s">
        <v>10046</v>
      </c>
      <c r="E1106" s="92">
        <v>1.08</v>
      </c>
      <c r="F1106" s="92">
        <v>1.08</v>
      </c>
      <c r="G1106" s="288" t="s">
        <v>3198</v>
      </c>
    </row>
    <row r="1107" ht="15.0" customHeight="1">
      <c r="A1107" s="224" t="s">
        <v>9258</v>
      </c>
      <c r="B1107" s="224" t="s">
        <v>94</v>
      </c>
      <c r="C1107" s="82" t="s">
        <v>11406</v>
      </c>
      <c r="D1107" s="83" t="s">
        <v>10046</v>
      </c>
      <c r="E1107" s="92">
        <v>0.43</v>
      </c>
      <c r="F1107" s="92">
        <v>0.43</v>
      </c>
      <c r="G1107" s="288" t="s">
        <v>3198</v>
      </c>
    </row>
    <row r="1108" ht="15.0" customHeight="1">
      <c r="A1108" s="224" t="s">
        <v>9258</v>
      </c>
      <c r="B1108" s="224" t="s">
        <v>94</v>
      </c>
      <c r="C1108" s="82" t="s">
        <v>11407</v>
      </c>
      <c r="D1108" s="83" t="s">
        <v>10046</v>
      </c>
      <c r="E1108" s="92">
        <v>11.33</v>
      </c>
      <c r="F1108" s="92">
        <v>11.33</v>
      </c>
      <c r="G1108" s="288" t="s">
        <v>3198</v>
      </c>
    </row>
    <row r="1109" ht="15.0" customHeight="1">
      <c r="A1109" s="224" t="s">
        <v>9258</v>
      </c>
      <c r="B1109" s="224" t="s">
        <v>94</v>
      </c>
      <c r="C1109" s="82" t="s">
        <v>11408</v>
      </c>
      <c r="D1109" s="83" t="s">
        <v>10046</v>
      </c>
      <c r="E1109" s="92">
        <v>11.33</v>
      </c>
      <c r="F1109" s="92">
        <v>11.33</v>
      </c>
      <c r="G1109" s="288" t="s">
        <v>3198</v>
      </c>
    </row>
    <row r="1110" ht="15.0" customHeight="1">
      <c r="A1110" s="224" t="s">
        <v>9258</v>
      </c>
      <c r="B1110" s="224" t="s">
        <v>94</v>
      </c>
      <c r="C1110" s="82" t="s">
        <v>11409</v>
      </c>
      <c r="D1110" s="83" t="s">
        <v>10046</v>
      </c>
      <c r="E1110" s="92">
        <v>11.33</v>
      </c>
      <c r="F1110" s="92">
        <v>11.33</v>
      </c>
      <c r="G1110" s="288" t="s">
        <v>3198</v>
      </c>
    </row>
    <row r="1111" ht="15.0" customHeight="1">
      <c r="A1111" s="224" t="s">
        <v>9258</v>
      </c>
      <c r="B1111" s="224" t="s">
        <v>94</v>
      </c>
      <c r="C1111" s="82" t="s">
        <v>11410</v>
      </c>
      <c r="D1111" s="83" t="s">
        <v>10046</v>
      </c>
      <c r="E1111" s="92">
        <v>2.83</v>
      </c>
      <c r="F1111" s="92">
        <v>2.83</v>
      </c>
      <c r="G1111" s="288" t="s">
        <v>3198</v>
      </c>
    </row>
    <row r="1112" ht="15.0" customHeight="1">
      <c r="A1112" s="224" t="s">
        <v>9258</v>
      </c>
      <c r="B1112" s="224" t="s">
        <v>94</v>
      </c>
      <c r="C1112" s="82" t="s">
        <v>11411</v>
      </c>
      <c r="D1112" s="83" t="s">
        <v>10046</v>
      </c>
      <c r="E1112" s="92">
        <v>1.13</v>
      </c>
      <c r="F1112" s="92">
        <v>1.13</v>
      </c>
      <c r="G1112" s="288" t="s">
        <v>3198</v>
      </c>
    </row>
    <row r="1113" ht="15.0" customHeight="1">
      <c r="A1113" s="224" t="s">
        <v>9258</v>
      </c>
      <c r="B1113" s="224" t="s">
        <v>94</v>
      </c>
      <c r="C1113" s="82" t="s">
        <v>11412</v>
      </c>
      <c r="D1113" s="83" t="s">
        <v>10046</v>
      </c>
      <c r="E1113" s="92">
        <v>2.0</v>
      </c>
      <c r="F1113" s="92">
        <v>2.0</v>
      </c>
      <c r="G1113" s="288" t="s">
        <v>3198</v>
      </c>
    </row>
    <row r="1114" ht="15.0" customHeight="1">
      <c r="A1114" s="224" t="s">
        <v>9258</v>
      </c>
      <c r="B1114" s="224" t="s">
        <v>94</v>
      </c>
      <c r="C1114" s="82" t="s">
        <v>11413</v>
      </c>
      <c r="D1114" s="83" t="s">
        <v>10046</v>
      </c>
      <c r="E1114" s="92">
        <v>28.67</v>
      </c>
      <c r="F1114" s="92">
        <v>28.67</v>
      </c>
      <c r="G1114" s="288" t="s">
        <v>3198</v>
      </c>
    </row>
    <row r="1115" ht="15.0" customHeight="1">
      <c r="A1115" s="224" t="s">
        <v>9258</v>
      </c>
      <c r="B1115" s="224" t="s">
        <v>94</v>
      </c>
      <c r="C1115" s="82" t="s">
        <v>11414</v>
      </c>
      <c r="D1115" s="83" t="s">
        <v>10046</v>
      </c>
      <c r="E1115" s="92">
        <v>20.67</v>
      </c>
      <c r="F1115" s="92">
        <v>20.67</v>
      </c>
      <c r="G1115" s="288" t="s">
        <v>3198</v>
      </c>
    </row>
    <row r="1116" ht="15.0" customHeight="1">
      <c r="A1116" s="224" t="s">
        <v>9258</v>
      </c>
      <c r="B1116" s="224" t="s">
        <v>94</v>
      </c>
      <c r="C1116" s="82" t="s">
        <v>11415</v>
      </c>
      <c r="D1116" s="83" t="s">
        <v>10046</v>
      </c>
      <c r="E1116" s="92">
        <v>14.0</v>
      </c>
      <c r="F1116" s="92">
        <v>14.0</v>
      </c>
      <c r="G1116" s="288" t="s">
        <v>3198</v>
      </c>
    </row>
    <row r="1117" ht="15.0" customHeight="1">
      <c r="A1117" s="224" t="s">
        <v>9258</v>
      </c>
      <c r="B1117" s="224" t="s">
        <v>94</v>
      </c>
      <c r="C1117" s="82" t="s">
        <v>11416</v>
      </c>
      <c r="D1117" s="83" t="s">
        <v>10046</v>
      </c>
      <c r="E1117" s="92">
        <v>1.0</v>
      </c>
      <c r="F1117" s="92">
        <v>1.0</v>
      </c>
      <c r="G1117" s="288" t="s">
        <v>3198</v>
      </c>
    </row>
    <row r="1118" ht="15.0" customHeight="1">
      <c r="A1118" s="224" t="s">
        <v>9258</v>
      </c>
      <c r="B1118" s="224" t="s">
        <v>94</v>
      </c>
      <c r="C1118" s="82" t="s">
        <v>11417</v>
      </c>
      <c r="D1118" s="83" t="s">
        <v>10072</v>
      </c>
      <c r="E1118" s="92">
        <v>4.83</v>
      </c>
      <c r="F1118" s="92">
        <v>4.83</v>
      </c>
      <c r="G1118" s="288" t="s">
        <v>3198</v>
      </c>
    </row>
    <row r="1119" ht="15.0" customHeight="1">
      <c r="A1119" s="224" t="s">
        <v>9258</v>
      </c>
      <c r="B1119" s="224" t="s">
        <v>94</v>
      </c>
      <c r="C1119" s="82" t="s">
        <v>11418</v>
      </c>
      <c r="D1119" s="83" t="s">
        <v>10072</v>
      </c>
      <c r="E1119" s="92">
        <v>1.21</v>
      </c>
      <c r="F1119" s="92">
        <v>1.21</v>
      </c>
      <c r="G1119" s="288" t="s">
        <v>3198</v>
      </c>
    </row>
    <row r="1120" ht="15.0" customHeight="1">
      <c r="A1120" s="253" t="s">
        <v>3203</v>
      </c>
      <c r="B1120" s="253" t="s">
        <v>94</v>
      </c>
      <c r="C1120" s="148" t="s">
        <v>11419</v>
      </c>
      <c r="D1120" s="191" t="s">
        <v>10305</v>
      </c>
      <c r="E1120" s="162">
        <f t="shared" ref="E1120:E1129" si="131">1/3</f>
        <v>0.3333333333</v>
      </c>
      <c r="F1120" s="162">
        <f t="shared" ref="F1120:F1122" si="132">11*E1120</f>
        <v>3.666666667</v>
      </c>
      <c r="G1120" s="288" t="s">
        <v>3203</v>
      </c>
    </row>
    <row r="1121" ht="15.0" customHeight="1">
      <c r="A1121" s="253" t="s">
        <v>3203</v>
      </c>
      <c r="B1121" s="253" t="s">
        <v>94</v>
      </c>
      <c r="C1121" s="148" t="s">
        <v>11420</v>
      </c>
      <c r="D1121" s="191" t="s">
        <v>10305</v>
      </c>
      <c r="E1121" s="162">
        <f t="shared" si="131"/>
        <v>0.3333333333</v>
      </c>
      <c r="F1121" s="162">
        <f t="shared" si="132"/>
        <v>3.666666667</v>
      </c>
      <c r="G1121" s="288" t="s">
        <v>3203</v>
      </c>
    </row>
    <row r="1122" ht="15.0" customHeight="1">
      <c r="A1122" s="253" t="s">
        <v>3203</v>
      </c>
      <c r="B1122" s="253" t="s">
        <v>94</v>
      </c>
      <c r="C1122" s="148" t="s">
        <v>11421</v>
      </c>
      <c r="D1122" s="191" t="s">
        <v>10305</v>
      </c>
      <c r="E1122" s="162">
        <f t="shared" si="131"/>
        <v>0.3333333333</v>
      </c>
      <c r="F1122" s="162">
        <f t="shared" si="132"/>
        <v>3.666666667</v>
      </c>
      <c r="G1122" s="288" t="s">
        <v>3203</v>
      </c>
    </row>
    <row r="1123" ht="15.0" customHeight="1">
      <c r="A1123" s="253" t="s">
        <v>3203</v>
      </c>
      <c r="B1123" s="253" t="s">
        <v>94</v>
      </c>
      <c r="C1123" s="148" t="s">
        <v>11422</v>
      </c>
      <c r="D1123" s="191" t="s">
        <v>10305</v>
      </c>
      <c r="E1123" s="162">
        <f t="shared" si="131"/>
        <v>0.3333333333</v>
      </c>
      <c r="F1123" s="162">
        <f t="shared" ref="F1123:F1126" si="133">41*E1123</f>
        <v>13.66666667</v>
      </c>
      <c r="G1123" s="288" t="s">
        <v>3203</v>
      </c>
    </row>
    <row r="1124" ht="15.0" customHeight="1">
      <c r="A1124" s="253" t="s">
        <v>3203</v>
      </c>
      <c r="B1124" s="253" t="s">
        <v>94</v>
      </c>
      <c r="C1124" s="148" t="s">
        <v>11423</v>
      </c>
      <c r="D1124" s="191" t="s">
        <v>10305</v>
      </c>
      <c r="E1124" s="162">
        <f t="shared" si="131"/>
        <v>0.3333333333</v>
      </c>
      <c r="F1124" s="162">
        <f t="shared" si="133"/>
        <v>13.66666667</v>
      </c>
      <c r="G1124" s="288" t="s">
        <v>3203</v>
      </c>
    </row>
    <row r="1125" ht="15.0" customHeight="1">
      <c r="A1125" s="253" t="s">
        <v>3203</v>
      </c>
      <c r="B1125" s="253" t="s">
        <v>94</v>
      </c>
      <c r="C1125" s="148" t="s">
        <v>11424</v>
      </c>
      <c r="D1125" s="191" t="s">
        <v>10305</v>
      </c>
      <c r="E1125" s="162">
        <f t="shared" si="131"/>
        <v>0.3333333333</v>
      </c>
      <c r="F1125" s="162">
        <f t="shared" si="133"/>
        <v>13.66666667</v>
      </c>
      <c r="G1125" s="288" t="s">
        <v>3203</v>
      </c>
    </row>
    <row r="1126" ht="15.0" customHeight="1">
      <c r="A1126" s="253" t="s">
        <v>3203</v>
      </c>
      <c r="B1126" s="253" t="s">
        <v>94</v>
      </c>
      <c r="C1126" s="148" t="s">
        <v>11425</v>
      </c>
      <c r="D1126" s="191" t="s">
        <v>10305</v>
      </c>
      <c r="E1126" s="162">
        <f t="shared" si="131"/>
        <v>0.3333333333</v>
      </c>
      <c r="F1126" s="162">
        <f t="shared" si="133"/>
        <v>13.66666667</v>
      </c>
      <c r="G1126" s="288" t="s">
        <v>3203</v>
      </c>
    </row>
    <row r="1127" ht="15.0" customHeight="1">
      <c r="A1127" s="253" t="s">
        <v>3203</v>
      </c>
      <c r="B1127" s="253" t="s">
        <v>94</v>
      </c>
      <c r="C1127" s="148" t="s">
        <v>11426</v>
      </c>
      <c r="D1127" s="191" t="s">
        <v>10305</v>
      </c>
      <c r="E1127" s="162">
        <f t="shared" si="131"/>
        <v>0.3333333333</v>
      </c>
      <c r="F1127" s="162">
        <f>15*E1127</f>
        <v>5</v>
      </c>
      <c r="G1127" s="288" t="s">
        <v>3203</v>
      </c>
    </row>
    <row r="1128" ht="15.0" customHeight="1">
      <c r="A1128" s="531" t="s">
        <v>3203</v>
      </c>
      <c r="B1128" s="531" t="s">
        <v>94</v>
      </c>
      <c r="C1128" s="500" t="s">
        <v>11427</v>
      </c>
      <c r="D1128" s="532" t="s">
        <v>10305</v>
      </c>
      <c r="E1128" s="162">
        <f t="shared" si="131"/>
        <v>0.3333333333</v>
      </c>
      <c r="F1128" s="162">
        <f t="shared" ref="F1128:F1129" si="134">25*E1128</f>
        <v>8.333333333</v>
      </c>
      <c r="G1128" s="288" t="s">
        <v>3203</v>
      </c>
    </row>
    <row r="1129" ht="15.0" customHeight="1">
      <c r="A1129" s="253" t="s">
        <v>3203</v>
      </c>
      <c r="B1129" s="253" t="s">
        <v>94</v>
      </c>
      <c r="C1129" s="148" t="s">
        <v>11428</v>
      </c>
      <c r="D1129" s="191" t="s">
        <v>10305</v>
      </c>
      <c r="E1129" s="162">
        <f t="shared" si="131"/>
        <v>0.3333333333</v>
      </c>
      <c r="F1129" s="162">
        <f t="shared" si="134"/>
        <v>8.333333333</v>
      </c>
      <c r="G1129" s="288" t="s">
        <v>3203</v>
      </c>
    </row>
    <row r="1130" ht="15.0" customHeight="1">
      <c r="A1130" s="253" t="s">
        <v>3203</v>
      </c>
      <c r="B1130" s="253" t="s">
        <v>94</v>
      </c>
      <c r="C1130" s="148" t="s">
        <v>11429</v>
      </c>
      <c r="D1130" s="191" t="s">
        <v>11430</v>
      </c>
      <c r="E1130" s="162">
        <f t="shared" ref="E1130:E1131" si="135">2*1/3</f>
        <v>0.6666666667</v>
      </c>
      <c r="F1130" s="162">
        <f>E1130*3</f>
        <v>2</v>
      </c>
      <c r="G1130" s="288" t="s">
        <v>3203</v>
      </c>
    </row>
    <row r="1131" ht="15.0" customHeight="1">
      <c r="A1131" s="253" t="s">
        <v>3203</v>
      </c>
      <c r="B1131" s="253" t="s">
        <v>94</v>
      </c>
      <c r="C1131" s="148" t="s">
        <v>11431</v>
      </c>
      <c r="D1131" s="191" t="s">
        <v>11432</v>
      </c>
      <c r="E1131" s="162">
        <f t="shared" si="135"/>
        <v>0.6666666667</v>
      </c>
      <c r="F1131" s="162">
        <f>E1131*31</f>
        <v>20.66666667</v>
      </c>
      <c r="G1131" s="288" t="s">
        <v>3203</v>
      </c>
    </row>
    <row r="1132" ht="15.0" customHeight="1">
      <c r="A1132" s="224" t="s">
        <v>9659</v>
      </c>
      <c r="B1132" s="224" t="s">
        <v>94</v>
      </c>
      <c r="C1132" s="82" t="s">
        <v>11433</v>
      </c>
      <c r="D1132" s="83" t="s">
        <v>10698</v>
      </c>
      <c r="E1132" s="92">
        <v>6.0</v>
      </c>
      <c r="F1132" s="92">
        <v>6.0</v>
      </c>
      <c r="G1132" s="288" t="s">
        <v>8962</v>
      </c>
    </row>
    <row r="1133" ht="15.0" customHeight="1">
      <c r="A1133" s="224" t="s">
        <v>9659</v>
      </c>
      <c r="B1133" s="224" t="s">
        <v>94</v>
      </c>
      <c r="C1133" s="82" t="s">
        <v>11434</v>
      </c>
      <c r="D1133" s="83" t="s">
        <v>10698</v>
      </c>
      <c r="E1133" s="92">
        <v>6.0</v>
      </c>
      <c r="F1133" s="92">
        <v>6.0</v>
      </c>
      <c r="G1133" s="288" t="s">
        <v>8962</v>
      </c>
    </row>
    <row r="1134" ht="15.0" customHeight="1">
      <c r="A1134" s="224" t="s">
        <v>9659</v>
      </c>
      <c r="B1134" s="224" t="s">
        <v>94</v>
      </c>
      <c r="C1134" s="82" t="s">
        <v>11435</v>
      </c>
      <c r="D1134" s="83" t="s">
        <v>10698</v>
      </c>
      <c r="E1134" s="92">
        <v>6.0</v>
      </c>
      <c r="F1134" s="92">
        <v>6.0</v>
      </c>
      <c r="G1134" s="288" t="s">
        <v>8962</v>
      </c>
    </row>
    <row r="1135" ht="15.0" customHeight="1">
      <c r="A1135" s="224" t="s">
        <v>9659</v>
      </c>
      <c r="B1135" s="224" t="s">
        <v>94</v>
      </c>
      <c r="C1135" s="82" t="s">
        <v>11436</v>
      </c>
      <c r="D1135" s="83" t="s">
        <v>10698</v>
      </c>
      <c r="E1135" s="92">
        <v>6.0</v>
      </c>
      <c r="F1135" s="92">
        <v>6.0</v>
      </c>
      <c r="G1135" s="288" t="s">
        <v>8962</v>
      </c>
    </row>
    <row r="1136" ht="15.0" customHeight="1">
      <c r="A1136" s="224" t="s">
        <v>9659</v>
      </c>
      <c r="B1136" s="224" t="s">
        <v>94</v>
      </c>
      <c r="C1136" s="82" t="s">
        <v>11437</v>
      </c>
      <c r="D1136" s="83" t="s">
        <v>10698</v>
      </c>
      <c r="E1136" s="92">
        <v>6.0</v>
      </c>
      <c r="F1136" s="92">
        <v>6.0</v>
      </c>
      <c r="G1136" s="288" t="s">
        <v>8962</v>
      </c>
    </row>
    <row r="1137" ht="15.0" customHeight="1">
      <c r="A1137" s="224" t="s">
        <v>9659</v>
      </c>
      <c r="B1137" s="224" t="s">
        <v>94</v>
      </c>
      <c r="C1137" s="82" t="s">
        <v>11438</v>
      </c>
      <c r="D1137" s="83" t="s">
        <v>10698</v>
      </c>
      <c r="E1137" s="92">
        <v>6.0</v>
      </c>
      <c r="F1137" s="92">
        <v>6.0</v>
      </c>
      <c r="G1137" s="288" t="s">
        <v>8962</v>
      </c>
    </row>
    <row r="1138" ht="15.0" customHeight="1">
      <c r="A1138" s="224" t="s">
        <v>9659</v>
      </c>
      <c r="B1138" s="224" t="s">
        <v>94</v>
      </c>
      <c r="C1138" s="82" t="s">
        <v>11439</v>
      </c>
      <c r="D1138" s="83" t="s">
        <v>10698</v>
      </c>
      <c r="E1138" s="92">
        <v>6.0</v>
      </c>
      <c r="F1138" s="92">
        <v>6.0</v>
      </c>
      <c r="G1138" s="288" t="s">
        <v>8962</v>
      </c>
    </row>
    <row r="1139" ht="15.0" customHeight="1">
      <c r="A1139" s="224" t="s">
        <v>9659</v>
      </c>
      <c r="B1139" s="224" t="s">
        <v>94</v>
      </c>
      <c r="C1139" s="82" t="s">
        <v>11440</v>
      </c>
      <c r="D1139" s="83" t="s">
        <v>10698</v>
      </c>
      <c r="E1139" s="92">
        <v>6.0</v>
      </c>
      <c r="F1139" s="92">
        <v>6.0</v>
      </c>
      <c r="G1139" s="288" t="s">
        <v>8962</v>
      </c>
    </row>
    <row r="1140" ht="15.0" customHeight="1">
      <c r="A1140" s="224" t="s">
        <v>9659</v>
      </c>
      <c r="B1140" s="224" t="s">
        <v>94</v>
      </c>
      <c r="C1140" s="82" t="s">
        <v>11441</v>
      </c>
      <c r="D1140" s="83" t="s">
        <v>10698</v>
      </c>
      <c r="E1140" s="92">
        <v>7.33</v>
      </c>
      <c r="F1140" s="92">
        <v>7.33</v>
      </c>
      <c r="G1140" s="288" t="s">
        <v>8962</v>
      </c>
    </row>
    <row r="1141" ht="15.0" customHeight="1">
      <c r="A1141" s="224" t="s">
        <v>9659</v>
      </c>
      <c r="B1141" s="224" t="s">
        <v>94</v>
      </c>
      <c r="C1141" s="82" t="s">
        <v>11442</v>
      </c>
      <c r="D1141" s="83" t="s">
        <v>10698</v>
      </c>
      <c r="E1141" s="92">
        <v>7.33</v>
      </c>
      <c r="F1141" s="92">
        <v>7.33</v>
      </c>
      <c r="G1141" s="288" t="s">
        <v>8962</v>
      </c>
    </row>
    <row r="1142" ht="15.0" customHeight="1">
      <c r="A1142" s="224" t="s">
        <v>9659</v>
      </c>
      <c r="B1142" s="224" t="s">
        <v>94</v>
      </c>
      <c r="C1142" s="82" t="s">
        <v>11443</v>
      </c>
      <c r="D1142" s="83" t="s">
        <v>10698</v>
      </c>
      <c r="E1142" s="92">
        <v>7.33</v>
      </c>
      <c r="F1142" s="92">
        <v>7.33</v>
      </c>
      <c r="G1142" s="288" t="s">
        <v>8962</v>
      </c>
    </row>
    <row r="1143" ht="15.0" customHeight="1">
      <c r="A1143" s="224" t="s">
        <v>8671</v>
      </c>
      <c r="B1143" s="224" t="s">
        <v>94</v>
      </c>
      <c r="C1143" s="82" t="s">
        <v>11444</v>
      </c>
      <c r="D1143" s="83" t="s">
        <v>10046</v>
      </c>
      <c r="E1143" s="83" t="s">
        <v>11445</v>
      </c>
      <c r="F1143" s="92">
        <v>10.0</v>
      </c>
      <c r="G1143" s="288" t="s">
        <v>689</v>
      </c>
    </row>
    <row r="1144" ht="15.0" customHeight="1">
      <c r="A1144" s="224" t="s">
        <v>8671</v>
      </c>
      <c r="B1144" s="224" t="s">
        <v>94</v>
      </c>
      <c r="C1144" s="82" t="s">
        <v>11446</v>
      </c>
      <c r="D1144" s="83" t="s">
        <v>10046</v>
      </c>
      <c r="E1144" s="83" t="s">
        <v>11447</v>
      </c>
      <c r="F1144" s="92">
        <v>13.66</v>
      </c>
      <c r="G1144" s="288" t="s">
        <v>689</v>
      </c>
    </row>
    <row r="1145" ht="15.0" customHeight="1">
      <c r="A1145" s="224" t="s">
        <v>8671</v>
      </c>
      <c r="B1145" s="224" t="s">
        <v>94</v>
      </c>
      <c r="C1145" s="82" t="s">
        <v>11448</v>
      </c>
      <c r="D1145" s="83" t="s">
        <v>10046</v>
      </c>
      <c r="E1145" s="83" t="s">
        <v>11445</v>
      </c>
      <c r="F1145" s="92">
        <v>10.0</v>
      </c>
      <c r="G1145" s="288" t="s">
        <v>689</v>
      </c>
    </row>
    <row r="1146" ht="15.0" customHeight="1">
      <c r="A1146" s="224" t="s">
        <v>8671</v>
      </c>
      <c r="B1146" s="224" t="s">
        <v>94</v>
      </c>
      <c r="C1146" s="82" t="s">
        <v>11449</v>
      </c>
      <c r="D1146" s="83" t="s">
        <v>10046</v>
      </c>
      <c r="E1146" s="83" t="s">
        <v>11447</v>
      </c>
      <c r="F1146" s="92" t="s">
        <v>11450</v>
      </c>
      <c r="G1146" s="288" t="s">
        <v>689</v>
      </c>
    </row>
    <row r="1147" ht="15.0" customHeight="1">
      <c r="A1147" s="224" t="s">
        <v>8671</v>
      </c>
      <c r="B1147" s="224" t="s">
        <v>94</v>
      </c>
      <c r="C1147" s="82" t="s">
        <v>11451</v>
      </c>
      <c r="D1147" s="83" t="s">
        <v>10046</v>
      </c>
      <c r="E1147" s="83" t="s">
        <v>11452</v>
      </c>
      <c r="F1147" s="92">
        <v>5.0</v>
      </c>
      <c r="G1147" s="288" t="s">
        <v>689</v>
      </c>
    </row>
    <row r="1148" ht="15.0" customHeight="1">
      <c r="A1148" s="224" t="s">
        <v>8671</v>
      </c>
      <c r="B1148" s="224" t="s">
        <v>94</v>
      </c>
      <c r="C1148" s="82" t="s">
        <v>11453</v>
      </c>
      <c r="D1148" s="83" t="s">
        <v>10046</v>
      </c>
      <c r="E1148" s="83" t="s">
        <v>11452</v>
      </c>
      <c r="F1148" s="92">
        <v>5.0</v>
      </c>
      <c r="G1148" s="288" t="s">
        <v>689</v>
      </c>
    </row>
    <row r="1149" ht="15.0" customHeight="1">
      <c r="A1149" s="224" t="s">
        <v>8671</v>
      </c>
      <c r="B1149" s="224" t="s">
        <v>94</v>
      </c>
      <c r="C1149" s="82" t="s">
        <v>11454</v>
      </c>
      <c r="D1149" s="83" t="s">
        <v>10046</v>
      </c>
      <c r="E1149" s="83" t="s">
        <v>11455</v>
      </c>
      <c r="F1149" s="92">
        <v>4.33</v>
      </c>
      <c r="G1149" s="288" t="s">
        <v>689</v>
      </c>
    </row>
    <row r="1150" ht="15.0" customHeight="1">
      <c r="A1150" s="416" t="s">
        <v>8671</v>
      </c>
      <c r="B1150" s="416" t="s">
        <v>94</v>
      </c>
      <c r="C1150" s="352" t="s">
        <v>11456</v>
      </c>
      <c r="D1150" s="489" t="s">
        <v>10046</v>
      </c>
      <c r="E1150" s="489" t="s">
        <v>11457</v>
      </c>
      <c r="F1150" s="419">
        <v>4.66</v>
      </c>
      <c r="G1150" s="288" t="s">
        <v>689</v>
      </c>
    </row>
    <row r="1151" ht="15.0" customHeight="1">
      <c r="A1151" s="224" t="s">
        <v>8671</v>
      </c>
      <c r="B1151" s="224" t="s">
        <v>94</v>
      </c>
      <c r="C1151" s="82" t="s">
        <v>11458</v>
      </c>
      <c r="D1151" s="83" t="s">
        <v>10046</v>
      </c>
      <c r="E1151" s="83" t="s">
        <v>11457</v>
      </c>
      <c r="F1151" s="92">
        <v>4.66</v>
      </c>
      <c r="G1151" s="288" t="s">
        <v>689</v>
      </c>
    </row>
    <row r="1152" ht="15.0" customHeight="1">
      <c r="A1152" s="224" t="s">
        <v>3249</v>
      </c>
      <c r="B1152" s="224" t="s">
        <v>94</v>
      </c>
      <c r="C1152" s="82" t="s">
        <v>11459</v>
      </c>
      <c r="D1152" s="83" t="s">
        <v>10305</v>
      </c>
      <c r="E1152" s="83">
        <v>5.0</v>
      </c>
      <c r="F1152" s="92">
        <v>5.0</v>
      </c>
      <c r="G1152" s="288" t="s">
        <v>3249</v>
      </c>
    </row>
    <row r="1153" ht="15.0" customHeight="1">
      <c r="A1153" s="224" t="s">
        <v>3249</v>
      </c>
      <c r="B1153" s="224" t="s">
        <v>94</v>
      </c>
      <c r="C1153" s="82" t="s">
        <v>11460</v>
      </c>
      <c r="D1153" s="83" t="s">
        <v>10305</v>
      </c>
      <c r="E1153" s="83">
        <v>11.0</v>
      </c>
      <c r="F1153" s="92">
        <v>11.0</v>
      </c>
      <c r="G1153" s="288" t="s">
        <v>3249</v>
      </c>
    </row>
    <row r="1154" ht="15.0" customHeight="1">
      <c r="A1154" s="224" t="s">
        <v>3249</v>
      </c>
      <c r="B1154" s="224" t="s">
        <v>94</v>
      </c>
      <c r="C1154" s="82" t="s">
        <v>11460</v>
      </c>
      <c r="D1154" s="83" t="s">
        <v>10305</v>
      </c>
      <c r="E1154" s="83">
        <v>19.0</v>
      </c>
      <c r="F1154" s="92">
        <v>19.0</v>
      </c>
      <c r="G1154" s="288" t="s">
        <v>3249</v>
      </c>
    </row>
    <row r="1155" ht="15.0" customHeight="1">
      <c r="A1155" s="224" t="s">
        <v>3249</v>
      </c>
      <c r="B1155" s="224" t="s">
        <v>94</v>
      </c>
      <c r="C1155" s="82" t="s">
        <v>11460</v>
      </c>
      <c r="D1155" s="83" t="s">
        <v>10305</v>
      </c>
      <c r="E1155" s="83">
        <v>19.0</v>
      </c>
      <c r="F1155" s="92">
        <v>19.0</v>
      </c>
      <c r="G1155" s="288" t="s">
        <v>3249</v>
      </c>
    </row>
    <row r="1156" ht="15.0" customHeight="1">
      <c r="A1156" s="224" t="s">
        <v>3249</v>
      </c>
      <c r="B1156" s="224" t="s">
        <v>94</v>
      </c>
      <c r="C1156" s="82" t="s">
        <v>11461</v>
      </c>
      <c r="D1156" s="83" t="s">
        <v>10305</v>
      </c>
      <c r="E1156" s="83">
        <v>19.0</v>
      </c>
      <c r="F1156" s="92">
        <v>38.0</v>
      </c>
      <c r="G1156" s="288" t="s">
        <v>3249</v>
      </c>
    </row>
    <row r="1157" ht="15.0" customHeight="1">
      <c r="A1157" s="224" t="s">
        <v>3249</v>
      </c>
      <c r="B1157" s="224" t="s">
        <v>94</v>
      </c>
      <c r="C1157" s="82" t="s">
        <v>11462</v>
      </c>
      <c r="D1157" s="83" t="s">
        <v>10305</v>
      </c>
      <c r="E1157" s="83">
        <v>14.0</v>
      </c>
      <c r="F1157" s="92">
        <v>28.0</v>
      </c>
      <c r="G1157" s="288" t="s">
        <v>3249</v>
      </c>
    </row>
    <row r="1158" ht="15.0" customHeight="1">
      <c r="A1158" s="224" t="s">
        <v>3249</v>
      </c>
      <c r="B1158" s="224" t="s">
        <v>94</v>
      </c>
      <c r="C1158" s="82" t="s">
        <v>11462</v>
      </c>
      <c r="D1158" s="83" t="s">
        <v>10305</v>
      </c>
      <c r="E1158" s="83">
        <v>9.0</v>
      </c>
      <c r="F1158" s="92">
        <v>18.0</v>
      </c>
      <c r="G1158" s="288" t="s">
        <v>3249</v>
      </c>
    </row>
    <row r="1159" ht="15.0" customHeight="1">
      <c r="A1159" s="224" t="s">
        <v>3249</v>
      </c>
      <c r="B1159" s="224" t="s">
        <v>94</v>
      </c>
      <c r="C1159" s="82" t="s">
        <v>11463</v>
      </c>
      <c r="D1159" s="83" t="s">
        <v>10305</v>
      </c>
      <c r="E1159" s="83">
        <v>5.0</v>
      </c>
      <c r="F1159" s="92">
        <v>5.0</v>
      </c>
      <c r="G1159" s="288" t="s">
        <v>3249</v>
      </c>
    </row>
    <row r="1160" ht="15.0" customHeight="1">
      <c r="A1160" s="224" t="s">
        <v>852</v>
      </c>
      <c r="B1160" s="224" t="s">
        <v>94</v>
      </c>
      <c r="C1160" s="82" t="s">
        <v>11464</v>
      </c>
      <c r="D1160" s="83" t="s">
        <v>10046</v>
      </c>
      <c r="E1160" s="83">
        <f>41/3</f>
        <v>13.66666667</v>
      </c>
      <c r="F1160" s="92">
        <f>2*E1160</f>
        <v>27.33333333</v>
      </c>
      <c r="G1160" s="288" t="s">
        <v>852</v>
      </c>
    </row>
    <row r="1161" ht="15.0" customHeight="1">
      <c r="A1161" s="224" t="s">
        <v>852</v>
      </c>
      <c r="B1161" s="224" t="s">
        <v>94</v>
      </c>
      <c r="C1161" s="82" t="s">
        <v>11465</v>
      </c>
      <c r="D1161" s="83" t="s">
        <v>10046</v>
      </c>
      <c r="E1161" s="83">
        <f>15/3</f>
        <v>5</v>
      </c>
      <c r="F1161" s="92">
        <f>E1161*2</f>
        <v>10</v>
      </c>
      <c r="G1161" s="288" t="s">
        <v>852</v>
      </c>
    </row>
    <row r="1162" ht="15.0" customHeight="1">
      <c r="A1162" s="224" t="s">
        <v>852</v>
      </c>
      <c r="B1162" s="224" t="s">
        <v>94</v>
      </c>
      <c r="C1162" s="82" t="s">
        <v>11466</v>
      </c>
      <c r="D1162" s="83" t="s">
        <v>10046</v>
      </c>
      <c r="E1162" s="83">
        <f>(30+18+25)/3</f>
        <v>24.33333333</v>
      </c>
      <c r="F1162" s="92">
        <f t="shared" ref="F1162:F1164" si="136">E1162*3</f>
        <v>73</v>
      </c>
      <c r="G1162" s="288" t="s">
        <v>852</v>
      </c>
    </row>
    <row r="1163" ht="15.0" customHeight="1">
      <c r="A1163" s="224" t="s">
        <v>852</v>
      </c>
      <c r="B1163" s="224" t="s">
        <v>94</v>
      </c>
      <c r="C1163" s="82" t="s">
        <v>11467</v>
      </c>
      <c r="D1163" s="83" t="s">
        <v>10046</v>
      </c>
      <c r="E1163" s="83">
        <f>29/3</f>
        <v>9.666666667</v>
      </c>
      <c r="F1163" s="92">
        <f t="shared" si="136"/>
        <v>29</v>
      </c>
      <c r="G1163" s="288" t="s">
        <v>852</v>
      </c>
    </row>
    <row r="1164" ht="15.0" customHeight="1">
      <c r="A1164" s="224" t="s">
        <v>852</v>
      </c>
      <c r="B1164" s="224" t="s">
        <v>94</v>
      </c>
      <c r="C1164" s="82" t="s">
        <v>11468</v>
      </c>
      <c r="D1164" s="83" t="s">
        <v>10046</v>
      </c>
      <c r="E1164" s="83">
        <f>30/3</f>
        <v>10</v>
      </c>
      <c r="F1164" s="92">
        <f t="shared" si="136"/>
        <v>30</v>
      </c>
      <c r="G1164" s="288" t="s">
        <v>852</v>
      </c>
    </row>
    <row r="1165" ht="15.0" customHeight="1">
      <c r="A1165" s="224" t="s">
        <v>852</v>
      </c>
      <c r="B1165" s="224" t="s">
        <v>94</v>
      </c>
      <c r="C1165" s="82" t="s">
        <v>11469</v>
      </c>
      <c r="D1165" s="83" t="s">
        <v>10046</v>
      </c>
      <c r="E1165" s="489">
        <f>27/3</f>
        <v>9</v>
      </c>
      <c r="F1165" s="419">
        <f t="shared" ref="F1165:F1167" si="137">E1165*2</f>
        <v>18</v>
      </c>
      <c r="G1165" s="288" t="s">
        <v>852</v>
      </c>
    </row>
    <row r="1166" ht="15.0" customHeight="1">
      <c r="A1166" s="224" t="s">
        <v>852</v>
      </c>
      <c r="B1166" s="224" t="s">
        <v>94</v>
      </c>
      <c r="C1166" s="352" t="s">
        <v>11470</v>
      </c>
      <c r="D1166" s="275" t="s">
        <v>10046</v>
      </c>
      <c r="E1166" s="83">
        <f>11/3</f>
        <v>3.666666667</v>
      </c>
      <c r="F1166" s="92">
        <f t="shared" si="137"/>
        <v>7.333333333</v>
      </c>
      <c r="G1166" s="288" t="s">
        <v>852</v>
      </c>
    </row>
    <row r="1167" ht="15.0" customHeight="1">
      <c r="A1167" s="224" t="s">
        <v>852</v>
      </c>
      <c r="B1167" s="519" t="s">
        <v>94</v>
      </c>
      <c r="C1167" s="82" t="s">
        <v>11471</v>
      </c>
      <c r="D1167" s="499" t="s">
        <v>10046</v>
      </c>
      <c r="E1167" s="83">
        <f>(3+43)/3</f>
        <v>15.33333333</v>
      </c>
      <c r="F1167" s="92">
        <f t="shared" si="137"/>
        <v>30.66666667</v>
      </c>
      <c r="G1167" s="288" t="s">
        <v>852</v>
      </c>
    </row>
    <row r="1168" ht="15.0" customHeight="1">
      <c r="A1168" s="224" t="s">
        <v>852</v>
      </c>
      <c r="B1168" s="519" t="s">
        <v>94</v>
      </c>
      <c r="C1168" s="82" t="s">
        <v>11472</v>
      </c>
      <c r="D1168" s="499" t="s">
        <v>10046</v>
      </c>
      <c r="E1168" s="83">
        <f>22/3</f>
        <v>7.333333333</v>
      </c>
      <c r="F1168" s="92">
        <f>E1168*3</f>
        <v>22</v>
      </c>
      <c r="G1168" s="288" t="s">
        <v>852</v>
      </c>
    </row>
    <row r="1169" ht="15.0" customHeight="1">
      <c r="A1169" s="224" t="s">
        <v>861</v>
      </c>
      <c r="B1169" s="224" t="s">
        <v>94</v>
      </c>
      <c r="C1169" s="82" t="s">
        <v>11473</v>
      </c>
      <c r="D1169" s="83" t="s">
        <v>10046</v>
      </c>
      <c r="E1169" s="83">
        <v>4.66</v>
      </c>
      <c r="F1169" s="92">
        <v>4.66</v>
      </c>
      <c r="G1169" s="288" t="s">
        <v>861</v>
      </c>
    </row>
    <row r="1170" ht="15.0" customHeight="1">
      <c r="A1170" s="224" t="s">
        <v>861</v>
      </c>
      <c r="B1170" s="224" t="s">
        <v>94</v>
      </c>
      <c r="C1170" s="82" t="s">
        <v>11474</v>
      </c>
      <c r="D1170" s="83" t="s">
        <v>10046</v>
      </c>
      <c r="E1170" s="83">
        <v>4.66</v>
      </c>
      <c r="F1170" s="92">
        <v>4.66</v>
      </c>
      <c r="G1170" s="288" t="s">
        <v>861</v>
      </c>
    </row>
    <row r="1171" ht="15.0" customHeight="1">
      <c r="A1171" s="224" t="s">
        <v>861</v>
      </c>
      <c r="B1171" s="224" t="s">
        <v>94</v>
      </c>
      <c r="C1171" s="82" t="s">
        <v>11475</v>
      </c>
      <c r="D1171" s="83" t="s">
        <v>10046</v>
      </c>
      <c r="E1171" s="83">
        <v>4.66</v>
      </c>
      <c r="F1171" s="92">
        <v>4.66</v>
      </c>
      <c r="G1171" s="288" t="s">
        <v>861</v>
      </c>
    </row>
    <row r="1172" ht="15.0" customHeight="1">
      <c r="A1172" s="224" t="s">
        <v>861</v>
      </c>
      <c r="B1172" s="224" t="s">
        <v>94</v>
      </c>
      <c r="C1172" s="82" t="s">
        <v>11476</v>
      </c>
      <c r="D1172" s="83" t="s">
        <v>10046</v>
      </c>
      <c r="E1172" s="83">
        <v>3.66</v>
      </c>
      <c r="F1172" s="92">
        <v>3.66</v>
      </c>
      <c r="G1172" s="288" t="s">
        <v>861</v>
      </c>
    </row>
    <row r="1173" ht="15.0" customHeight="1">
      <c r="A1173" s="224" t="s">
        <v>861</v>
      </c>
      <c r="B1173" s="224" t="s">
        <v>94</v>
      </c>
      <c r="C1173" s="82" t="s">
        <v>11477</v>
      </c>
      <c r="D1173" s="83" t="s">
        <v>10072</v>
      </c>
      <c r="E1173" s="83">
        <v>4.5</v>
      </c>
      <c r="F1173" s="92">
        <v>4.5</v>
      </c>
      <c r="G1173" s="288" t="s">
        <v>861</v>
      </c>
    </row>
    <row r="1174" ht="15.0" customHeight="1">
      <c r="A1174" s="416" t="s">
        <v>861</v>
      </c>
      <c r="B1174" s="416" t="s">
        <v>94</v>
      </c>
      <c r="C1174" s="82" t="s">
        <v>11478</v>
      </c>
      <c r="D1174" s="83" t="s">
        <v>10072</v>
      </c>
      <c r="E1174" s="83">
        <v>2.16</v>
      </c>
      <c r="F1174" s="92">
        <v>2.16</v>
      </c>
      <c r="G1174" s="288" t="s">
        <v>861</v>
      </c>
    </row>
    <row r="1175" ht="15.0" customHeight="1">
      <c r="A1175" s="224" t="s">
        <v>861</v>
      </c>
      <c r="B1175" s="224" t="s">
        <v>94</v>
      </c>
      <c r="C1175" s="82" t="s">
        <v>11479</v>
      </c>
      <c r="D1175" s="83" t="s">
        <v>10072</v>
      </c>
      <c r="E1175" s="83">
        <v>4.33</v>
      </c>
      <c r="F1175" s="92">
        <v>4.33</v>
      </c>
      <c r="G1175" s="288" t="s">
        <v>861</v>
      </c>
    </row>
    <row r="1176" ht="15.0" customHeight="1">
      <c r="A1176" s="224" t="s">
        <v>861</v>
      </c>
      <c r="B1176" s="224" t="s">
        <v>94</v>
      </c>
      <c r="C1176" s="82" t="s">
        <v>11480</v>
      </c>
      <c r="D1176" s="83" t="s">
        <v>11481</v>
      </c>
      <c r="E1176" s="83">
        <v>4.66</v>
      </c>
      <c r="F1176" s="92">
        <v>4.66</v>
      </c>
      <c r="G1176" s="288" t="s">
        <v>861</v>
      </c>
    </row>
    <row r="1177" ht="15.0" customHeight="1">
      <c r="A1177" s="224" t="s">
        <v>870</v>
      </c>
      <c r="B1177" s="224" t="s">
        <v>182</v>
      </c>
      <c r="C1177" s="82" t="s">
        <v>11482</v>
      </c>
      <c r="D1177" s="83" t="s">
        <v>10046</v>
      </c>
      <c r="E1177" s="83">
        <f>30/3</f>
        <v>10</v>
      </c>
      <c r="F1177" s="92">
        <f t="shared" ref="F1177:F1184" si="138">E1177</f>
        <v>10</v>
      </c>
      <c r="G1177" s="288" t="s">
        <v>870</v>
      </c>
    </row>
    <row r="1178" ht="15.0" customHeight="1">
      <c r="A1178" s="224" t="s">
        <v>870</v>
      </c>
      <c r="B1178" s="224" t="s">
        <v>182</v>
      </c>
      <c r="C1178" s="100" t="s">
        <v>11483</v>
      </c>
      <c r="D1178" s="83" t="s">
        <v>10046</v>
      </c>
      <c r="E1178" s="83">
        <f>35/3</f>
        <v>11.66666667</v>
      </c>
      <c r="F1178" s="92">
        <f t="shared" si="138"/>
        <v>11.66666667</v>
      </c>
      <c r="G1178" s="288" t="s">
        <v>870</v>
      </c>
    </row>
    <row r="1179" ht="15.0" customHeight="1">
      <c r="A1179" s="224" t="s">
        <v>870</v>
      </c>
      <c r="B1179" s="224" t="s">
        <v>182</v>
      </c>
      <c r="C1179" s="100" t="s">
        <v>11484</v>
      </c>
      <c r="D1179" s="83" t="s">
        <v>11485</v>
      </c>
      <c r="E1179" s="83">
        <f t="shared" ref="E1179:E1180" si="139">35/3*0.5</f>
        <v>5.833333333</v>
      </c>
      <c r="F1179" s="92">
        <f t="shared" si="138"/>
        <v>5.833333333</v>
      </c>
      <c r="G1179" s="288" t="s">
        <v>870</v>
      </c>
    </row>
    <row r="1180" ht="15.0" customHeight="1">
      <c r="A1180" s="224" t="s">
        <v>870</v>
      </c>
      <c r="B1180" s="224" t="s">
        <v>182</v>
      </c>
      <c r="C1180" s="100" t="s">
        <v>11484</v>
      </c>
      <c r="D1180" s="83" t="s">
        <v>11485</v>
      </c>
      <c r="E1180" s="83">
        <f t="shared" si="139"/>
        <v>5.833333333</v>
      </c>
      <c r="F1180" s="92">
        <f t="shared" si="138"/>
        <v>5.833333333</v>
      </c>
      <c r="G1180" s="288" t="s">
        <v>870</v>
      </c>
    </row>
    <row r="1181" ht="15.0" customHeight="1">
      <c r="A1181" s="224" t="s">
        <v>870</v>
      </c>
      <c r="B1181" s="224" t="s">
        <v>182</v>
      </c>
      <c r="C1181" s="82" t="s">
        <v>11486</v>
      </c>
      <c r="D1181" s="83" t="s">
        <v>11485</v>
      </c>
      <c r="E1181" s="83">
        <f>(11/3)*0.5</f>
        <v>1.833333333</v>
      </c>
      <c r="F1181" s="92">
        <f t="shared" si="138"/>
        <v>1.833333333</v>
      </c>
      <c r="G1181" s="288" t="s">
        <v>870</v>
      </c>
    </row>
    <row r="1182" ht="15.0" customHeight="1">
      <c r="A1182" s="224" t="s">
        <v>870</v>
      </c>
      <c r="B1182" s="224" t="s">
        <v>182</v>
      </c>
      <c r="C1182" s="82" t="s">
        <v>11487</v>
      </c>
      <c r="D1182" s="83" t="s">
        <v>11485</v>
      </c>
      <c r="E1182" s="83">
        <f>27/3*0.5</f>
        <v>4.5</v>
      </c>
      <c r="F1182" s="92">
        <f t="shared" si="138"/>
        <v>4.5</v>
      </c>
      <c r="G1182" s="288" t="s">
        <v>870</v>
      </c>
    </row>
    <row r="1183" ht="15.0" customHeight="1">
      <c r="A1183" s="224" t="s">
        <v>870</v>
      </c>
      <c r="B1183" s="224" t="s">
        <v>182</v>
      </c>
      <c r="C1183" s="82" t="s">
        <v>11488</v>
      </c>
      <c r="D1183" s="83" t="s">
        <v>11485</v>
      </c>
      <c r="E1183" s="83">
        <f>41/3*0.5</f>
        <v>6.833333333</v>
      </c>
      <c r="F1183" s="92">
        <f t="shared" si="138"/>
        <v>6.833333333</v>
      </c>
      <c r="G1183" s="288" t="s">
        <v>870</v>
      </c>
    </row>
    <row r="1184" ht="15.0" customHeight="1">
      <c r="A1184" s="224" t="s">
        <v>870</v>
      </c>
      <c r="B1184" s="224" t="s">
        <v>182</v>
      </c>
      <c r="C1184" s="82" t="s">
        <v>11489</v>
      </c>
      <c r="D1184" s="83" t="s">
        <v>10046</v>
      </c>
      <c r="E1184" s="83">
        <f>24*0.8*3</f>
        <v>57.6</v>
      </c>
      <c r="F1184" s="92">
        <f t="shared" si="138"/>
        <v>57.6</v>
      </c>
      <c r="G1184" s="288" t="s">
        <v>870</v>
      </c>
    </row>
    <row r="1185" ht="15.0" customHeight="1">
      <c r="A1185" s="224" t="s">
        <v>870</v>
      </c>
      <c r="B1185" s="224" t="s">
        <v>182</v>
      </c>
      <c r="C1185" s="82" t="s">
        <v>11490</v>
      </c>
      <c r="D1185" s="83" t="s">
        <v>10046</v>
      </c>
      <c r="E1185" s="156">
        <f>(135)/3*2</f>
        <v>90</v>
      </c>
      <c r="F1185" s="151">
        <v>60.0</v>
      </c>
      <c r="G1185" s="288" t="s">
        <v>870</v>
      </c>
    </row>
    <row r="1186" ht="15.0" customHeight="1">
      <c r="A1186" s="224" t="s">
        <v>870</v>
      </c>
      <c r="B1186" s="224" t="s">
        <v>182</v>
      </c>
      <c r="C1186" s="82" t="s">
        <v>11491</v>
      </c>
      <c r="D1186" s="83" t="s">
        <v>10046</v>
      </c>
      <c r="E1186" s="156">
        <f>86/3*2</f>
        <v>57.33333333</v>
      </c>
      <c r="F1186" s="151">
        <v>38.0</v>
      </c>
      <c r="G1186" s="288" t="s">
        <v>870</v>
      </c>
    </row>
    <row r="1187" ht="15.0" customHeight="1">
      <c r="A1187" s="224" t="s">
        <v>870</v>
      </c>
      <c r="B1187" s="224" t="s">
        <v>182</v>
      </c>
      <c r="C1187" s="82" t="s">
        <v>11492</v>
      </c>
      <c r="D1187" s="83" t="s">
        <v>10046</v>
      </c>
      <c r="E1187" s="83">
        <f>30/3*0.25</f>
        <v>2.5</v>
      </c>
      <c r="F1187" s="92">
        <f t="shared" ref="F1187:F1195" si="140">E1187</f>
        <v>2.5</v>
      </c>
      <c r="G1187" s="288" t="s">
        <v>870</v>
      </c>
    </row>
    <row r="1188" ht="15.0" customHeight="1">
      <c r="A1188" s="224" t="s">
        <v>870</v>
      </c>
      <c r="B1188" s="224" t="s">
        <v>182</v>
      </c>
      <c r="C1188" s="82" t="s">
        <v>11493</v>
      </c>
      <c r="D1188" s="83" t="s">
        <v>10046</v>
      </c>
      <c r="E1188" s="83">
        <f>35/3*0.25</f>
        <v>2.916666667</v>
      </c>
      <c r="F1188" s="92">
        <f t="shared" si="140"/>
        <v>2.916666667</v>
      </c>
      <c r="G1188" s="288" t="s">
        <v>870</v>
      </c>
    </row>
    <row r="1189" ht="15.0" customHeight="1">
      <c r="A1189" s="224" t="s">
        <v>870</v>
      </c>
      <c r="B1189" s="224" t="s">
        <v>182</v>
      </c>
      <c r="C1189" s="82" t="s">
        <v>11493</v>
      </c>
      <c r="D1189" s="83" t="s">
        <v>11485</v>
      </c>
      <c r="E1189" s="83">
        <f t="shared" ref="E1189:E1190" si="141">35/3*0.5*0.25</f>
        <v>1.458333333</v>
      </c>
      <c r="F1189" s="92">
        <f t="shared" si="140"/>
        <v>1.458333333</v>
      </c>
      <c r="G1189" s="288" t="s">
        <v>870</v>
      </c>
    </row>
    <row r="1190" ht="15.0" customHeight="1">
      <c r="A1190" s="224" t="s">
        <v>870</v>
      </c>
      <c r="B1190" s="224" t="s">
        <v>182</v>
      </c>
      <c r="C1190" s="82" t="s">
        <v>11493</v>
      </c>
      <c r="D1190" s="83" t="s">
        <v>11485</v>
      </c>
      <c r="E1190" s="83">
        <f t="shared" si="141"/>
        <v>1.458333333</v>
      </c>
      <c r="F1190" s="92">
        <f t="shared" si="140"/>
        <v>1.458333333</v>
      </c>
      <c r="G1190" s="288" t="s">
        <v>870</v>
      </c>
    </row>
    <row r="1191" ht="15.0" customHeight="1">
      <c r="A1191" s="224" t="s">
        <v>870</v>
      </c>
      <c r="B1191" s="224" t="s">
        <v>182</v>
      </c>
      <c r="C1191" s="82" t="s">
        <v>11494</v>
      </c>
      <c r="D1191" s="83" t="s">
        <v>11485</v>
      </c>
      <c r="E1191" s="83">
        <f>11/3*0.5*0.25</f>
        <v>0.4583333333</v>
      </c>
      <c r="F1191" s="92">
        <f t="shared" si="140"/>
        <v>0.4583333333</v>
      </c>
      <c r="G1191" s="288" t="s">
        <v>870</v>
      </c>
    </row>
    <row r="1192" ht="15.0" customHeight="1">
      <c r="A1192" s="224" t="s">
        <v>870</v>
      </c>
      <c r="B1192" s="224" t="s">
        <v>182</v>
      </c>
      <c r="C1192" s="82" t="s">
        <v>11495</v>
      </c>
      <c r="D1192" s="83" t="s">
        <v>11485</v>
      </c>
      <c r="E1192" s="83">
        <f>27/3*0.5*0.25</f>
        <v>1.125</v>
      </c>
      <c r="F1192" s="92">
        <f t="shared" si="140"/>
        <v>1.125</v>
      </c>
      <c r="G1192" s="288" t="s">
        <v>870</v>
      </c>
    </row>
    <row r="1193" ht="15.0" customHeight="1">
      <c r="A1193" s="224" t="s">
        <v>870</v>
      </c>
      <c r="B1193" s="224" t="s">
        <v>182</v>
      </c>
      <c r="C1193" s="82" t="s">
        <v>11496</v>
      </c>
      <c r="D1193" s="83" t="s">
        <v>11485</v>
      </c>
      <c r="E1193" s="83">
        <f>41/3*0.5*0.25</f>
        <v>1.708333333</v>
      </c>
      <c r="F1193" s="92">
        <f t="shared" si="140"/>
        <v>1.708333333</v>
      </c>
      <c r="G1193" s="288" t="s">
        <v>870</v>
      </c>
    </row>
    <row r="1194" ht="15.0" customHeight="1">
      <c r="A1194" s="224" t="s">
        <v>870</v>
      </c>
      <c r="B1194" s="224" t="s">
        <v>182</v>
      </c>
      <c r="C1194" s="82" t="s">
        <v>11497</v>
      </c>
      <c r="D1194" s="83" t="s">
        <v>10046</v>
      </c>
      <c r="E1194" s="83">
        <f t="shared" ref="E1194:E1195" si="142">30/3</f>
        <v>10</v>
      </c>
      <c r="F1194" s="92">
        <f t="shared" si="140"/>
        <v>10</v>
      </c>
      <c r="G1194" s="288" t="s">
        <v>870</v>
      </c>
    </row>
    <row r="1195" ht="15.0" customHeight="1">
      <c r="A1195" s="224" t="s">
        <v>870</v>
      </c>
      <c r="B1195" s="224" t="s">
        <v>182</v>
      </c>
      <c r="C1195" s="82" t="s">
        <v>11497</v>
      </c>
      <c r="D1195" s="83" t="s">
        <v>10046</v>
      </c>
      <c r="E1195" s="83">
        <f t="shared" si="142"/>
        <v>10</v>
      </c>
      <c r="F1195" s="92">
        <f t="shared" si="140"/>
        <v>10</v>
      </c>
      <c r="G1195" s="288" t="s">
        <v>870</v>
      </c>
    </row>
    <row r="1196" ht="15.0" customHeight="1">
      <c r="A1196" s="224" t="s">
        <v>880</v>
      </c>
      <c r="B1196" s="224" t="s">
        <v>94</v>
      </c>
      <c r="C1196" s="82" t="s">
        <v>11498</v>
      </c>
      <c r="D1196" s="83" t="s">
        <v>10305</v>
      </c>
      <c r="E1196" s="83" t="s">
        <v>11499</v>
      </c>
      <c r="F1196" s="92">
        <v>13.66</v>
      </c>
      <c r="G1196" s="288" t="s">
        <v>880</v>
      </c>
    </row>
    <row r="1197" ht="15.0" customHeight="1">
      <c r="A1197" s="224" t="s">
        <v>880</v>
      </c>
      <c r="B1197" s="224" t="s">
        <v>94</v>
      </c>
      <c r="C1197" s="82" t="s">
        <v>11500</v>
      </c>
      <c r="D1197" s="83" t="s">
        <v>10305</v>
      </c>
      <c r="E1197" s="83" t="s">
        <v>11499</v>
      </c>
      <c r="F1197" s="92">
        <v>13.66</v>
      </c>
      <c r="G1197" s="288" t="s">
        <v>880</v>
      </c>
    </row>
    <row r="1198" ht="15.0" customHeight="1">
      <c r="A1198" s="224" t="s">
        <v>880</v>
      </c>
      <c r="B1198" s="224" t="s">
        <v>94</v>
      </c>
      <c r="C1198" s="82" t="s">
        <v>11501</v>
      </c>
      <c r="D1198" s="83" t="s">
        <v>10305</v>
      </c>
      <c r="E1198" s="83" t="s">
        <v>11502</v>
      </c>
      <c r="F1198" s="92">
        <v>5.0</v>
      </c>
      <c r="G1198" s="288" t="s">
        <v>880</v>
      </c>
    </row>
    <row r="1199" ht="15.0" customHeight="1">
      <c r="A1199" s="224" t="s">
        <v>880</v>
      </c>
      <c r="B1199" s="224" t="s">
        <v>94</v>
      </c>
      <c r="C1199" s="82" t="s">
        <v>11503</v>
      </c>
      <c r="D1199" s="83" t="s">
        <v>10305</v>
      </c>
      <c r="E1199" s="83" t="s">
        <v>11502</v>
      </c>
      <c r="F1199" s="92">
        <v>5.0</v>
      </c>
      <c r="G1199" s="288" t="s">
        <v>880</v>
      </c>
    </row>
    <row r="1200" ht="15.0" customHeight="1">
      <c r="A1200" s="224" t="s">
        <v>880</v>
      </c>
      <c r="B1200" s="224" t="s">
        <v>94</v>
      </c>
      <c r="C1200" s="82" t="s">
        <v>11504</v>
      </c>
      <c r="D1200" s="83" t="s">
        <v>10305</v>
      </c>
      <c r="E1200" s="83" t="s">
        <v>11505</v>
      </c>
      <c r="F1200" s="92">
        <v>7.33</v>
      </c>
      <c r="G1200" s="288" t="s">
        <v>880</v>
      </c>
    </row>
    <row r="1201" ht="15.0" customHeight="1">
      <c r="A1201" s="224" t="s">
        <v>880</v>
      </c>
      <c r="B1201" s="224" t="s">
        <v>94</v>
      </c>
      <c r="C1201" s="82" t="s">
        <v>11506</v>
      </c>
      <c r="D1201" s="83" t="s">
        <v>10305</v>
      </c>
      <c r="E1201" s="83" t="s">
        <v>11507</v>
      </c>
      <c r="F1201" s="92">
        <v>7.66</v>
      </c>
      <c r="G1201" s="288" t="s">
        <v>880</v>
      </c>
    </row>
    <row r="1202" ht="15.0" customHeight="1">
      <c r="A1202" s="224" t="s">
        <v>880</v>
      </c>
      <c r="B1202" s="224" t="s">
        <v>94</v>
      </c>
      <c r="C1202" s="82" t="s">
        <v>11508</v>
      </c>
      <c r="D1202" s="83" t="s">
        <v>10305</v>
      </c>
      <c r="E1202" s="83" t="s">
        <v>11509</v>
      </c>
      <c r="F1202" s="92">
        <v>6.0</v>
      </c>
      <c r="G1202" s="288" t="s">
        <v>880</v>
      </c>
    </row>
    <row r="1203" ht="15.0" customHeight="1">
      <c r="A1203" s="224" t="s">
        <v>880</v>
      </c>
      <c r="B1203" s="224" t="s">
        <v>94</v>
      </c>
      <c r="C1203" s="82" t="s">
        <v>11510</v>
      </c>
      <c r="D1203" s="83" t="s">
        <v>10305</v>
      </c>
      <c r="E1203" s="83" t="s">
        <v>11507</v>
      </c>
      <c r="F1203" s="92">
        <v>7.66</v>
      </c>
      <c r="G1203" s="288" t="s">
        <v>880</v>
      </c>
    </row>
    <row r="1204" ht="15.0" customHeight="1">
      <c r="A1204" s="224" t="s">
        <v>880</v>
      </c>
      <c r="B1204" s="224" t="s">
        <v>94</v>
      </c>
      <c r="C1204" s="82" t="s">
        <v>11511</v>
      </c>
      <c r="D1204" s="83" t="s">
        <v>10305</v>
      </c>
      <c r="E1204" s="83" t="s">
        <v>11507</v>
      </c>
      <c r="F1204" s="92">
        <v>7.66</v>
      </c>
      <c r="G1204" s="288" t="s">
        <v>880</v>
      </c>
    </row>
    <row r="1205" ht="15.0" customHeight="1">
      <c r="A1205" s="224" t="s">
        <v>880</v>
      </c>
      <c r="B1205" s="224" t="s">
        <v>94</v>
      </c>
      <c r="C1205" s="82" t="s">
        <v>11512</v>
      </c>
      <c r="D1205" s="83" t="s">
        <v>10305</v>
      </c>
      <c r="E1205" s="83" t="s">
        <v>11513</v>
      </c>
      <c r="F1205" s="92">
        <v>8.33</v>
      </c>
      <c r="G1205" s="288" t="s">
        <v>880</v>
      </c>
    </row>
    <row r="1206" ht="15.0" customHeight="1">
      <c r="A1206" s="224" t="s">
        <v>880</v>
      </c>
      <c r="B1206" s="224" t="s">
        <v>94</v>
      </c>
      <c r="C1206" s="82" t="s">
        <v>11514</v>
      </c>
      <c r="D1206" s="83" t="s">
        <v>10305</v>
      </c>
      <c r="E1206" s="83" t="s">
        <v>11507</v>
      </c>
      <c r="F1206" s="92">
        <v>7.66</v>
      </c>
      <c r="G1206" s="288" t="s">
        <v>880</v>
      </c>
    </row>
    <row r="1207" ht="15.0" customHeight="1">
      <c r="A1207" s="224" t="s">
        <v>880</v>
      </c>
      <c r="B1207" s="224" t="s">
        <v>94</v>
      </c>
      <c r="C1207" s="82" t="s">
        <v>11515</v>
      </c>
      <c r="D1207" s="83" t="s">
        <v>10305</v>
      </c>
      <c r="E1207" s="83" t="s">
        <v>11516</v>
      </c>
      <c r="F1207" s="92">
        <v>6.33</v>
      </c>
      <c r="G1207" s="288" t="s">
        <v>880</v>
      </c>
    </row>
    <row r="1208" ht="15.0" customHeight="1">
      <c r="A1208" s="224" t="s">
        <v>880</v>
      </c>
      <c r="B1208" s="224" t="s">
        <v>94</v>
      </c>
      <c r="C1208" s="82" t="s">
        <v>11517</v>
      </c>
      <c r="D1208" s="83" t="s">
        <v>10305</v>
      </c>
      <c r="E1208" s="83" t="s">
        <v>11499</v>
      </c>
      <c r="F1208" s="92">
        <v>13.66</v>
      </c>
      <c r="G1208" s="288" t="s">
        <v>880</v>
      </c>
    </row>
    <row r="1209" ht="15.0" customHeight="1">
      <c r="A1209" s="224" t="s">
        <v>880</v>
      </c>
      <c r="B1209" s="224" t="s">
        <v>94</v>
      </c>
      <c r="C1209" s="82" t="s">
        <v>11518</v>
      </c>
      <c r="D1209" s="83" t="s">
        <v>10305</v>
      </c>
      <c r="E1209" s="83" t="s">
        <v>11502</v>
      </c>
      <c r="F1209" s="92">
        <v>5.0</v>
      </c>
      <c r="G1209" s="288" t="s">
        <v>880</v>
      </c>
    </row>
    <row r="1210" ht="15.0" customHeight="1">
      <c r="A1210" s="224" t="s">
        <v>880</v>
      </c>
      <c r="B1210" s="224" t="s">
        <v>94</v>
      </c>
      <c r="C1210" s="82" t="s">
        <v>11519</v>
      </c>
      <c r="D1210" s="83" t="s">
        <v>10305</v>
      </c>
      <c r="E1210" s="83" t="s">
        <v>11505</v>
      </c>
      <c r="F1210" s="92">
        <v>7.33</v>
      </c>
      <c r="G1210" s="288" t="s">
        <v>880</v>
      </c>
    </row>
    <row r="1211" ht="15.0" customHeight="1">
      <c r="A1211" s="224" t="s">
        <v>880</v>
      </c>
      <c r="B1211" s="224" t="s">
        <v>94</v>
      </c>
      <c r="C1211" s="82" t="s">
        <v>11520</v>
      </c>
      <c r="D1211" s="83" t="s">
        <v>10305</v>
      </c>
      <c r="E1211" s="83" t="s">
        <v>11507</v>
      </c>
      <c r="F1211" s="92">
        <v>7.66</v>
      </c>
      <c r="G1211" s="288" t="s">
        <v>880</v>
      </c>
    </row>
    <row r="1212" ht="15.0" customHeight="1">
      <c r="A1212" s="224" t="s">
        <v>880</v>
      </c>
      <c r="B1212" s="224" t="s">
        <v>94</v>
      </c>
      <c r="C1212" s="82" t="s">
        <v>11521</v>
      </c>
      <c r="D1212" s="83" t="s">
        <v>10305</v>
      </c>
      <c r="E1212" s="83" t="s">
        <v>11509</v>
      </c>
      <c r="F1212" s="92">
        <v>6.0</v>
      </c>
      <c r="G1212" s="288" t="s">
        <v>880</v>
      </c>
    </row>
    <row r="1213" ht="15.0" customHeight="1">
      <c r="A1213" s="224" t="s">
        <v>880</v>
      </c>
      <c r="B1213" s="224" t="s">
        <v>94</v>
      </c>
      <c r="C1213" s="82" t="s">
        <v>11522</v>
      </c>
      <c r="D1213" s="83" t="s">
        <v>10305</v>
      </c>
      <c r="E1213" s="83" t="s">
        <v>11507</v>
      </c>
      <c r="F1213" s="92">
        <v>7.66</v>
      </c>
      <c r="G1213" s="288" t="s">
        <v>880</v>
      </c>
    </row>
    <row r="1214" ht="15.0" customHeight="1">
      <c r="A1214" s="224" t="s">
        <v>880</v>
      </c>
      <c r="B1214" s="224" t="s">
        <v>94</v>
      </c>
      <c r="C1214" s="82" t="s">
        <v>11523</v>
      </c>
      <c r="D1214" s="83" t="s">
        <v>10305</v>
      </c>
      <c r="E1214" s="83" t="s">
        <v>11513</v>
      </c>
      <c r="F1214" s="92">
        <v>8.33</v>
      </c>
      <c r="G1214" s="288" t="s">
        <v>880</v>
      </c>
    </row>
    <row r="1215" ht="15.0" customHeight="1">
      <c r="A1215" s="224" t="s">
        <v>880</v>
      </c>
      <c r="B1215" s="224" t="s">
        <v>94</v>
      </c>
      <c r="C1215" s="82" t="s">
        <v>11524</v>
      </c>
      <c r="D1215" s="83" t="s">
        <v>10305</v>
      </c>
      <c r="E1215" s="83" t="s">
        <v>11507</v>
      </c>
      <c r="F1215" s="92">
        <v>7.66</v>
      </c>
      <c r="G1215" s="288" t="s">
        <v>880</v>
      </c>
    </row>
    <row r="1216" ht="15.0" customHeight="1">
      <c r="A1216" s="224" t="s">
        <v>880</v>
      </c>
      <c r="B1216" s="224" t="s">
        <v>94</v>
      </c>
      <c r="C1216" s="82" t="s">
        <v>11525</v>
      </c>
      <c r="D1216" s="83" t="s">
        <v>10305</v>
      </c>
      <c r="E1216" s="83" t="s">
        <v>11516</v>
      </c>
      <c r="F1216" s="92">
        <v>6.33</v>
      </c>
      <c r="G1216" s="288" t="s">
        <v>880</v>
      </c>
    </row>
    <row r="1217" ht="15.0" customHeight="1">
      <c r="A1217" s="224" t="s">
        <v>8069</v>
      </c>
      <c r="B1217" s="224" t="s">
        <v>94</v>
      </c>
      <c r="C1217" s="473" t="s">
        <v>11526</v>
      </c>
      <c r="D1217" s="533" t="s">
        <v>10046</v>
      </c>
      <c r="E1217" s="465">
        <v>13.0</v>
      </c>
      <c r="F1217" s="465">
        <f t="shared" ref="F1217:F1223" si="143">E1217</f>
        <v>13</v>
      </c>
      <c r="G1217" s="288" t="s">
        <v>907</v>
      </c>
    </row>
    <row r="1218" ht="15.0" customHeight="1">
      <c r="A1218" s="224" t="s">
        <v>8069</v>
      </c>
      <c r="B1218" s="224" t="s">
        <v>94</v>
      </c>
      <c r="C1218" s="473" t="s">
        <v>11527</v>
      </c>
      <c r="D1218" s="533" t="s">
        <v>10046</v>
      </c>
      <c r="E1218" s="465">
        <v>5.0</v>
      </c>
      <c r="F1218" s="465">
        <f t="shared" si="143"/>
        <v>5</v>
      </c>
      <c r="G1218" s="288" t="s">
        <v>907</v>
      </c>
    </row>
    <row r="1219" ht="15.0" customHeight="1">
      <c r="A1219" s="224" t="s">
        <v>8069</v>
      </c>
      <c r="B1219" s="224" t="s">
        <v>94</v>
      </c>
      <c r="C1219" s="473" t="s">
        <v>11528</v>
      </c>
      <c r="D1219" s="533" t="s">
        <v>10046</v>
      </c>
      <c r="E1219" s="465">
        <v>3.33</v>
      </c>
      <c r="F1219" s="465">
        <f t="shared" si="143"/>
        <v>3.33</v>
      </c>
      <c r="G1219" s="288" t="s">
        <v>907</v>
      </c>
    </row>
    <row r="1220" ht="15.0" customHeight="1">
      <c r="A1220" s="224" t="s">
        <v>8069</v>
      </c>
      <c r="B1220" s="224" t="s">
        <v>94</v>
      </c>
      <c r="C1220" s="473" t="s">
        <v>11529</v>
      </c>
      <c r="D1220" s="533" t="s">
        <v>10046</v>
      </c>
      <c r="E1220" s="465">
        <v>8.0</v>
      </c>
      <c r="F1220" s="465">
        <f t="shared" si="143"/>
        <v>8</v>
      </c>
      <c r="G1220" s="288" t="s">
        <v>907</v>
      </c>
    </row>
    <row r="1221" ht="15.0" customHeight="1">
      <c r="A1221" s="224" t="s">
        <v>8069</v>
      </c>
      <c r="B1221" s="224" t="s">
        <v>94</v>
      </c>
      <c r="C1221" s="473" t="s">
        <v>11530</v>
      </c>
      <c r="D1221" s="533" t="s">
        <v>10046</v>
      </c>
      <c r="E1221" s="465">
        <v>10.66</v>
      </c>
      <c r="F1221" s="465">
        <f t="shared" si="143"/>
        <v>10.66</v>
      </c>
      <c r="G1221" s="288" t="s">
        <v>907</v>
      </c>
    </row>
    <row r="1222" ht="15.0" customHeight="1">
      <c r="A1222" s="224" t="s">
        <v>8069</v>
      </c>
      <c r="B1222" s="224" t="s">
        <v>94</v>
      </c>
      <c r="C1222" s="473" t="s">
        <v>11531</v>
      </c>
      <c r="D1222" s="533" t="s">
        <v>10046</v>
      </c>
      <c r="E1222" s="465">
        <v>7.0</v>
      </c>
      <c r="F1222" s="465">
        <f t="shared" si="143"/>
        <v>7</v>
      </c>
      <c r="G1222" s="288" t="s">
        <v>907</v>
      </c>
    </row>
    <row r="1223" ht="15.0" customHeight="1">
      <c r="A1223" s="224" t="s">
        <v>8069</v>
      </c>
      <c r="B1223" s="224" t="s">
        <v>94</v>
      </c>
      <c r="C1223" s="473" t="s">
        <v>11532</v>
      </c>
      <c r="D1223" s="533" t="s">
        <v>10046</v>
      </c>
      <c r="E1223" s="465">
        <v>6.66</v>
      </c>
      <c r="F1223" s="465">
        <f t="shared" si="143"/>
        <v>6.66</v>
      </c>
      <c r="G1223" s="288" t="s">
        <v>907</v>
      </c>
    </row>
    <row r="1224" ht="15.0" customHeight="1">
      <c r="A1224" s="534" t="s">
        <v>11533</v>
      </c>
      <c r="B1224" s="534" t="s">
        <v>94</v>
      </c>
      <c r="C1224" s="288" t="s">
        <v>11534</v>
      </c>
      <c r="D1224" s="83" t="s">
        <v>10305</v>
      </c>
      <c r="E1224" s="83" t="s">
        <v>11535</v>
      </c>
      <c r="F1224" s="92">
        <f>18/0.33</f>
        <v>54.54545455</v>
      </c>
      <c r="G1224" s="288" t="s">
        <v>8094</v>
      </c>
    </row>
    <row r="1225" ht="15.0" customHeight="1">
      <c r="A1225" s="534" t="s">
        <v>11533</v>
      </c>
      <c r="B1225" s="534" t="s">
        <v>182</v>
      </c>
      <c r="C1225" s="288" t="s">
        <v>11536</v>
      </c>
      <c r="D1225" s="83" t="s">
        <v>10305</v>
      </c>
      <c r="E1225" s="83" t="s">
        <v>11535</v>
      </c>
      <c r="F1225" s="92">
        <f>18*0.33</f>
        <v>5.94</v>
      </c>
      <c r="G1225" s="288" t="s">
        <v>8094</v>
      </c>
    </row>
    <row r="1226" ht="15.0" customHeight="1">
      <c r="A1226" s="534" t="s">
        <v>11533</v>
      </c>
      <c r="B1226" s="534" t="s">
        <v>94</v>
      </c>
      <c r="C1226" s="288" t="s">
        <v>11537</v>
      </c>
      <c r="D1226" s="83" t="s">
        <v>10305</v>
      </c>
      <c r="E1226" s="83" t="s">
        <v>11538</v>
      </c>
      <c r="F1226" s="92">
        <f>18*0.33*0.25</f>
        <v>1.485</v>
      </c>
      <c r="G1226" s="288" t="s">
        <v>8094</v>
      </c>
    </row>
    <row r="1227" ht="15.0" customHeight="1">
      <c r="A1227" s="534" t="s">
        <v>11533</v>
      </c>
      <c r="B1227" s="534" t="s">
        <v>94</v>
      </c>
      <c r="C1227" s="288" t="s">
        <v>11539</v>
      </c>
      <c r="D1227" s="83" t="s">
        <v>10305</v>
      </c>
      <c r="E1227" s="83" t="s">
        <v>11540</v>
      </c>
      <c r="F1227" s="92">
        <f>18*0.33*0.1</f>
        <v>0.594</v>
      </c>
      <c r="G1227" s="288" t="s">
        <v>8094</v>
      </c>
    </row>
    <row r="1228" ht="15.0" customHeight="1">
      <c r="A1228" s="534" t="s">
        <v>11533</v>
      </c>
      <c r="B1228" s="534" t="s">
        <v>94</v>
      </c>
      <c r="C1228" s="288" t="s">
        <v>11541</v>
      </c>
      <c r="D1228" s="83" t="s">
        <v>10305</v>
      </c>
      <c r="E1228" s="83" t="s">
        <v>11535</v>
      </c>
      <c r="F1228" s="92">
        <f>18*0.33</f>
        <v>5.94</v>
      </c>
      <c r="G1228" s="288" t="s">
        <v>8094</v>
      </c>
    </row>
    <row r="1229" ht="15.0" customHeight="1">
      <c r="A1229" s="534" t="s">
        <v>11533</v>
      </c>
      <c r="B1229" s="534" t="s">
        <v>94</v>
      </c>
      <c r="C1229" s="288" t="s">
        <v>11542</v>
      </c>
      <c r="D1229" s="83" t="s">
        <v>10305</v>
      </c>
      <c r="E1229" s="83" t="s">
        <v>11543</v>
      </c>
      <c r="F1229" s="92">
        <f t="shared" ref="F1229:F1230" si="144">30*0.33</f>
        <v>9.9</v>
      </c>
      <c r="G1229" s="288" t="s">
        <v>8094</v>
      </c>
    </row>
    <row r="1230" ht="15.0" customHeight="1">
      <c r="A1230" s="534" t="s">
        <v>11533</v>
      </c>
      <c r="B1230" s="534" t="s">
        <v>94</v>
      </c>
      <c r="C1230" s="288" t="s">
        <v>11544</v>
      </c>
      <c r="D1230" s="83" t="s">
        <v>10305</v>
      </c>
      <c r="E1230" s="83" t="s">
        <v>11543</v>
      </c>
      <c r="F1230" s="92">
        <f t="shared" si="144"/>
        <v>9.9</v>
      </c>
      <c r="G1230" s="288" t="s">
        <v>8094</v>
      </c>
    </row>
    <row r="1231" ht="15.0" customHeight="1">
      <c r="A1231" s="534" t="s">
        <v>11533</v>
      </c>
      <c r="B1231" s="534" t="s">
        <v>94</v>
      </c>
      <c r="C1231" s="288" t="s">
        <v>11545</v>
      </c>
      <c r="D1231" s="83" t="s">
        <v>10305</v>
      </c>
      <c r="E1231" s="83" t="s">
        <v>11546</v>
      </c>
      <c r="F1231" s="92">
        <f>30*0.33*0.25</f>
        <v>2.475</v>
      </c>
      <c r="G1231" s="288" t="s">
        <v>8094</v>
      </c>
    </row>
    <row r="1232" ht="15.0" customHeight="1">
      <c r="A1232" s="534" t="s">
        <v>11533</v>
      </c>
      <c r="B1232" s="534" t="s">
        <v>94</v>
      </c>
      <c r="C1232" s="288" t="s">
        <v>11547</v>
      </c>
      <c r="D1232" s="83" t="s">
        <v>10305</v>
      </c>
      <c r="E1232" s="83" t="s">
        <v>11548</v>
      </c>
      <c r="F1232" s="92">
        <f>30*0.33*0.1</f>
        <v>0.99</v>
      </c>
      <c r="G1232" s="288" t="s">
        <v>8094</v>
      </c>
    </row>
    <row r="1233" ht="15.0" customHeight="1">
      <c r="A1233" s="534" t="s">
        <v>11533</v>
      </c>
      <c r="B1233" s="534" t="s">
        <v>94</v>
      </c>
      <c r="C1233" s="288" t="s">
        <v>11549</v>
      </c>
      <c r="D1233" s="83" t="s">
        <v>10305</v>
      </c>
      <c r="E1233" s="83" t="s">
        <v>11550</v>
      </c>
      <c r="F1233" s="92">
        <f t="shared" ref="F1233:F1234" si="145">15*0.33</f>
        <v>4.95</v>
      </c>
      <c r="G1233" s="288" t="s">
        <v>8094</v>
      </c>
    </row>
    <row r="1234" ht="15.0" customHeight="1">
      <c r="A1234" s="534" t="s">
        <v>11533</v>
      </c>
      <c r="B1234" s="534" t="s">
        <v>94</v>
      </c>
      <c r="C1234" s="288" t="s">
        <v>11551</v>
      </c>
      <c r="D1234" s="83" t="s">
        <v>10305</v>
      </c>
      <c r="E1234" s="83" t="s">
        <v>11550</v>
      </c>
      <c r="F1234" s="92">
        <f t="shared" si="145"/>
        <v>4.95</v>
      </c>
      <c r="G1234" s="288" t="s">
        <v>8094</v>
      </c>
    </row>
    <row r="1235" ht="15.0" customHeight="1">
      <c r="A1235" s="534" t="s">
        <v>11533</v>
      </c>
      <c r="B1235" s="534" t="s">
        <v>94</v>
      </c>
      <c r="C1235" s="288" t="s">
        <v>11552</v>
      </c>
      <c r="D1235" s="83" t="s">
        <v>10305</v>
      </c>
      <c r="E1235" s="83" t="s">
        <v>11553</v>
      </c>
      <c r="F1235" s="92">
        <f>15*0.33*0.25</f>
        <v>1.2375</v>
      </c>
      <c r="G1235" s="288" t="s">
        <v>8094</v>
      </c>
    </row>
    <row r="1236" ht="15.0" customHeight="1">
      <c r="A1236" s="534" t="s">
        <v>11533</v>
      </c>
      <c r="B1236" s="534" t="s">
        <v>94</v>
      </c>
      <c r="C1236" s="288" t="s">
        <v>11554</v>
      </c>
      <c r="D1236" s="83" t="s">
        <v>10305</v>
      </c>
      <c r="E1236" s="83" t="s">
        <v>11555</v>
      </c>
      <c r="F1236" s="535">
        <f>15*0.33*0.1</f>
        <v>0.495</v>
      </c>
      <c r="G1236" s="288" t="s">
        <v>8094</v>
      </c>
    </row>
    <row r="1237" ht="15.0" customHeight="1">
      <c r="A1237" s="534" t="s">
        <v>11533</v>
      </c>
      <c r="B1237" s="534" t="s">
        <v>94</v>
      </c>
      <c r="C1237" s="288" t="s">
        <v>11556</v>
      </c>
      <c r="D1237" s="83" t="s">
        <v>10305</v>
      </c>
      <c r="E1237" s="83" t="s">
        <v>11535</v>
      </c>
      <c r="F1237" s="92">
        <f t="shared" ref="F1237:F1238" si="146">18*0.33</f>
        <v>5.94</v>
      </c>
      <c r="G1237" s="288" t="s">
        <v>8094</v>
      </c>
    </row>
    <row r="1238" ht="15.0" customHeight="1">
      <c r="A1238" s="534" t="s">
        <v>11533</v>
      </c>
      <c r="B1238" s="534" t="s">
        <v>94</v>
      </c>
      <c r="C1238" s="288" t="s">
        <v>11557</v>
      </c>
      <c r="D1238" s="83" t="s">
        <v>10305</v>
      </c>
      <c r="E1238" s="83" t="s">
        <v>11535</v>
      </c>
      <c r="F1238" s="92">
        <f t="shared" si="146"/>
        <v>5.94</v>
      </c>
      <c r="G1238" s="288" t="s">
        <v>8094</v>
      </c>
    </row>
    <row r="1239" ht="15.0" customHeight="1">
      <c r="A1239" s="534" t="s">
        <v>11533</v>
      </c>
      <c r="B1239" s="534" t="s">
        <v>94</v>
      </c>
      <c r="C1239" s="288" t="s">
        <v>11558</v>
      </c>
      <c r="D1239" s="83" t="s">
        <v>10305</v>
      </c>
      <c r="E1239" s="83" t="s">
        <v>11538</v>
      </c>
      <c r="F1239" s="419">
        <f>18*0.33*0.25</f>
        <v>1.485</v>
      </c>
      <c r="G1239" s="288" t="s">
        <v>8094</v>
      </c>
    </row>
    <row r="1240" ht="15.0" customHeight="1">
      <c r="A1240" s="534" t="s">
        <v>11533</v>
      </c>
      <c r="B1240" s="534" t="s">
        <v>94</v>
      </c>
      <c r="C1240" s="288" t="s">
        <v>11559</v>
      </c>
      <c r="D1240" s="83" t="s">
        <v>10305</v>
      </c>
      <c r="E1240" s="275" t="s">
        <v>11540</v>
      </c>
      <c r="F1240" s="91">
        <f>18*0.33*0.1</f>
        <v>0.594</v>
      </c>
      <c r="G1240" s="288" t="s">
        <v>8094</v>
      </c>
    </row>
    <row r="1241" ht="15.0" customHeight="1">
      <c r="A1241" s="534" t="s">
        <v>11533</v>
      </c>
      <c r="B1241" s="534" t="s">
        <v>94</v>
      </c>
      <c r="C1241" s="536" t="s">
        <v>11560</v>
      </c>
      <c r="D1241" s="489" t="s">
        <v>10305</v>
      </c>
      <c r="E1241" s="501" t="s">
        <v>11535</v>
      </c>
      <c r="F1241" s="91">
        <f>18*0.33</f>
        <v>5.94</v>
      </c>
      <c r="G1241" s="288" t="s">
        <v>8094</v>
      </c>
    </row>
    <row r="1242" ht="15.0" customHeight="1">
      <c r="A1242" s="534" t="s">
        <v>11533</v>
      </c>
      <c r="B1242" s="534" t="s">
        <v>94</v>
      </c>
      <c r="C1242" s="288" t="s">
        <v>11561</v>
      </c>
      <c r="D1242" s="83" t="s">
        <v>10305</v>
      </c>
      <c r="E1242" s="91" t="s">
        <v>11562</v>
      </c>
      <c r="F1242" s="91">
        <f>22*0.33</f>
        <v>7.26</v>
      </c>
      <c r="G1242" s="288" t="s">
        <v>8094</v>
      </c>
    </row>
    <row r="1243" ht="15.0" customHeight="1">
      <c r="A1243" s="534" t="s">
        <v>11533</v>
      </c>
      <c r="B1243" s="534" t="s">
        <v>94</v>
      </c>
      <c r="C1243" s="288" t="s">
        <v>11563</v>
      </c>
      <c r="D1243" s="83" t="s">
        <v>10305</v>
      </c>
      <c r="E1243" s="91" t="s">
        <v>11543</v>
      </c>
      <c r="F1243" s="91">
        <f>30*0.33</f>
        <v>9.9</v>
      </c>
      <c r="G1243" s="288" t="s">
        <v>8094</v>
      </c>
    </row>
    <row r="1244" ht="15.0" customHeight="1">
      <c r="A1244" s="534" t="s">
        <v>11533</v>
      </c>
      <c r="B1244" s="534" t="s">
        <v>94</v>
      </c>
      <c r="C1244" s="288" t="s">
        <v>11564</v>
      </c>
      <c r="D1244" s="91" t="s">
        <v>11565</v>
      </c>
      <c r="E1244" s="91" t="s">
        <v>11566</v>
      </c>
      <c r="F1244" s="91">
        <f>22*0.33*0.5</f>
        <v>3.63</v>
      </c>
      <c r="G1244" s="288" t="s">
        <v>8094</v>
      </c>
    </row>
    <row r="1245" ht="15.0" customHeight="1">
      <c r="A1245" s="534" t="s">
        <v>11533</v>
      </c>
      <c r="B1245" s="534" t="s">
        <v>94</v>
      </c>
      <c r="C1245" s="288" t="s">
        <v>11567</v>
      </c>
      <c r="D1245" s="91" t="s">
        <v>11565</v>
      </c>
      <c r="E1245" s="91" t="s">
        <v>11568</v>
      </c>
      <c r="F1245" s="91">
        <f>30*0.33*0.5</f>
        <v>4.95</v>
      </c>
      <c r="G1245" s="288" t="s">
        <v>8094</v>
      </c>
    </row>
    <row r="1246" ht="15.0" customHeight="1">
      <c r="A1246" s="224" t="s">
        <v>954</v>
      </c>
      <c r="B1246" s="224" t="s">
        <v>182</v>
      </c>
      <c r="C1246" s="100" t="s">
        <v>11569</v>
      </c>
      <c r="D1246" s="156" t="s">
        <v>10046</v>
      </c>
      <c r="E1246" s="156" t="s">
        <v>10660</v>
      </c>
      <c r="F1246" s="151">
        <f t="shared" ref="F1246:F1247" si="147">7/3</f>
        <v>2.333333333</v>
      </c>
      <c r="G1246" s="288" t="s">
        <v>954</v>
      </c>
    </row>
    <row r="1247" ht="15.0" customHeight="1">
      <c r="A1247" s="224" t="s">
        <v>954</v>
      </c>
      <c r="B1247" s="224" t="s">
        <v>182</v>
      </c>
      <c r="C1247" s="100" t="s">
        <v>11570</v>
      </c>
      <c r="D1247" s="156" t="s">
        <v>10046</v>
      </c>
      <c r="E1247" s="156" t="s">
        <v>10660</v>
      </c>
      <c r="F1247" s="151">
        <f t="shared" si="147"/>
        <v>2.333333333</v>
      </c>
      <c r="G1247" s="288" t="s">
        <v>954</v>
      </c>
    </row>
    <row r="1248" ht="15.0" customHeight="1">
      <c r="A1248" s="224" t="s">
        <v>954</v>
      </c>
      <c r="B1248" s="224" t="s">
        <v>182</v>
      </c>
      <c r="C1248" s="100" t="s">
        <v>11571</v>
      </c>
      <c r="D1248" s="156" t="s">
        <v>10046</v>
      </c>
      <c r="E1248" s="156" t="s">
        <v>10660</v>
      </c>
      <c r="F1248" s="151">
        <v>0.33</v>
      </c>
      <c r="G1248" s="288" t="s">
        <v>954</v>
      </c>
    </row>
    <row r="1249" ht="15.0" customHeight="1">
      <c r="A1249" s="224" t="s">
        <v>954</v>
      </c>
      <c r="B1249" s="224" t="s">
        <v>182</v>
      </c>
      <c r="C1249" s="100" t="s">
        <v>11572</v>
      </c>
      <c r="D1249" s="156" t="s">
        <v>10046</v>
      </c>
      <c r="E1249" s="156" t="s">
        <v>10660</v>
      </c>
      <c r="F1249" s="151">
        <f t="shared" ref="F1249:F1250" si="148">22/3</f>
        <v>7.333333333</v>
      </c>
      <c r="G1249" s="288" t="s">
        <v>954</v>
      </c>
    </row>
    <row r="1250" ht="15.0" customHeight="1">
      <c r="A1250" s="224" t="s">
        <v>954</v>
      </c>
      <c r="B1250" s="224" t="s">
        <v>182</v>
      </c>
      <c r="C1250" s="100" t="s">
        <v>11573</v>
      </c>
      <c r="D1250" s="156" t="s">
        <v>10046</v>
      </c>
      <c r="E1250" s="156" t="s">
        <v>10660</v>
      </c>
      <c r="F1250" s="151">
        <f t="shared" si="148"/>
        <v>7.333333333</v>
      </c>
      <c r="G1250" s="288" t="s">
        <v>954</v>
      </c>
    </row>
    <row r="1251" ht="15.0" customHeight="1">
      <c r="A1251" s="224" t="s">
        <v>954</v>
      </c>
      <c r="B1251" s="224" t="s">
        <v>182</v>
      </c>
      <c r="C1251" s="100" t="s">
        <v>11574</v>
      </c>
      <c r="D1251" s="156" t="s">
        <v>10046</v>
      </c>
      <c r="E1251" s="156" t="s">
        <v>10660</v>
      </c>
      <c r="F1251" s="151">
        <f>5.5/3</f>
        <v>1.833333333</v>
      </c>
      <c r="G1251" s="288" t="s">
        <v>954</v>
      </c>
    </row>
    <row r="1252" ht="15.0" customHeight="1">
      <c r="A1252" s="224" t="s">
        <v>954</v>
      </c>
      <c r="B1252" s="224" t="s">
        <v>182</v>
      </c>
      <c r="C1252" s="100" t="s">
        <v>11575</v>
      </c>
      <c r="D1252" s="156" t="s">
        <v>10046</v>
      </c>
      <c r="E1252" s="156" t="s">
        <v>10660</v>
      </c>
      <c r="F1252" s="151">
        <f>2.2/3</f>
        <v>0.7333333333</v>
      </c>
      <c r="G1252" s="288" t="s">
        <v>954</v>
      </c>
    </row>
    <row r="1253" ht="15.0" customHeight="1">
      <c r="A1253" s="224" t="s">
        <v>954</v>
      </c>
      <c r="B1253" s="224" t="s">
        <v>182</v>
      </c>
      <c r="C1253" s="100" t="s">
        <v>11576</v>
      </c>
      <c r="D1253" s="156" t="s">
        <v>10046</v>
      </c>
      <c r="E1253" s="156" t="s">
        <v>10660</v>
      </c>
      <c r="F1253" s="151">
        <f>43/3</f>
        <v>14.33333333</v>
      </c>
      <c r="G1253" s="288" t="s">
        <v>954</v>
      </c>
    </row>
    <row r="1254" ht="15.0" customHeight="1">
      <c r="A1254" s="224" t="s">
        <v>954</v>
      </c>
      <c r="B1254" s="224" t="s">
        <v>182</v>
      </c>
      <c r="C1254" s="100" t="s">
        <v>11577</v>
      </c>
      <c r="D1254" s="156" t="s">
        <v>10046</v>
      </c>
      <c r="E1254" s="156" t="s">
        <v>10660</v>
      </c>
      <c r="F1254" s="151">
        <f>13/3</f>
        <v>4.333333333</v>
      </c>
      <c r="G1254" s="288" t="s">
        <v>954</v>
      </c>
    </row>
    <row r="1255" ht="15.0" customHeight="1">
      <c r="A1255" s="224" t="s">
        <v>954</v>
      </c>
      <c r="B1255" s="224" t="s">
        <v>182</v>
      </c>
      <c r="C1255" s="100" t="s">
        <v>11578</v>
      </c>
      <c r="D1255" s="156" t="s">
        <v>10046</v>
      </c>
      <c r="E1255" s="156" t="s">
        <v>10660</v>
      </c>
      <c r="F1255" s="151">
        <f>27/3</f>
        <v>9</v>
      </c>
      <c r="G1255" s="288" t="s">
        <v>954</v>
      </c>
    </row>
    <row r="1256" ht="15.0" customHeight="1">
      <c r="A1256" s="224" t="s">
        <v>954</v>
      </c>
      <c r="B1256" s="224" t="s">
        <v>182</v>
      </c>
      <c r="C1256" s="100" t="s">
        <v>11579</v>
      </c>
      <c r="D1256" s="156" t="s">
        <v>10046</v>
      </c>
      <c r="E1256" s="156" t="s">
        <v>10660</v>
      </c>
      <c r="F1256" s="151">
        <f>24/3</f>
        <v>8</v>
      </c>
      <c r="G1256" s="288" t="s">
        <v>954</v>
      </c>
    </row>
    <row r="1257" ht="15.0" customHeight="1">
      <c r="A1257" s="224" t="s">
        <v>954</v>
      </c>
      <c r="B1257" s="224" t="s">
        <v>182</v>
      </c>
      <c r="C1257" s="100" t="s">
        <v>11580</v>
      </c>
      <c r="D1257" s="156" t="s">
        <v>10046</v>
      </c>
      <c r="E1257" s="156" t="s">
        <v>10660</v>
      </c>
      <c r="F1257" s="151">
        <f>16/3</f>
        <v>5.333333333</v>
      </c>
      <c r="G1257" s="288" t="s">
        <v>954</v>
      </c>
    </row>
    <row r="1258" ht="15.0" customHeight="1">
      <c r="A1258" s="224" t="s">
        <v>954</v>
      </c>
      <c r="B1258" s="224" t="s">
        <v>182</v>
      </c>
      <c r="C1258" s="100" t="s">
        <v>11581</v>
      </c>
      <c r="D1258" s="156" t="s">
        <v>10046</v>
      </c>
      <c r="E1258" s="156" t="s">
        <v>10660</v>
      </c>
      <c r="F1258" s="151">
        <f>21/3</f>
        <v>7</v>
      </c>
      <c r="G1258" s="288" t="s">
        <v>954</v>
      </c>
    </row>
    <row r="1259" ht="15.0" customHeight="1">
      <c r="A1259" s="224" t="s">
        <v>954</v>
      </c>
      <c r="B1259" s="224" t="s">
        <v>182</v>
      </c>
      <c r="C1259" s="100" t="s">
        <v>11582</v>
      </c>
      <c r="D1259" s="156" t="s">
        <v>10072</v>
      </c>
      <c r="E1259" s="156" t="s">
        <v>11583</v>
      </c>
      <c r="F1259" s="151">
        <f>43/6</f>
        <v>7.166666667</v>
      </c>
      <c r="G1259" s="288" t="s">
        <v>954</v>
      </c>
    </row>
    <row r="1260" ht="15.0" customHeight="1">
      <c r="A1260" s="224" t="s">
        <v>954</v>
      </c>
      <c r="B1260" s="224" t="s">
        <v>182</v>
      </c>
      <c r="C1260" s="100" t="s">
        <v>11584</v>
      </c>
      <c r="D1260" s="156" t="s">
        <v>10072</v>
      </c>
      <c r="E1260" s="156" t="s">
        <v>11583</v>
      </c>
      <c r="F1260" s="151">
        <f>13/6</f>
        <v>2.166666667</v>
      </c>
      <c r="G1260" s="288" t="s">
        <v>954</v>
      </c>
    </row>
    <row r="1261" ht="15.0" customHeight="1">
      <c r="A1261" s="224" t="s">
        <v>954</v>
      </c>
      <c r="B1261" s="224" t="s">
        <v>182</v>
      </c>
      <c r="C1261" s="100" t="s">
        <v>11585</v>
      </c>
      <c r="D1261" s="156" t="s">
        <v>10072</v>
      </c>
      <c r="E1261" s="156" t="s">
        <v>11583</v>
      </c>
      <c r="F1261" s="151">
        <f>27/6</f>
        <v>4.5</v>
      </c>
      <c r="G1261" s="288" t="s">
        <v>954</v>
      </c>
    </row>
    <row r="1262" ht="15.0" customHeight="1">
      <c r="A1262" s="224" t="s">
        <v>954</v>
      </c>
      <c r="B1262" s="224" t="s">
        <v>182</v>
      </c>
      <c r="C1262" s="100" t="s">
        <v>11586</v>
      </c>
      <c r="D1262" s="156" t="s">
        <v>10072</v>
      </c>
      <c r="E1262" s="156" t="s">
        <v>11583</v>
      </c>
      <c r="F1262" s="151">
        <f>24/6</f>
        <v>4</v>
      </c>
      <c r="G1262" s="288" t="s">
        <v>954</v>
      </c>
    </row>
    <row r="1263" ht="15.0" customHeight="1">
      <c r="A1263" s="224" t="s">
        <v>954</v>
      </c>
      <c r="B1263" s="224" t="s">
        <v>182</v>
      </c>
      <c r="C1263" s="100" t="s">
        <v>11587</v>
      </c>
      <c r="D1263" s="156" t="s">
        <v>10072</v>
      </c>
      <c r="E1263" s="156" t="s">
        <v>11583</v>
      </c>
      <c r="F1263" s="151">
        <f>16/6</f>
        <v>2.666666667</v>
      </c>
      <c r="G1263" s="288" t="s">
        <v>954</v>
      </c>
    </row>
    <row r="1264" ht="15.0" customHeight="1">
      <c r="A1264" s="224" t="s">
        <v>954</v>
      </c>
      <c r="B1264" s="224" t="s">
        <v>182</v>
      </c>
      <c r="C1264" s="100" t="s">
        <v>11588</v>
      </c>
      <c r="D1264" s="156" t="s">
        <v>10046</v>
      </c>
      <c r="E1264" s="156" t="s">
        <v>11583</v>
      </c>
      <c r="F1264" s="151">
        <f>21/6</f>
        <v>3.5</v>
      </c>
      <c r="G1264" s="288" t="s">
        <v>954</v>
      </c>
    </row>
    <row r="1265" ht="15.0" customHeight="1">
      <c r="A1265" s="224" t="s">
        <v>954</v>
      </c>
      <c r="B1265" s="224" t="s">
        <v>182</v>
      </c>
      <c r="C1265" s="100" t="s">
        <v>11589</v>
      </c>
      <c r="D1265" s="156" t="s">
        <v>10072</v>
      </c>
      <c r="E1265" s="156" t="s">
        <v>11583</v>
      </c>
      <c r="F1265" s="151">
        <f>10.75/6</f>
        <v>1.791666667</v>
      </c>
      <c r="G1265" s="288" t="s">
        <v>954</v>
      </c>
    </row>
    <row r="1266" ht="15.0" customHeight="1">
      <c r="A1266" s="224" t="s">
        <v>954</v>
      </c>
      <c r="B1266" s="224" t="s">
        <v>182</v>
      </c>
      <c r="C1266" s="100" t="s">
        <v>11590</v>
      </c>
      <c r="D1266" s="156" t="s">
        <v>10072</v>
      </c>
      <c r="E1266" s="156" t="s">
        <v>11583</v>
      </c>
      <c r="F1266" s="151">
        <f>3.25/6</f>
        <v>0.5416666667</v>
      </c>
      <c r="G1266" s="288" t="s">
        <v>954</v>
      </c>
    </row>
    <row r="1267" ht="15.0" customHeight="1">
      <c r="A1267" s="224" t="s">
        <v>954</v>
      </c>
      <c r="B1267" s="224" t="s">
        <v>182</v>
      </c>
      <c r="C1267" s="100" t="s">
        <v>11591</v>
      </c>
      <c r="D1267" s="156" t="s">
        <v>10072</v>
      </c>
      <c r="E1267" s="156" t="s">
        <v>11583</v>
      </c>
      <c r="F1267" s="151">
        <f>6.75/6</f>
        <v>1.125</v>
      </c>
      <c r="G1267" s="288" t="s">
        <v>954</v>
      </c>
    </row>
    <row r="1268" ht="15.0" customHeight="1">
      <c r="A1268" s="416" t="s">
        <v>954</v>
      </c>
      <c r="B1268" s="416" t="s">
        <v>182</v>
      </c>
      <c r="C1268" s="495" t="s">
        <v>11592</v>
      </c>
      <c r="D1268" s="496" t="s">
        <v>10072</v>
      </c>
      <c r="E1268" s="496" t="s">
        <v>11583</v>
      </c>
      <c r="F1268" s="151">
        <f>6/6</f>
        <v>1</v>
      </c>
      <c r="G1268" s="288" t="s">
        <v>954</v>
      </c>
    </row>
    <row r="1269" ht="15.0" customHeight="1">
      <c r="A1269" s="416" t="s">
        <v>954</v>
      </c>
      <c r="B1269" s="416" t="s">
        <v>182</v>
      </c>
      <c r="C1269" s="495" t="s">
        <v>11593</v>
      </c>
      <c r="D1269" s="496" t="s">
        <v>10072</v>
      </c>
      <c r="E1269" s="496" t="s">
        <v>11583</v>
      </c>
      <c r="F1269" s="151">
        <f>4/6</f>
        <v>0.6666666667</v>
      </c>
      <c r="G1269" s="288" t="s">
        <v>954</v>
      </c>
    </row>
    <row r="1270" ht="15.0" customHeight="1">
      <c r="A1270" s="224" t="s">
        <v>954</v>
      </c>
      <c r="B1270" s="224" t="s">
        <v>182</v>
      </c>
      <c r="C1270" s="100" t="s">
        <v>11594</v>
      </c>
      <c r="D1270" s="156" t="s">
        <v>10046</v>
      </c>
      <c r="E1270" s="156" t="s">
        <v>11583</v>
      </c>
      <c r="F1270" s="151">
        <f>5.25/6</f>
        <v>0.875</v>
      </c>
      <c r="G1270" s="288" t="s">
        <v>954</v>
      </c>
    </row>
    <row r="1271" ht="15.0" customHeight="1">
      <c r="A1271" s="513" t="s">
        <v>9139</v>
      </c>
      <c r="B1271" s="513" t="s">
        <v>182</v>
      </c>
      <c r="C1271" s="164" t="s">
        <v>11595</v>
      </c>
      <c r="D1271" s="168" t="s">
        <v>10305</v>
      </c>
      <c r="E1271" s="168" t="s">
        <v>11596</v>
      </c>
      <c r="F1271" s="404">
        <v>13.66</v>
      </c>
      <c r="G1271" s="288" t="s">
        <v>5513</v>
      </c>
    </row>
    <row r="1272" ht="15.0" customHeight="1">
      <c r="A1272" s="513" t="s">
        <v>9139</v>
      </c>
      <c r="B1272" s="513" t="s">
        <v>182</v>
      </c>
      <c r="C1272" s="164" t="s">
        <v>11597</v>
      </c>
      <c r="D1272" s="168" t="s">
        <v>10305</v>
      </c>
      <c r="E1272" s="168" t="s">
        <v>11598</v>
      </c>
      <c r="F1272" s="404">
        <v>11.5</v>
      </c>
      <c r="G1272" s="288" t="s">
        <v>5513</v>
      </c>
    </row>
    <row r="1273" ht="15.0" customHeight="1">
      <c r="A1273" s="513" t="s">
        <v>9139</v>
      </c>
      <c r="B1273" s="513" t="s">
        <v>182</v>
      </c>
      <c r="C1273" s="164" t="s">
        <v>11032</v>
      </c>
      <c r="D1273" s="168" t="s">
        <v>10305</v>
      </c>
      <c r="E1273" s="168" t="s">
        <v>11007</v>
      </c>
      <c r="F1273" s="404">
        <v>6.0</v>
      </c>
      <c r="G1273" s="288" t="s">
        <v>5513</v>
      </c>
    </row>
    <row r="1274" ht="15.0" customHeight="1">
      <c r="A1274" s="513" t="s">
        <v>9139</v>
      </c>
      <c r="B1274" s="513" t="s">
        <v>182</v>
      </c>
      <c r="C1274" s="164" t="s">
        <v>11031</v>
      </c>
      <c r="D1274" s="168" t="s">
        <v>10305</v>
      </c>
      <c r="E1274" s="168" t="s">
        <v>11599</v>
      </c>
      <c r="F1274" s="404">
        <v>7.33</v>
      </c>
      <c r="G1274" s="288" t="s">
        <v>5513</v>
      </c>
    </row>
    <row r="1275" ht="15.0" customHeight="1">
      <c r="A1275" s="513" t="s">
        <v>9139</v>
      </c>
      <c r="B1275" s="513" t="s">
        <v>182</v>
      </c>
      <c r="C1275" s="164" t="s">
        <v>11600</v>
      </c>
      <c r="D1275" s="168" t="s">
        <v>10305</v>
      </c>
      <c r="E1275" s="168" t="s">
        <v>11598</v>
      </c>
      <c r="F1275" s="404">
        <v>7.67</v>
      </c>
      <c r="G1275" s="288" t="s">
        <v>5513</v>
      </c>
    </row>
    <row r="1276" ht="15.0" customHeight="1">
      <c r="A1276" s="513" t="s">
        <v>9139</v>
      </c>
      <c r="B1276" s="513" t="s">
        <v>182</v>
      </c>
      <c r="C1276" s="164" t="s">
        <v>11601</v>
      </c>
      <c r="D1276" s="168" t="s">
        <v>10305</v>
      </c>
      <c r="E1276" s="168" t="s">
        <v>11602</v>
      </c>
      <c r="F1276" s="404">
        <v>13.66</v>
      </c>
      <c r="G1276" s="288" t="s">
        <v>5513</v>
      </c>
    </row>
    <row r="1277" ht="15.0" customHeight="1">
      <c r="A1277" s="513" t="s">
        <v>9139</v>
      </c>
      <c r="B1277" s="513" t="s">
        <v>182</v>
      </c>
      <c r="C1277" s="164" t="s">
        <v>11603</v>
      </c>
      <c r="D1277" s="168" t="s">
        <v>10305</v>
      </c>
      <c r="E1277" s="168" t="s">
        <v>11598</v>
      </c>
      <c r="F1277" s="404">
        <v>7.67</v>
      </c>
      <c r="G1277" s="288" t="s">
        <v>5513</v>
      </c>
    </row>
    <row r="1278" ht="15.0" customHeight="1">
      <c r="A1278" s="513" t="s">
        <v>9139</v>
      </c>
      <c r="B1278" s="513" t="s">
        <v>182</v>
      </c>
      <c r="C1278" s="164" t="s">
        <v>11604</v>
      </c>
      <c r="D1278" s="168" t="s">
        <v>10305</v>
      </c>
      <c r="E1278" s="168" t="s">
        <v>11007</v>
      </c>
      <c r="F1278" s="404">
        <v>6.0</v>
      </c>
      <c r="G1278" s="288" t="s">
        <v>5513</v>
      </c>
    </row>
    <row r="1279" ht="15.0" customHeight="1">
      <c r="A1279" s="513" t="s">
        <v>9139</v>
      </c>
      <c r="B1279" s="513" t="s">
        <v>182</v>
      </c>
      <c r="C1279" s="164" t="s">
        <v>11605</v>
      </c>
      <c r="D1279" s="168" t="s">
        <v>10305</v>
      </c>
      <c r="E1279" s="168" t="s">
        <v>11599</v>
      </c>
      <c r="F1279" s="404">
        <v>7.33</v>
      </c>
      <c r="G1279" s="288" t="s">
        <v>5513</v>
      </c>
    </row>
    <row r="1280" ht="15.0" customHeight="1">
      <c r="A1280" s="513" t="s">
        <v>9139</v>
      </c>
      <c r="B1280" s="513" t="s">
        <v>182</v>
      </c>
      <c r="C1280" s="164" t="s">
        <v>11606</v>
      </c>
      <c r="D1280" s="156" t="s">
        <v>11035</v>
      </c>
      <c r="E1280" s="168" t="s">
        <v>11607</v>
      </c>
      <c r="F1280" s="404">
        <v>0.66</v>
      </c>
      <c r="G1280" s="288" t="s">
        <v>5513</v>
      </c>
    </row>
    <row r="1281" ht="15.0" customHeight="1">
      <c r="A1281" s="513" t="s">
        <v>9139</v>
      </c>
      <c r="B1281" s="513" t="s">
        <v>182</v>
      </c>
      <c r="C1281" s="164" t="s">
        <v>11037</v>
      </c>
      <c r="D1281" s="156" t="s">
        <v>11035</v>
      </c>
      <c r="E1281" s="168" t="s">
        <v>11608</v>
      </c>
      <c r="F1281" s="404">
        <v>14.0</v>
      </c>
      <c r="G1281" s="288" t="s">
        <v>5513</v>
      </c>
    </row>
    <row r="1282" ht="15.0" customHeight="1">
      <c r="A1282" s="224" t="s">
        <v>9693</v>
      </c>
      <c r="B1282" s="224" t="s">
        <v>94</v>
      </c>
      <c r="C1282" s="82" t="s">
        <v>11609</v>
      </c>
      <c r="D1282" s="83" t="s">
        <v>11610</v>
      </c>
      <c r="E1282" s="83" t="s">
        <v>11611</v>
      </c>
      <c r="F1282" s="92">
        <v>1.0</v>
      </c>
      <c r="G1282" s="288" t="s">
        <v>9280</v>
      </c>
    </row>
    <row r="1283" ht="15.0" customHeight="1">
      <c r="A1283" s="224" t="s">
        <v>9693</v>
      </c>
      <c r="B1283" s="224" t="s">
        <v>94</v>
      </c>
      <c r="C1283" s="82" t="s">
        <v>11612</v>
      </c>
      <c r="D1283" s="83" t="s">
        <v>11610</v>
      </c>
      <c r="E1283" s="83" t="s">
        <v>11613</v>
      </c>
      <c r="F1283" s="92">
        <v>20.0</v>
      </c>
      <c r="G1283" s="288" t="s">
        <v>9280</v>
      </c>
    </row>
    <row r="1284" ht="15.0" customHeight="1">
      <c r="A1284" s="224" t="s">
        <v>9693</v>
      </c>
      <c r="B1284" s="224" t="s">
        <v>94</v>
      </c>
      <c r="C1284" s="82" t="s">
        <v>11614</v>
      </c>
      <c r="D1284" s="83" t="s">
        <v>11610</v>
      </c>
      <c r="E1284" s="83" t="s">
        <v>11615</v>
      </c>
      <c r="F1284" s="92" t="s">
        <v>11616</v>
      </c>
      <c r="G1284" s="288" t="s">
        <v>9280</v>
      </c>
    </row>
    <row r="1285" ht="15.0" customHeight="1">
      <c r="A1285" s="224" t="s">
        <v>9693</v>
      </c>
      <c r="B1285" s="224" t="s">
        <v>94</v>
      </c>
      <c r="C1285" s="82" t="s">
        <v>11617</v>
      </c>
      <c r="D1285" s="83" t="s">
        <v>10305</v>
      </c>
      <c r="E1285" s="83" t="s">
        <v>11618</v>
      </c>
      <c r="F1285" s="92">
        <v>7.33</v>
      </c>
      <c r="G1285" s="288" t="s">
        <v>9280</v>
      </c>
    </row>
    <row r="1286" ht="15.0" customHeight="1">
      <c r="A1286" s="224" t="s">
        <v>9693</v>
      </c>
      <c r="B1286" s="224" t="s">
        <v>94</v>
      </c>
      <c r="C1286" s="82" t="s">
        <v>11619</v>
      </c>
      <c r="D1286" s="83" t="s">
        <v>10305</v>
      </c>
      <c r="E1286" s="83" t="s">
        <v>11620</v>
      </c>
      <c r="F1286" s="92">
        <v>6.0</v>
      </c>
      <c r="G1286" s="288" t="s">
        <v>9280</v>
      </c>
    </row>
    <row r="1287" ht="15.0" customHeight="1">
      <c r="A1287" s="224" t="s">
        <v>9693</v>
      </c>
      <c r="B1287" s="224" t="s">
        <v>94</v>
      </c>
      <c r="C1287" s="82" t="s">
        <v>11621</v>
      </c>
      <c r="D1287" s="83" t="s">
        <v>10305</v>
      </c>
      <c r="E1287" s="83" t="s">
        <v>11622</v>
      </c>
      <c r="F1287" s="92">
        <v>8.33</v>
      </c>
      <c r="G1287" s="288" t="s">
        <v>9280</v>
      </c>
    </row>
    <row r="1288" ht="15.0" customHeight="1">
      <c r="A1288" s="224" t="s">
        <v>9693</v>
      </c>
      <c r="B1288" s="224" t="s">
        <v>94</v>
      </c>
      <c r="C1288" s="82" t="s">
        <v>11623</v>
      </c>
      <c r="D1288" s="83" t="s">
        <v>10305</v>
      </c>
      <c r="E1288" s="83" t="s">
        <v>11622</v>
      </c>
      <c r="F1288" s="92">
        <v>8.33</v>
      </c>
      <c r="G1288" s="288" t="s">
        <v>9280</v>
      </c>
    </row>
    <row r="1289" ht="15.0" customHeight="1">
      <c r="A1289" s="224" t="s">
        <v>9693</v>
      </c>
      <c r="B1289" s="224" t="s">
        <v>94</v>
      </c>
      <c r="C1289" s="82" t="s">
        <v>11624</v>
      </c>
      <c r="D1289" s="83" t="s">
        <v>10305</v>
      </c>
      <c r="E1289" s="83" t="s">
        <v>11625</v>
      </c>
      <c r="F1289" s="92">
        <v>1.83</v>
      </c>
      <c r="G1289" s="288" t="s">
        <v>9280</v>
      </c>
    </row>
    <row r="1290" ht="15.0" customHeight="1">
      <c r="A1290" s="224" t="s">
        <v>9693</v>
      </c>
      <c r="B1290" s="224" t="s">
        <v>94</v>
      </c>
      <c r="C1290" s="82" t="s">
        <v>11626</v>
      </c>
      <c r="D1290" s="83" t="s">
        <v>10305</v>
      </c>
      <c r="E1290" s="83" t="s">
        <v>11627</v>
      </c>
      <c r="F1290" s="92">
        <v>1.5</v>
      </c>
      <c r="G1290" s="288" t="s">
        <v>9280</v>
      </c>
    </row>
    <row r="1291" ht="15.0" customHeight="1">
      <c r="A1291" s="224" t="s">
        <v>9693</v>
      </c>
      <c r="B1291" s="224" t="s">
        <v>94</v>
      </c>
      <c r="C1291" s="82" t="s">
        <v>11628</v>
      </c>
      <c r="D1291" s="83" t="s">
        <v>10305</v>
      </c>
      <c r="E1291" s="83" t="s">
        <v>11629</v>
      </c>
      <c r="F1291" s="92">
        <v>2.08</v>
      </c>
      <c r="G1291" s="288" t="s">
        <v>9280</v>
      </c>
    </row>
    <row r="1292" ht="15.0" customHeight="1">
      <c r="A1292" s="224" t="s">
        <v>9693</v>
      </c>
      <c r="B1292" s="224" t="s">
        <v>94</v>
      </c>
      <c r="C1292" s="82" t="s">
        <v>11630</v>
      </c>
      <c r="D1292" s="83" t="s">
        <v>10305</v>
      </c>
      <c r="E1292" s="83" t="s">
        <v>11631</v>
      </c>
      <c r="F1292" s="92">
        <v>2.08</v>
      </c>
      <c r="G1292" s="288" t="s">
        <v>9280</v>
      </c>
    </row>
    <row r="1293" ht="15.0" customHeight="1">
      <c r="A1293" s="224" t="s">
        <v>9693</v>
      </c>
      <c r="B1293" s="224" t="s">
        <v>94</v>
      </c>
      <c r="C1293" s="82" t="s">
        <v>11632</v>
      </c>
      <c r="D1293" s="83" t="s">
        <v>10305</v>
      </c>
      <c r="E1293" s="83" t="s">
        <v>11633</v>
      </c>
      <c r="F1293" s="92">
        <v>1.1</v>
      </c>
      <c r="G1293" s="288" t="s">
        <v>9280</v>
      </c>
    </row>
    <row r="1294" ht="15.0" customHeight="1">
      <c r="A1294" s="224" t="s">
        <v>9693</v>
      </c>
      <c r="B1294" s="224" t="s">
        <v>94</v>
      </c>
      <c r="C1294" s="82" t="s">
        <v>11634</v>
      </c>
      <c r="D1294" s="83" t="s">
        <v>10305</v>
      </c>
      <c r="E1294" s="83" t="s">
        <v>11635</v>
      </c>
      <c r="F1294" s="92">
        <v>0.6</v>
      </c>
      <c r="G1294" s="288" t="s">
        <v>9280</v>
      </c>
    </row>
    <row r="1295" ht="15.0" customHeight="1">
      <c r="A1295" s="224" t="s">
        <v>9693</v>
      </c>
      <c r="B1295" s="224" t="s">
        <v>94</v>
      </c>
      <c r="C1295" s="82" t="s">
        <v>11636</v>
      </c>
      <c r="D1295" s="83" t="s">
        <v>10305</v>
      </c>
      <c r="E1295" s="83" t="s">
        <v>11637</v>
      </c>
      <c r="F1295" s="92">
        <v>0.83</v>
      </c>
      <c r="G1295" s="288" t="s">
        <v>9280</v>
      </c>
    </row>
    <row r="1296" ht="15.0" customHeight="1">
      <c r="A1296" s="224" t="s">
        <v>9693</v>
      </c>
      <c r="B1296" s="224" t="s">
        <v>94</v>
      </c>
      <c r="C1296" s="82" t="s">
        <v>11638</v>
      </c>
      <c r="D1296" s="83" t="s">
        <v>10305</v>
      </c>
      <c r="E1296" s="83" t="s">
        <v>11637</v>
      </c>
      <c r="F1296" s="92">
        <v>0.83</v>
      </c>
      <c r="G1296" s="288" t="s">
        <v>9280</v>
      </c>
    </row>
    <row r="1297" ht="15.0" customHeight="1">
      <c r="A1297" s="224" t="s">
        <v>9693</v>
      </c>
      <c r="B1297" s="224" t="s">
        <v>94</v>
      </c>
      <c r="C1297" s="82" t="s">
        <v>11639</v>
      </c>
      <c r="D1297" s="83" t="s">
        <v>10309</v>
      </c>
      <c r="E1297" s="83" t="s">
        <v>11640</v>
      </c>
      <c r="F1297" s="92">
        <v>3.66</v>
      </c>
      <c r="G1297" s="288" t="s">
        <v>9280</v>
      </c>
    </row>
    <row r="1298" ht="15.0" customHeight="1">
      <c r="A1298" s="224" t="s">
        <v>9693</v>
      </c>
      <c r="B1298" s="224" t="s">
        <v>94</v>
      </c>
      <c r="C1298" s="82" t="s">
        <v>11641</v>
      </c>
      <c r="D1298" s="83" t="s">
        <v>10309</v>
      </c>
      <c r="E1298" s="83" t="s">
        <v>11642</v>
      </c>
      <c r="F1298" s="92">
        <v>0.91</v>
      </c>
      <c r="G1298" s="288" t="s">
        <v>9280</v>
      </c>
    </row>
    <row r="1299" ht="15.0" customHeight="1">
      <c r="A1299" s="224" t="s">
        <v>9693</v>
      </c>
      <c r="B1299" s="224" t="s">
        <v>94</v>
      </c>
      <c r="C1299" s="82" t="s">
        <v>11643</v>
      </c>
      <c r="D1299" s="83" t="s">
        <v>10309</v>
      </c>
      <c r="E1299" s="83" t="s">
        <v>11644</v>
      </c>
      <c r="F1299" s="92">
        <v>0.36</v>
      </c>
      <c r="G1299" s="288" t="s">
        <v>9280</v>
      </c>
    </row>
    <row r="1300" ht="15.0" customHeight="1">
      <c r="A1300" s="416" t="s">
        <v>9693</v>
      </c>
      <c r="B1300" s="416" t="s">
        <v>94</v>
      </c>
      <c r="C1300" s="352" t="s">
        <v>11645</v>
      </c>
      <c r="D1300" s="489" t="s">
        <v>11610</v>
      </c>
      <c r="E1300" s="489" t="s">
        <v>11646</v>
      </c>
      <c r="F1300" s="419">
        <v>13.33</v>
      </c>
      <c r="G1300" s="288" t="s">
        <v>9280</v>
      </c>
    </row>
    <row r="1301" ht="15.0" customHeight="1">
      <c r="A1301" s="224" t="s">
        <v>9693</v>
      </c>
      <c r="B1301" s="224" t="s">
        <v>94</v>
      </c>
      <c r="C1301" s="82" t="s">
        <v>11647</v>
      </c>
      <c r="D1301" s="83" t="s">
        <v>11610</v>
      </c>
      <c r="E1301" s="83" t="s">
        <v>11648</v>
      </c>
      <c r="F1301" s="92">
        <v>19.33</v>
      </c>
      <c r="G1301" s="288" t="s">
        <v>9280</v>
      </c>
    </row>
    <row r="1302" ht="15.75" customHeight="1">
      <c r="A1302" s="253" t="s">
        <v>4024</v>
      </c>
      <c r="B1302" s="253" t="s">
        <v>9277</v>
      </c>
      <c r="C1302" s="148" t="s">
        <v>11649</v>
      </c>
      <c r="D1302" s="191" t="s">
        <v>10305</v>
      </c>
      <c r="E1302" s="191" t="s">
        <v>11650</v>
      </c>
      <c r="F1302" s="162">
        <v>27.43</v>
      </c>
      <c r="G1302" s="288" t="s">
        <v>4024</v>
      </c>
    </row>
    <row r="1303" ht="15.75" customHeight="1">
      <c r="A1303" s="253" t="s">
        <v>4024</v>
      </c>
      <c r="B1303" s="253" t="s">
        <v>9277</v>
      </c>
      <c r="C1303" s="148" t="s">
        <v>11651</v>
      </c>
      <c r="D1303" s="191" t="s">
        <v>10305</v>
      </c>
      <c r="E1303" s="191" t="s">
        <v>11652</v>
      </c>
      <c r="F1303" s="162">
        <v>11.75</v>
      </c>
      <c r="G1303" s="288" t="s">
        <v>4024</v>
      </c>
    </row>
    <row r="1304" ht="15.75" customHeight="1">
      <c r="A1304" s="253" t="s">
        <v>4024</v>
      </c>
      <c r="B1304" s="253" t="s">
        <v>9277</v>
      </c>
      <c r="C1304" s="148" t="s">
        <v>11653</v>
      </c>
      <c r="D1304" s="191" t="s">
        <v>10305</v>
      </c>
      <c r="E1304" s="191" t="s">
        <v>11654</v>
      </c>
      <c r="F1304" s="162">
        <v>37.6</v>
      </c>
      <c r="G1304" s="288" t="s">
        <v>4024</v>
      </c>
    </row>
    <row r="1305" ht="15.75" customHeight="1">
      <c r="A1305" s="253" t="s">
        <v>4024</v>
      </c>
      <c r="B1305" s="253" t="s">
        <v>9277</v>
      </c>
      <c r="C1305" s="148" t="s">
        <v>11655</v>
      </c>
      <c r="D1305" s="191" t="s">
        <v>10305</v>
      </c>
      <c r="E1305" s="191" t="s">
        <v>11656</v>
      </c>
      <c r="F1305" s="162">
        <v>51.7</v>
      </c>
      <c r="G1305" s="288" t="s">
        <v>4024</v>
      </c>
    </row>
    <row r="1306" ht="15.75" customHeight="1">
      <c r="A1306" s="253" t="s">
        <v>4024</v>
      </c>
      <c r="B1306" s="253" t="s">
        <v>9277</v>
      </c>
      <c r="C1306" s="148" t="s">
        <v>11657</v>
      </c>
      <c r="D1306" s="191" t="s">
        <v>11658</v>
      </c>
      <c r="E1306" s="191" t="s">
        <v>11659</v>
      </c>
      <c r="F1306" s="162">
        <v>16.19</v>
      </c>
      <c r="G1306" s="288" t="s">
        <v>4024</v>
      </c>
    </row>
    <row r="1307" ht="15.75" customHeight="1">
      <c r="A1307" s="253" t="s">
        <v>4024</v>
      </c>
      <c r="B1307" s="253" t="s">
        <v>9277</v>
      </c>
      <c r="C1307" s="148" t="s">
        <v>11660</v>
      </c>
      <c r="D1307" s="191" t="s">
        <v>11658</v>
      </c>
      <c r="E1307" s="191" t="s">
        <v>11661</v>
      </c>
      <c r="F1307" s="162">
        <v>16.75</v>
      </c>
      <c r="G1307" s="288" t="s">
        <v>4024</v>
      </c>
    </row>
    <row r="1308" ht="15.0" customHeight="1">
      <c r="A1308" s="253" t="s">
        <v>4024</v>
      </c>
      <c r="B1308" s="253" t="s">
        <v>9277</v>
      </c>
      <c r="C1308" s="148" t="s">
        <v>11662</v>
      </c>
      <c r="D1308" s="191"/>
      <c r="E1308" s="191" t="s">
        <v>11663</v>
      </c>
      <c r="F1308" s="162">
        <v>2.0</v>
      </c>
      <c r="G1308" s="288" t="s">
        <v>4024</v>
      </c>
    </row>
    <row r="1309" ht="15.0" customHeight="1">
      <c r="A1309" s="253" t="s">
        <v>4024</v>
      </c>
      <c r="B1309" s="253" t="s">
        <v>9277</v>
      </c>
      <c r="C1309" s="148" t="s">
        <v>11664</v>
      </c>
      <c r="D1309" s="191"/>
      <c r="E1309" s="191" t="s">
        <v>11665</v>
      </c>
      <c r="F1309" s="162">
        <v>1.33</v>
      </c>
      <c r="G1309" s="288" t="s">
        <v>4024</v>
      </c>
    </row>
    <row r="1310" ht="15.0" customHeight="1">
      <c r="A1310" s="253" t="s">
        <v>4024</v>
      </c>
      <c r="B1310" s="253" t="s">
        <v>9277</v>
      </c>
      <c r="C1310" s="148" t="s">
        <v>11666</v>
      </c>
      <c r="D1310" s="191"/>
      <c r="E1310" s="191" t="s">
        <v>11667</v>
      </c>
      <c r="F1310" s="162">
        <v>22.66</v>
      </c>
      <c r="G1310" s="288" t="s">
        <v>4024</v>
      </c>
    </row>
    <row r="1311" ht="15.0" customHeight="1">
      <c r="A1311" s="253" t="s">
        <v>4024</v>
      </c>
      <c r="B1311" s="253" t="s">
        <v>9277</v>
      </c>
      <c r="C1311" s="148" t="s">
        <v>11668</v>
      </c>
      <c r="D1311" s="191"/>
      <c r="E1311" s="191" t="s">
        <v>11669</v>
      </c>
      <c r="F1311" s="162">
        <v>23.0</v>
      </c>
      <c r="G1311" s="288" t="s">
        <v>4024</v>
      </c>
    </row>
    <row r="1312" ht="15.0" customHeight="1">
      <c r="A1312" s="253" t="s">
        <v>4024</v>
      </c>
      <c r="B1312" s="253" t="s">
        <v>9277</v>
      </c>
      <c r="C1312" s="148" t="s">
        <v>11670</v>
      </c>
      <c r="D1312" s="191"/>
      <c r="E1312" s="191" t="s">
        <v>11671</v>
      </c>
      <c r="F1312" s="162">
        <v>15.0</v>
      </c>
      <c r="G1312" s="288" t="s">
        <v>4024</v>
      </c>
    </row>
    <row r="1313" ht="15.0" customHeight="1">
      <c r="A1313" s="253" t="s">
        <v>4024</v>
      </c>
      <c r="B1313" s="253" t="s">
        <v>9277</v>
      </c>
      <c r="C1313" s="148" t="s">
        <v>11672</v>
      </c>
      <c r="D1313" s="191"/>
      <c r="E1313" s="191" t="s">
        <v>11673</v>
      </c>
      <c r="F1313" s="162">
        <v>12.0</v>
      </c>
      <c r="G1313" s="288" t="s">
        <v>4024</v>
      </c>
    </row>
    <row r="1314" ht="15.0" customHeight="1">
      <c r="A1314" s="253" t="s">
        <v>4024</v>
      </c>
      <c r="B1314" s="253" t="s">
        <v>9277</v>
      </c>
      <c r="C1314" s="148" t="s">
        <v>11674</v>
      </c>
      <c r="D1314" s="191"/>
      <c r="E1314" s="191" t="s">
        <v>11675</v>
      </c>
      <c r="F1314" s="162">
        <v>121.0</v>
      </c>
      <c r="G1314" s="288" t="s">
        <v>4024</v>
      </c>
    </row>
    <row r="1315" ht="15.0" customHeight="1">
      <c r="A1315" s="224" t="s">
        <v>8128</v>
      </c>
      <c r="B1315" s="224" t="s">
        <v>94</v>
      </c>
      <c r="C1315" s="82" t="s">
        <v>11676</v>
      </c>
      <c r="D1315" s="83" t="s">
        <v>10072</v>
      </c>
      <c r="E1315" s="83" t="s">
        <v>11677</v>
      </c>
      <c r="F1315" s="92">
        <v>6.0</v>
      </c>
      <c r="G1315" s="288" t="s">
        <v>4028</v>
      </c>
    </row>
    <row r="1316" ht="15.0" customHeight="1">
      <c r="A1316" s="224" t="s">
        <v>8128</v>
      </c>
      <c r="B1316" s="224" t="s">
        <v>94</v>
      </c>
      <c r="C1316" s="82" t="s">
        <v>11678</v>
      </c>
      <c r="D1316" s="83" t="s">
        <v>10046</v>
      </c>
      <c r="E1316" s="83" t="s">
        <v>11679</v>
      </c>
      <c r="F1316" s="92">
        <v>18.0</v>
      </c>
      <c r="G1316" s="288" t="s">
        <v>4028</v>
      </c>
    </row>
    <row r="1317" ht="15.0" customHeight="1">
      <c r="A1317" s="224" t="s">
        <v>8128</v>
      </c>
      <c r="B1317" s="224" t="s">
        <v>94</v>
      </c>
      <c r="C1317" s="82" t="s">
        <v>11680</v>
      </c>
      <c r="D1317" s="83" t="s">
        <v>10072</v>
      </c>
      <c r="E1317" s="83" t="s">
        <v>11679</v>
      </c>
      <c r="F1317" s="92">
        <f>9/2</f>
        <v>4.5</v>
      </c>
      <c r="G1317" s="288" t="s">
        <v>4028</v>
      </c>
    </row>
    <row r="1318" ht="15.0" customHeight="1">
      <c r="A1318" s="224" t="s">
        <v>8128</v>
      </c>
      <c r="B1318" s="224" t="s">
        <v>94</v>
      </c>
      <c r="C1318" s="82" t="s">
        <v>11681</v>
      </c>
      <c r="D1318" s="83" t="s">
        <v>10046</v>
      </c>
      <c r="E1318" s="83" t="s">
        <v>11682</v>
      </c>
      <c r="F1318" s="92">
        <v>24.0</v>
      </c>
      <c r="G1318" s="288" t="s">
        <v>4028</v>
      </c>
    </row>
    <row r="1319" ht="15.0" customHeight="1">
      <c r="A1319" s="224" t="s">
        <v>8128</v>
      </c>
      <c r="B1319" s="224" t="s">
        <v>94</v>
      </c>
      <c r="C1319" s="82" t="s">
        <v>11683</v>
      </c>
      <c r="D1319" s="83" t="s">
        <v>10072</v>
      </c>
      <c r="E1319" s="83" t="s">
        <v>11684</v>
      </c>
      <c r="F1319" s="92">
        <v>7.5</v>
      </c>
      <c r="G1319" s="288" t="s">
        <v>4028</v>
      </c>
    </row>
    <row r="1320" ht="15.0" customHeight="1">
      <c r="A1320" s="224" t="s">
        <v>8128</v>
      </c>
      <c r="B1320" s="224" t="s">
        <v>94</v>
      </c>
      <c r="C1320" s="82" t="s">
        <v>11685</v>
      </c>
      <c r="D1320" s="83" t="s">
        <v>10046</v>
      </c>
      <c r="E1320" s="83" t="s">
        <v>11686</v>
      </c>
      <c r="F1320" s="92">
        <v>16.0</v>
      </c>
      <c r="G1320" s="288" t="s">
        <v>4028</v>
      </c>
    </row>
    <row r="1321" ht="15.0" customHeight="1">
      <c r="A1321" s="224" t="s">
        <v>8128</v>
      </c>
      <c r="B1321" s="224" t="s">
        <v>94</v>
      </c>
      <c r="C1321" s="82" t="s">
        <v>11687</v>
      </c>
      <c r="D1321" s="83" t="s">
        <v>10046</v>
      </c>
      <c r="E1321" s="83" t="s">
        <v>11688</v>
      </c>
      <c r="F1321" s="92">
        <v>4.0</v>
      </c>
      <c r="G1321" s="288" t="s">
        <v>4028</v>
      </c>
    </row>
    <row r="1322" ht="15.0" customHeight="1">
      <c r="A1322" s="224" t="s">
        <v>8731</v>
      </c>
      <c r="B1322" s="224" t="s">
        <v>94</v>
      </c>
      <c r="C1322" s="82" t="s">
        <v>11689</v>
      </c>
      <c r="D1322" s="83" t="s">
        <v>10072</v>
      </c>
      <c r="E1322" s="83" t="s">
        <v>11690</v>
      </c>
      <c r="F1322" s="92">
        <v>48.0</v>
      </c>
      <c r="G1322" s="288" t="s">
        <v>4076</v>
      </c>
    </row>
    <row r="1323" ht="15.0" customHeight="1">
      <c r="A1323" s="224" t="s">
        <v>8731</v>
      </c>
      <c r="B1323" s="224" t="s">
        <v>94</v>
      </c>
      <c r="C1323" s="82" t="s">
        <v>11691</v>
      </c>
      <c r="D1323" s="83" t="s">
        <v>10072</v>
      </c>
      <c r="E1323" s="83" t="s">
        <v>11692</v>
      </c>
      <c r="F1323" s="92">
        <v>28.66</v>
      </c>
      <c r="G1323" s="288" t="s">
        <v>4076</v>
      </c>
    </row>
    <row r="1324" ht="15.0" customHeight="1">
      <c r="A1324" s="224" t="s">
        <v>8731</v>
      </c>
      <c r="B1324" s="224" t="s">
        <v>94</v>
      </c>
      <c r="C1324" s="82" t="s">
        <v>11693</v>
      </c>
      <c r="D1324" s="83" t="s">
        <v>10046</v>
      </c>
      <c r="E1324" s="83">
        <v>13.0</v>
      </c>
      <c r="F1324" s="92">
        <v>13.0</v>
      </c>
      <c r="G1324" s="288" t="s">
        <v>4076</v>
      </c>
    </row>
    <row r="1325" ht="15.0" customHeight="1">
      <c r="A1325" s="224" t="s">
        <v>8731</v>
      </c>
      <c r="B1325" s="224" t="s">
        <v>94</v>
      </c>
      <c r="C1325" s="82" t="s">
        <v>11694</v>
      </c>
      <c r="D1325" s="83" t="s">
        <v>10072</v>
      </c>
      <c r="E1325" s="83">
        <v>7.0</v>
      </c>
      <c r="F1325" s="92">
        <v>7.0</v>
      </c>
      <c r="G1325" s="288" t="s">
        <v>4076</v>
      </c>
    </row>
    <row r="1326" ht="15.0" customHeight="1">
      <c r="A1326" s="252" t="s">
        <v>8731</v>
      </c>
      <c r="B1326" s="537" t="s">
        <v>94</v>
      </c>
      <c r="C1326" s="82" t="s">
        <v>11695</v>
      </c>
      <c r="D1326" s="83" t="s">
        <v>10072</v>
      </c>
      <c r="E1326" s="83">
        <v>1.0</v>
      </c>
      <c r="F1326" s="92">
        <v>1.0</v>
      </c>
      <c r="G1326" s="288" t="s">
        <v>4076</v>
      </c>
    </row>
    <row r="1327" ht="15.0" customHeight="1">
      <c r="A1327" s="252" t="s">
        <v>8731</v>
      </c>
      <c r="B1327" s="537" t="s">
        <v>94</v>
      </c>
      <c r="C1327" s="82" t="s">
        <v>11696</v>
      </c>
      <c r="D1327" s="83" t="s">
        <v>10072</v>
      </c>
      <c r="E1327" s="83">
        <v>7.0</v>
      </c>
      <c r="F1327" s="92">
        <v>7.0</v>
      </c>
      <c r="G1327" s="288" t="s">
        <v>4076</v>
      </c>
    </row>
    <row r="1328" ht="15.0" customHeight="1">
      <c r="A1328" s="252" t="s">
        <v>8731</v>
      </c>
      <c r="B1328" s="537" t="s">
        <v>94</v>
      </c>
      <c r="C1328" s="82" t="s">
        <v>11697</v>
      </c>
      <c r="D1328" s="83" t="s">
        <v>10046</v>
      </c>
      <c r="E1328" s="83">
        <v>13.0</v>
      </c>
      <c r="F1328" s="92">
        <v>13.0</v>
      </c>
      <c r="G1328" s="288" t="s">
        <v>4076</v>
      </c>
    </row>
    <row r="1329" ht="15.0" customHeight="1">
      <c r="A1329" s="252" t="s">
        <v>8731</v>
      </c>
      <c r="B1329" s="537" t="s">
        <v>94</v>
      </c>
      <c r="C1329" s="82" t="s">
        <v>11697</v>
      </c>
      <c r="D1329" s="83" t="s">
        <v>10072</v>
      </c>
      <c r="E1329" s="83">
        <v>7.0</v>
      </c>
      <c r="F1329" s="92">
        <v>7.0</v>
      </c>
      <c r="G1329" s="288" t="s">
        <v>4076</v>
      </c>
    </row>
    <row r="1330" ht="15.0" customHeight="1">
      <c r="A1330" s="252" t="s">
        <v>8731</v>
      </c>
      <c r="B1330" s="537" t="s">
        <v>94</v>
      </c>
      <c r="C1330" s="82" t="s">
        <v>11698</v>
      </c>
      <c r="D1330" s="83" t="s">
        <v>10072</v>
      </c>
      <c r="E1330" s="83">
        <v>7.0</v>
      </c>
      <c r="F1330" s="92">
        <v>7.0</v>
      </c>
      <c r="G1330" s="288" t="s">
        <v>4076</v>
      </c>
    </row>
    <row r="1331" ht="15.0" customHeight="1">
      <c r="A1331" s="224" t="s">
        <v>9283</v>
      </c>
      <c r="B1331" s="224" t="s">
        <v>94</v>
      </c>
      <c r="C1331" s="82" t="s">
        <v>11699</v>
      </c>
      <c r="D1331" s="83" t="s">
        <v>10305</v>
      </c>
      <c r="E1331" s="92">
        <f>35/3+(35/3)*0.25+(35/3)*0.1</f>
        <v>15.75</v>
      </c>
      <c r="F1331" s="92">
        <f t="shared" ref="F1331:F1337" si="149">E1331</f>
        <v>15.75</v>
      </c>
      <c r="G1331" s="288" t="s">
        <v>4078</v>
      </c>
    </row>
    <row r="1332" ht="15.0" customHeight="1">
      <c r="A1332" s="224" t="s">
        <v>9283</v>
      </c>
      <c r="B1332" s="224" t="s">
        <v>94</v>
      </c>
      <c r="C1332" s="82" t="s">
        <v>11700</v>
      </c>
      <c r="D1332" s="83" t="s">
        <v>10305</v>
      </c>
      <c r="E1332" s="83">
        <f>(35/3 )*2</f>
        <v>23.33333333</v>
      </c>
      <c r="F1332" s="92">
        <f t="shared" si="149"/>
        <v>23.33333333</v>
      </c>
      <c r="G1332" s="288" t="s">
        <v>4078</v>
      </c>
    </row>
    <row r="1333" ht="15.0" customHeight="1">
      <c r="A1333" s="224" t="s">
        <v>9283</v>
      </c>
      <c r="B1333" s="224" t="s">
        <v>94</v>
      </c>
      <c r="C1333" s="82" t="s">
        <v>11701</v>
      </c>
      <c r="D1333" s="83" t="s">
        <v>10305</v>
      </c>
      <c r="E1333" s="92">
        <f>30/3+(30/3)*0.25+(30/3)*0.1</f>
        <v>13.5</v>
      </c>
      <c r="F1333" s="92">
        <f t="shared" si="149"/>
        <v>13.5</v>
      </c>
      <c r="G1333" s="288" t="s">
        <v>4078</v>
      </c>
    </row>
    <row r="1334" ht="15.0" customHeight="1">
      <c r="A1334" s="224" t="s">
        <v>9283</v>
      </c>
      <c r="B1334" s="224" t="s">
        <v>94</v>
      </c>
      <c r="C1334" s="82" t="s">
        <v>11702</v>
      </c>
      <c r="D1334" s="83" t="s">
        <v>10305</v>
      </c>
      <c r="E1334" s="92">
        <f>(30/3)*1</f>
        <v>10</v>
      </c>
      <c r="F1334" s="92">
        <f t="shared" si="149"/>
        <v>10</v>
      </c>
      <c r="G1334" s="288" t="s">
        <v>4078</v>
      </c>
    </row>
    <row r="1335" ht="15.0" customHeight="1">
      <c r="A1335" s="224" t="s">
        <v>9283</v>
      </c>
      <c r="B1335" s="224" t="s">
        <v>94</v>
      </c>
      <c r="C1335" s="82" t="s">
        <v>11703</v>
      </c>
      <c r="D1335" s="83" t="s">
        <v>10305</v>
      </c>
      <c r="E1335" s="92">
        <f>18/3+(18/3)*0.25+(18/3)*0.1</f>
        <v>8.1</v>
      </c>
      <c r="F1335" s="92">
        <f t="shared" si="149"/>
        <v>8.1</v>
      </c>
      <c r="G1335" s="288" t="s">
        <v>4078</v>
      </c>
    </row>
    <row r="1336" ht="15.0" customHeight="1">
      <c r="A1336" s="224" t="s">
        <v>9283</v>
      </c>
      <c r="B1336" s="224" t="s">
        <v>94</v>
      </c>
      <c r="C1336" s="82" t="s">
        <v>11704</v>
      </c>
      <c r="D1336" s="83" t="s">
        <v>10305</v>
      </c>
      <c r="E1336" s="92">
        <f>(18/3)*1</f>
        <v>6</v>
      </c>
      <c r="F1336" s="92">
        <f t="shared" si="149"/>
        <v>6</v>
      </c>
      <c r="G1336" s="288" t="s">
        <v>4078</v>
      </c>
    </row>
    <row r="1337" ht="15.0" customHeight="1">
      <c r="A1337" s="224" t="s">
        <v>9283</v>
      </c>
      <c r="B1337" s="224" t="s">
        <v>94</v>
      </c>
      <c r="C1337" s="82" t="s">
        <v>11705</v>
      </c>
      <c r="D1337" s="83" t="s">
        <v>11706</v>
      </c>
      <c r="E1337" s="83">
        <f>((11+1)/3)*3</f>
        <v>12</v>
      </c>
      <c r="F1337" s="92">
        <f t="shared" si="149"/>
        <v>12</v>
      </c>
      <c r="G1337" s="288" t="s">
        <v>4078</v>
      </c>
    </row>
    <row r="1338" ht="15.0" customHeight="1">
      <c r="A1338" s="224" t="s">
        <v>8161</v>
      </c>
      <c r="B1338" s="224" t="s">
        <v>94</v>
      </c>
      <c r="C1338" s="82" t="s">
        <v>11707</v>
      </c>
      <c r="D1338" s="83" t="s">
        <v>10305</v>
      </c>
      <c r="E1338" s="83" t="s">
        <v>11708</v>
      </c>
      <c r="F1338" s="92">
        <v>46.48</v>
      </c>
      <c r="G1338" s="288" t="s">
        <v>5570</v>
      </c>
    </row>
    <row r="1339" ht="15.0" customHeight="1">
      <c r="A1339" s="224" t="s">
        <v>8161</v>
      </c>
      <c r="B1339" s="224" t="s">
        <v>94</v>
      </c>
      <c r="C1339" s="82" t="s">
        <v>11709</v>
      </c>
      <c r="D1339" s="83" t="s">
        <v>10305</v>
      </c>
      <c r="E1339" s="83" t="s">
        <v>11710</v>
      </c>
      <c r="F1339" s="92">
        <v>19.5</v>
      </c>
      <c r="G1339" s="288" t="s">
        <v>5570</v>
      </c>
    </row>
    <row r="1340" ht="15.0" customHeight="1">
      <c r="A1340" s="224" t="s">
        <v>8161</v>
      </c>
      <c r="B1340" s="224" t="s">
        <v>94</v>
      </c>
      <c r="C1340" s="82" t="s">
        <v>11711</v>
      </c>
      <c r="D1340" s="83" t="s">
        <v>10305</v>
      </c>
      <c r="E1340" s="83" t="s">
        <v>11712</v>
      </c>
      <c r="F1340" s="92" t="s">
        <v>11713</v>
      </c>
      <c r="G1340" s="288" t="s">
        <v>5570</v>
      </c>
    </row>
    <row r="1341" ht="15.0" customHeight="1">
      <c r="A1341" s="224" t="s">
        <v>8161</v>
      </c>
      <c r="B1341" s="224" t="s">
        <v>94</v>
      </c>
      <c r="C1341" s="82" t="s">
        <v>11714</v>
      </c>
      <c r="D1341" s="83" t="s">
        <v>10305</v>
      </c>
      <c r="E1341" s="83" t="s">
        <v>11715</v>
      </c>
      <c r="F1341" s="92">
        <v>24.72</v>
      </c>
      <c r="G1341" s="288" t="s">
        <v>5570</v>
      </c>
    </row>
    <row r="1342" ht="15.0" customHeight="1">
      <c r="A1342" s="224" t="s">
        <v>8161</v>
      </c>
      <c r="B1342" s="224" t="s">
        <v>94</v>
      </c>
      <c r="C1342" s="82" t="s">
        <v>11716</v>
      </c>
      <c r="D1342" s="83"/>
      <c r="E1342" s="83" t="s">
        <v>11717</v>
      </c>
      <c r="F1342" s="92">
        <v>14.66</v>
      </c>
      <c r="G1342" s="288" t="s">
        <v>5570</v>
      </c>
    </row>
    <row r="1343" ht="15.0" customHeight="1">
      <c r="A1343" s="224" t="s">
        <v>9284</v>
      </c>
      <c r="B1343" s="224" t="s">
        <v>957</v>
      </c>
      <c r="C1343" s="82" t="s">
        <v>11718</v>
      </c>
      <c r="D1343" s="83" t="s">
        <v>10305</v>
      </c>
      <c r="E1343" s="83">
        <f>30/3</f>
        <v>10</v>
      </c>
      <c r="F1343" s="92">
        <v>10.0</v>
      </c>
      <c r="G1343" s="288" t="s">
        <v>964</v>
      </c>
    </row>
    <row r="1344" ht="15.0" customHeight="1">
      <c r="A1344" s="224" t="s">
        <v>9284</v>
      </c>
      <c r="B1344" s="224" t="s">
        <v>957</v>
      </c>
      <c r="C1344" s="82" t="s">
        <v>11719</v>
      </c>
      <c r="D1344" s="83" t="s">
        <v>10305</v>
      </c>
      <c r="E1344" s="83">
        <f>18/3</f>
        <v>6</v>
      </c>
      <c r="F1344" s="92">
        <v>6.0</v>
      </c>
      <c r="G1344" s="288" t="s">
        <v>964</v>
      </c>
    </row>
    <row r="1345" ht="15.0" customHeight="1">
      <c r="A1345" s="224" t="s">
        <v>9284</v>
      </c>
      <c r="B1345" s="224" t="s">
        <v>957</v>
      </c>
      <c r="C1345" s="82" t="s">
        <v>11720</v>
      </c>
      <c r="D1345" s="83" t="s">
        <v>10305</v>
      </c>
      <c r="E1345" s="83">
        <f>23/3</f>
        <v>7.666666667</v>
      </c>
      <c r="F1345" s="92">
        <v>8.0</v>
      </c>
      <c r="G1345" s="288" t="s">
        <v>964</v>
      </c>
    </row>
    <row r="1346" ht="15.0" customHeight="1">
      <c r="A1346" s="224" t="s">
        <v>9284</v>
      </c>
      <c r="B1346" s="224" t="s">
        <v>957</v>
      </c>
      <c r="C1346" s="82" t="s">
        <v>11721</v>
      </c>
      <c r="D1346" s="83" t="s">
        <v>10305</v>
      </c>
      <c r="E1346" s="83">
        <f>24/3</f>
        <v>8</v>
      </c>
      <c r="F1346" s="92">
        <v>8.0</v>
      </c>
      <c r="G1346" s="288" t="s">
        <v>964</v>
      </c>
    </row>
    <row r="1347" ht="15.0" customHeight="1">
      <c r="A1347" s="224" t="s">
        <v>9284</v>
      </c>
      <c r="B1347" s="224" t="s">
        <v>957</v>
      </c>
      <c r="C1347" s="82" t="s">
        <v>11722</v>
      </c>
      <c r="D1347" s="83" t="s">
        <v>10305</v>
      </c>
      <c r="E1347" s="83">
        <f>16/3</f>
        <v>5.333333333</v>
      </c>
      <c r="F1347" s="92">
        <v>5.0</v>
      </c>
      <c r="G1347" s="288" t="s">
        <v>964</v>
      </c>
    </row>
    <row r="1348" ht="15.0" customHeight="1">
      <c r="A1348" s="224" t="s">
        <v>9284</v>
      </c>
      <c r="B1348" s="224" t="s">
        <v>957</v>
      </c>
      <c r="C1348" s="82" t="s">
        <v>11723</v>
      </c>
      <c r="D1348" s="83" t="s">
        <v>10305</v>
      </c>
      <c r="E1348" s="83">
        <f>41/3</f>
        <v>13.66666667</v>
      </c>
      <c r="F1348" s="92">
        <v>14.0</v>
      </c>
      <c r="G1348" s="288" t="s">
        <v>964</v>
      </c>
    </row>
    <row r="1349" ht="15.0" customHeight="1">
      <c r="A1349" s="224" t="s">
        <v>9284</v>
      </c>
      <c r="B1349" s="224" t="s">
        <v>957</v>
      </c>
      <c r="C1349" s="82" t="s">
        <v>11724</v>
      </c>
      <c r="D1349" s="83" t="s">
        <v>10305</v>
      </c>
      <c r="E1349" s="83">
        <f>15/3</f>
        <v>5</v>
      </c>
      <c r="F1349" s="92">
        <v>5.0</v>
      </c>
      <c r="G1349" s="288" t="s">
        <v>964</v>
      </c>
    </row>
    <row r="1350" ht="15.0" customHeight="1">
      <c r="A1350" s="224" t="s">
        <v>9284</v>
      </c>
      <c r="B1350" s="224" t="s">
        <v>957</v>
      </c>
      <c r="C1350" s="473" t="s">
        <v>11725</v>
      </c>
      <c r="D1350" s="83" t="s">
        <v>10305</v>
      </c>
      <c r="E1350" s="83">
        <f>43/3</f>
        <v>14.33333333</v>
      </c>
      <c r="F1350" s="92">
        <v>14.0</v>
      </c>
      <c r="G1350" s="288" t="s">
        <v>964</v>
      </c>
    </row>
    <row r="1351" ht="15.0" customHeight="1">
      <c r="A1351" s="224" t="s">
        <v>971</v>
      </c>
      <c r="B1351" s="224" t="s">
        <v>182</v>
      </c>
      <c r="C1351" s="82" t="s">
        <v>11726</v>
      </c>
      <c r="D1351" s="83" t="s">
        <v>10046</v>
      </c>
      <c r="E1351" s="83" t="s">
        <v>10660</v>
      </c>
      <c r="F1351" s="92">
        <v>18.66</v>
      </c>
      <c r="G1351" s="288" t="s">
        <v>971</v>
      </c>
    </row>
    <row r="1352" ht="15.0" customHeight="1">
      <c r="A1352" s="224" t="s">
        <v>971</v>
      </c>
      <c r="B1352" s="224" t="s">
        <v>182</v>
      </c>
      <c r="C1352" s="82" t="s">
        <v>11727</v>
      </c>
      <c r="D1352" s="83" t="s">
        <v>10046</v>
      </c>
      <c r="E1352" s="83" t="s">
        <v>10660</v>
      </c>
      <c r="F1352" s="92">
        <v>18.66</v>
      </c>
      <c r="G1352" s="288" t="s">
        <v>971</v>
      </c>
    </row>
    <row r="1353" ht="15.0" customHeight="1">
      <c r="A1353" s="224" t="s">
        <v>971</v>
      </c>
      <c r="B1353" s="224" t="s">
        <v>182</v>
      </c>
      <c r="C1353" s="82" t="s">
        <v>11728</v>
      </c>
      <c r="D1353" s="83" t="s">
        <v>10046</v>
      </c>
      <c r="E1353" s="83" t="s">
        <v>10660</v>
      </c>
      <c r="F1353" s="92">
        <v>4.33</v>
      </c>
      <c r="G1353" s="288" t="s">
        <v>971</v>
      </c>
    </row>
    <row r="1354" ht="15.0" customHeight="1">
      <c r="A1354" s="224" t="s">
        <v>971</v>
      </c>
      <c r="B1354" s="224" t="s">
        <v>182</v>
      </c>
      <c r="C1354" s="82" t="s">
        <v>11729</v>
      </c>
      <c r="D1354" s="83" t="s">
        <v>10046</v>
      </c>
      <c r="E1354" s="83" t="s">
        <v>10660</v>
      </c>
      <c r="F1354" s="92">
        <v>10.0</v>
      </c>
      <c r="G1354" s="288" t="s">
        <v>971</v>
      </c>
    </row>
    <row r="1355" ht="15.0" customHeight="1">
      <c r="A1355" s="224" t="s">
        <v>971</v>
      </c>
      <c r="B1355" s="224" t="s">
        <v>182</v>
      </c>
      <c r="C1355" s="82" t="s">
        <v>11730</v>
      </c>
      <c r="D1355" s="83" t="s">
        <v>10046</v>
      </c>
      <c r="E1355" s="83" t="s">
        <v>10660</v>
      </c>
      <c r="F1355" s="92">
        <v>10.0</v>
      </c>
      <c r="G1355" s="288" t="s">
        <v>971</v>
      </c>
    </row>
    <row r="1356" ht="15.0" customHeight="1">
      <c r="A1356" s="224" t="s">
        <v>971</v>
      </c>
      <c r="B1356" s="224" t="s">
        <v>182</v>
      </c>
      <c r="C1356" s="82" t="s">
        <v>11731</v>
      </c>
      <c r="D1356" s="83" t="s">
        <v>10046</v>
      </c>
      <c r="E1356" s="83" t="s">
        <v>10660</v>
      </c>
      <c r="F1356" s="92">
        <v>10.0</v>
      </c>
      <c r="G1356" s="288" t="s">
        <v>971</v>
      </c>
    </row>
    <row r="1357" ht="15.0" customHeight="1">
      <c r="A1357" s="224" t="s">
        <v>971</v>
      </c>
      <c r="B1357" s="224" t="s">
        <v>182</v>
      </c>
      <c r="C1357" s="82" t="s">
        <v>11732</v>
      </c>
      <c r="D1357" s="83" t="s">
        <v>11733</v>
      </c>
      <c r="E1357" s="83" t="s">
        <v>11734</v>
      </c>
      <c r="F1357" s="92">
        <v>28.66</v>
      </c>
      <c r="G1357" s="288" t="s">
        <v>971</v>
      </c>
    </row>
    <row r="1358" ht="15.0" customHeight="1">
      <c r="A1358" s="224" t="s">
        <v>971</v>
      </c>
      <c r="B1358" s="224" t="s">
        <v>182</v>
      </c>
      <c r="C1358" s="82" t="s">
        <v>11735</v>
      </c>
      <c r="D1358" s="83" t="s">
        <v>11736</v>
      </c>
      <c r="E1358" s="83" t="s">
        <v>11737</v>
      </c>
      <c r="F1358" s="92">
        <v>15.0</v>
      </c>
      <c r="G1358" s="288" t="s">
        <v>971</v>
      </c>
    </row>
    <row r="1359" ht="15.0" customHeight="1">
      <c r="A1359" s="538" t="s">
        <v>8241</v>
      </c>
      <c r="B1359" s="486" t="s">
        <v>94</v>
      </c>
      <c r="C1359" s="155" t="s">
        <v>11738</v>
      </c>
      <c r="D1359" s="473" t="s">
        <v>10046</v>
      </c>
      <c r="E1359" s="539">
        <v>3.66</v>
      </c>
      <c r="F1359" s="539">
        <f t="shared" ref="F1359:F1380" si="150">E1359</f>
        <v>3.66</v>
      </c>
      <c r="G1359" s="288" t="s">
        <v>1047</v>
      </c>
    </row>
    <row r="1360" ht="15.0" customHeight="1">
      <c r="A1360" s="538" t="s">
        <v>8241</v>
      </c>
      <c r="B1360" s="486" t="s">
        <v>94</v>
      </c>
      <c r="C1360" s="155" t="s">
        <v>11739</v>
      </c>
      <c r="D1360" s="473" t="s">
        <v>10046</v>
      </c>
      <c r="E1360" s="539">
        <v>3.66</v>
      </c>
      <c r="F1360" s="539">
        <f t="shared" si="150"/>
        <v>3.66</v>
      </c>
      <c r="G1360" s="288" t="s">
        <v>1047</v>
      </c>
    </row>
    <row r="1361" ht="15.0" customHeight="1">
      <c r="A1361" s="538" t="s">
        <v>8241</v>
      </c>
      <c r="B1361" s="486" t="s">
        <v>94</v>
      </c>
      <c r="C1361" s="155" t="s">
        <v>11526</v>
      </c>
      <c r="D1361" s="533" t="s">
        <v>11740</v>
      </c>
      <c r="E1361" s="465">
        <v>6.5</v>
      </c>
      <c r="F1361" s="465">
        <f t="shared" si="150"/>
        <v>6.5</v>
      </c>
      <c r="G1361" s="288" t="s">
        <v>1047</v>
      </c>
    </row>
    <row r="1362" ht="15.0" customHeight="1">
      <c r="A1362" s="538" t="s">
        <v>8241</v>
      </c>
      <c r="B1362" s="486" t="s">
        <v>94</v>
      </c>
      <c r="C1362" s="155" t="s">
        <v>11527</v>
      </c>
      <c r="D1362" s="533" t="s">
        <v>10072</v>
      </c>
      <c r="E1362" s="465">
        <v>2.5</v>
      </c>
      <c r="F1362" s="465">
        <f t="shared" si="150"/>
        <v>2.5</v>
      </c>
      <c r="G1362" s="288" t="s">
        <v>1047</v>
      </c>
    </row>
    <row r="1363" ht="15.0" customHeight="1">
      <c r="A1363" s="538" t="s">
        <v>8241</v>
      </c>
      <c r="B1363" s="486" t="s">
        <v>94</v>
      </c>
      <c r="C1363" s="155" t="s">
        <v>11741</v>
      </c>
      <c r="D1363" s="533" t="s">
        <v>10072</v>
      </c>
      <c r="E1363" s="465">
        <v>1.66</v>
      </c>
      <c r="F1363" s="465">
        <f t="shared" si="150"/>
        <v>1.66</v>
      </c>
      <c r="G1363" s="288" t="s">
        <v>1047</v>
      </c>
    </row>
    <row r="1364" ht="15.0" customHeight="1">
      <c r="A1364" s="538" t="s">
        <v>8241</v>
      </c>
      <c r="B1364" s="486" t="s">
        <v>94</v>
      </c>
      <c r="C1364" s="155" t="s">
        <v>11742</v>
      </c>
      <c r="D1364" s="533" t="s">
        <v>10072</v>
      </c>
      <c r="E1364" s="465">
        <v>4.5</v>
      </c>
      <c r="F1364" s="465">
        <f t="shared" si="150"/>
        <v>4.5</v>
      </c>
      <c r="G1364" s="288" t="s">
        <v>1047</v>
      </c>
    </row>
    <row r="1365" ht="15.0" customHeight="1">
      <c r="A1365" s="538" t="s">
        <v>8241</v>
      </c>
      <c r="B1365" s="486" t="s">
        <v>94</v>
      </c>
      <c r="C1365" s="155" t="s">
        <v>11743</v>
      </c>
      <c r="D1365" s="533" t="s">
        <v>11740</v>
      </c>
      <c r="E1365" s="465">
        <v>3.83</v>
      </c>
      <c r="F1365" s="465">
        <f t="shared" si="150"/>
        <v>3.83</v>
      </c>
      <c r="G1365" s="288" t="s">
        <v>1047</v>
      </c>
    </row>
    <row r="1366" ht="15.0" customHeight="1">
      <c r="A1366" s="538" t="s">
        <v>8241</v>
      </c>
      <c r="B1366" s="486" t="s">
        <v>94</v>
      </c>
      <c r="C1366" s="155" t="s">
        <v>11744</v>
      </c>
      <c r="D1366" s="533" t="s">
        <v>10072</v>
      </c>
      <c r="E1366" s="465">
        <v>4.5</v>
      </c>
      <c r="F1366" s="465">
        <f t="shared" si="150"/>
        <v>4.5</v>
      </c>
      <c r="G1366" s="288" t="s">
        <v>1047</v>
      </c>
    </row>
    <row r="1367" ht="15.0" customHeight="1">
      <c r="A1367" s="538" t="s">
        <v>8241</v>
      </c>
      <c r="B1367" s="486" t="s">
        <v>94</v>
      </c>
      <c r="C1367" s="155" t="s">
        <v>11745</v>
      </c>
      <c r="D1367" s="533" t="s">
        <v>10072</v>
      </c>
      <c r="E1367" s="465">
        <v>4.0</v>
      </c>
      <c r="F1367" s="465">
        <f t="shared" si="150"/>
        <v>4</v>
      </c>
      <c r="G1367" s="288" t="s">
        <v>1047</v>
      </c>
    </row>
    <row r="1368" ht="15.0" customHeight="1">
      <c r="A1368" s="538" t="s">
        <v>8241</v>
      </c>
      <c r="B1368" s="486" t="s">
        <v>94</v>
      </c>
      <c r="C1368" s="155" t="s">
        <v>11746</v>
      </c>
      <c r="D1368" s="533" t="s">
        <v>10072</v>
      </c>
      <c r="E1368" s="465">
        <v>3.33</v>
      </c>
      <c r="F1368" s="465">
        <f t="shared" si="150"/>
        <v>3.33</v>
      </c>
      <c r="G1368" s="288" t="s">
        <v>1047</v>
      </c>
    </row>
    <row r="1369" ht="15.0" customHeight="1">
      <c r="A1369" s="538" t="s">
        <v>8241</v>
      </c>
      <c r="B1369" s="486" t="s">
        <v>94</v>
      </c>
      <c r="C1369" s="155" t="s">
        <v>11747</v>
      </c>
      <c r="D1369" s="533" t="s">
        <v>11740</v>
      </c>
      <c r="E1369" s="465">
        <v>1.66</v>
      </c>
      <c r="F1369" s="465">
        <f t="shared" si="150"/>
        <v>1.66</v>
      </c>
      <c r="G1369" s="288" t="s">
        <v>1047</v>
      </c>
    </row>
    <row r="1370" ht="15.0" customHeight="1">
      <c r="A1370" s="538" t="s">
        <v>8241</v>
      </c>
      <c r="B1370" s="486" t="s">
        <v>94</v>
      </c>
      <c r="C1370" s="155" t="s">
        <v>11530</v>
      </c>
      <c r="D1370" s="533" t="s">
        <v>10072</v>
      </c>
      <c r="E1370" s="465">
        <v>5.33</v>
      </c>
      <c r="F1370" s="465">
        <f t="shared" si="150"/>
        <v>5.33</v>
      </c>
      <c r="G1370" s="288" t="s">
        <v>1047</v>
      </c>
    </row>
    <row r="1371" ht="15.0" customHeight="1">
      <c r="A1371" s="538" t="s">
        <v>8241</v>
      </c>
      <c r="B1371" s="486" t="s">
        <v>94</v>
      </c>
      <c r="C1371" s="155" t="s">
        <v>11748</v>
      </c>
      <c r="D1371" s="533" t="s">
        <v>10072</v>
      </c>
      <c r="E1371" s="465">
        <v>3.5</v>
      </c>
      <c r="F1371" s="465">
        <f t="shared" si="150"/>
        <v>3.5</v>
      </c>
      <c r="G1371" s="288" t="s">
        <v>1047</v>
      </c>
    </row>
    <row r="1372" ht="15.0" customHeight="1">
      <c r="A1372" s="538" t="s">
        <v>8241</v>
      </c>
      <c r="B1372" s="486" t="s">
        <v>94</v>
      </c>
      <c r="C1372" s="155" t="s">
        <v>11749</v>
      </c>
      <c r="D1372" s="533" t="s">
        <v>10072</v>
      </c>
      <c r="E1372" s="465">
        <v>3.33</v>
      </c>
      <c r="F1372" s="465">
        <f t="shared" si="150"/>
        <v>3.33</v>
      </c>
      <c r="G1372" s="288" t="s">
        <v>1047</v>
      </c>
    </row>
    <row r="1373" ht="15.0" customHeight="1">
      <c r="A1373" s="538" t="s">
        <v>8241</v>
      </c>
      <c r="B1373" s="486" t="s">
        <v>94</v>
      </c>
      <c r="C1373" s="155" t="s">
        <v>11750</v>
      </c>
      <c r="D1373" s="533" t="s">
        <v>10072</v>
      </c>
      <c r="E1373" s="465">
        <v>4.5</v>
      </c>
      <c r="F1373" s="465">
        <f t="shared" si="150"/>
        <v>4.5</v>
      </c>
      <c r="G1373" s="288" t="s">
        <v>1047</v>
      </c>
    </row>
    <row r="1374" ht="15.0" customHeight="1">
      <c r="A1374" s="538" t="s">
        <v>8241</v>
      </c>
      <c r="B1374" s="486" t="s">
        <v>94</v>
      </c>
      <c r="C1374" s="155" t="s">
        <v>11751</v>
      </c>
      <c r="D1374" s="533" t="s">
        <v>10072</v>
      </c>
      <c r="E1374" s="465">
        <v>4.0</v>
      </c>
      <c r="F1374" s="465">
        <f t="shared" si="150"/>
        <v>4</v>
      </c>
      <c r="G1374" s="288" t="s">
        <v>1047</v>
      </c>
    </row>
    <row r="1375" ht="15.0" customHeight="1">
      <c r="A1375" s="224" t="s">
        <v>9029</v>
      </c>
      <c r="B1375" s="253" t="s">
        <v>94</v>
      </c>
      <c r="C1375" s="82" t="s">
        <v>11752</v>
      </c>
      <c r="D1375" s="83" t="s">
        <v>10305</v>
      </c>
      <c r="E1375" s="92">
        <f t="shared" ref="E1375:E1376" si="151">18/3</f>
        <v>6</v>
      </c>
      <c r="F1375" s="92">
        <f t="shared" si="150"/>
        <v>6</v>
      </c>
      <c r="G1375" s="288" t="s">
        <v>4343</v>
      </c>
    </row>
    <row r="1376" ht="15.0" customHeight="1">
      <c r="A1376" s="224" t="s">
        <v>9029</v>
      </c>
      <c r="B1376" s="253" t="s">
        <v>94</v>
      </c>
      <c r="C1376" s="82" t="s">
        <v>11753</v>
      </c>
      <c r="D1376" s="83" t="s">
        <v>10305</v>
      </c>
      <c r="E1376" s="92">
        <f t="shared" si="151"/>
        <v>6</v>
      </c>
      <c r="F1376" s="92">
        <f t="shared" si="150"/>
        <v>6</v>
      </c>
      <c r="G1376" s="288" t="s">
        <v>4343</v>
      </c>
    </row>
    <row r="1377" ht="15.0" customHeight="1">
      <c r="A1377" s="224" t="s">
        <v>9029</v>
      </c>
      <c r="B1377" s="253" t="s">
        <v>94</v>
      </c>
      <c r="C1377" s="82" t="s">
        <v>11754</v>
      </c>
      <c r="D1377" s="83" t="s">
        <v>10305</v>
      </c>
      <c r="E1377" s="92">
        <f t="shared" ref="E1377:E1378" si="152">41/3</f>
        <v>13.66666667</v>
      </c>
      <c r="F1377" s="92">
        <f t="shared" si="150"/>
        <v>13.66666667</v>
      </c>
      <c r="G1377" s="288" t="s">
        <v>4343</v>
      </c>
    </row>
    <row r="1378" ht="15.0" customHeight="1">
      <c r="A1378" s="224" t="s">
        <v>9029</v>
      </c>
      <c r="B1378" s="253" t="s">
        <v>94</v>
      </c>
      <c r="C1378" s="82" t="s">
        <v>11755</v>
      </c>
      <c r="D1378" s="83" t="s">
        <v>10305</v>
      </c>
      <c r="E1378" s="92">
        <f t="shared" si="152"/>
        <v>13.66666667</v>
      </c>
      <c r="F1378" s="92">
        <f t="shared" si="150"/>
        <v>13.66666667</v>
      </c>
      <c r="G1378" s="288" t="s">
        <v>4343</v>
      </c>
    </row>
    <row r="1379" ht="15.0" customHeight="1">
      <c r="A1379" s="224" t="s">
        <v>9029</v>
      </c>
      <c r="B1379" s="253" t="s">
        <v>94</v>
      </c>
      <c r="C1379" s="82" t="s">
        <v>11756</v>
      </c>
      <c r="D1379" s="83" t="s">
        <v>10305</v>
      </c>
      <c r="E1379" s="92">
        <f t="shared" ref="E1379:E1380" si="153">23/3</f>
        <v>7.666666667</v>
      </c>
      <c r="F1379" s="92">
        <f t="shared" si="150"/>
        <v>7.666666667</v>
      </c>
      <c r="G1379" s="288" t="s">
        <v>4343</v>
      </c>
    </row>
    <row r="1380" ht="15.0" customHeight="1">
      <c r="A1380" s="224" t="s">
        <v>9029</v>
      </c>
      <c r="B1380" s="253" t="s">
        <v>94</v>
      </c>
      <c r="C1380" s="82" t="s">
        <v>11756</v>
      </c>
      <c r="D1380" s="83" t="s">
        <v>10305</v>
      </c>
      <c r="E1380" s="92">
        <f t="shared" si="153"/>
        <v>7.666666667</v>
      </c>
      <c r="F1380" s="92">
        <f t="shared" si="150"/>
        <v>7.666666667</v>
      </c>
      <c r="G1380" s="288" t="s">
        <v>4343</v>
      </c>
    </row>
    <row r="1381" ht="15.0" customHeight="1">
      <c r="A1381" s="224" t="s">
        <v>9029</v>
      </c>
      <c r="B1381" s="253" t="s">
        <v>94</v>
      </c>
      <c r="C1381" s="82" t="s">
        <v>11757</v>
      </c>
      <c r="D1381" s="83" t="s">
        <v>8507</v>
      </c>
      <c r="E1381" s="92">
        <f>22/3</f>
        <v>7.333333333</v>
      </c>
      <c r="F1381" s="92">
        <f>E1381*2</f>
        <v>14.66666667</v>
      </c>
      <c r="G1381" s="288" t="s">
        <v>4343</v>
      </c>
    </row>
    <row r="1382" ht="15.0" customHeight="1">
      <c r="A1382" s="224" t="s">
        <v>9029</v>
      </c>
      <c r="B1382" s="253" t="s">
        <v>94</v>
      </c>
      <c r="C1382" s="82" t="s">
        <v>11758</v>
      </c>
      <c r="D1382" s="83" t="s">
        <v>8507</v>
      </c>
      <c r="E1382" s="92">
        <f>12/3</f>
        <v>4</v>
      </c>
      <c r="F1382" s="92">
        <f t="shared" ref="F1382:F1383" si="154">E1382*3</f>
        <v>12</v>
      </c>
      <c r="G1382" s="288" t="s">
        <v>4343</v>
      </c>
    </row>
    <row r="1383" ht="15.0" customHeight="1">
      <c r="A1383" s="224" t="s">
        <v>9029</v>
      </c>
      <c r="B1383" s="253" t="s">
        <v>94</v>
      </c>
      <c r="C1383" s="82" t="s">
        <v>11759</v>
      </c>
      <c r="D1383" s="83" t="s">
        <v>8507</v>
      </c>
      <c r="E1383" s="92">
        <f>15/3</f>
        <v>5</v>
      </c>
      <c r="F1383" s="92">
        <f t="shared" si="154"/>
        <v>15</v>
      </c>
      <c r="G1383" s="288" t="s">
        <v>4343</v>
      </c>
    </row>
    <row r="1384" ht="15.0" customHeight="1">
      <c r="A1384" s="224" t="s">
        <v>9029</v>
      </c>
      <c r="B1384" s="253" t="s">
        <v>94</v>
      </c>
      <c r="C1384" s="82" t="s">
        <v>11760</v>
      </c>
      <c r="D1384" s="83" t="s">
        <v>8507</v>
      </c>
      <c r="E1384" s="83">
        <f>71/3</f>
        <v>23.66666667</v>
      </c>
      <c r="F1384" s="92">
        <f t="shared" ref="F1384:F1385" si="155">E1384*2</f>
        <v>47.33333333</v>
      </c>
      <c r="G1384" s="288" t="s">
        <v>4343</v>
      </c>
    </row>
    <row r="1385" ht="15.0" customHeight="1">
      <c r="A1385" s="224" t="s">
        <v>9029</v>
      </c>
      <c r="B1385" s="253" t="s">
        <v>94</v>
      </c>
      <c r="C1385" s="82" t="s">
        <v>11761</v>
      </c>
      <c r="D1385" s="83" t="s">
        <v>8507</v>
      </c>
      <c r="E1385" s="83">
        <f>43/3</f>
        <v>14.33333333</v>
      </c>
      <c r="F1385" s="92">
        <f t="shared" si="155"/>
        <v>28.66666667</v>
      </c>
      <c r="G1385" s="288" t="s">
        <v>4343</v>
      </c>
    </row>
    <row r="1386" ht="15.0" customHeight="1">
      <c r="A1386" s="519" t="s">
        <v>9289</v>
      </c>
      <c r="B1386" s="30" t="s">
        <v>94</v>
      </c>
      <c r="C1386" s="381" t="s">
        <v>11762</v>
      </c>
      <c r="D1386" s="83" t="s">
        <v>11485</v>
      </c>
      <c r="E1386" s="275">
        <v>14.0</v>
      </c>
      <c r="F1386" s="539">
        <f t="shared" ref="F1386:F1400" si="156">E1386/3</f>
        <v>4.666666667</v>
      </c>
      <c r="G1386" s="288" t="s">
        <v>5745</v>
      </c>
    </row>
    <row r="1387" ht="15.0" customHeight="1">
      <c r="A1387" s="519" t="s">
        <v>9289</v>
      </c>
      <c r="B1387" s="30" t="s">
        <v>94</v>
      </c>
      <c r="C1387" s="381" t="s">
        <v>11762</v>
      </c>
      <c r="D1387" s="83" t="s">
        <v>11485</v>
      </c>
      <c r="E1387" s="275">
        <v>14.0</v>
      </c>
      <c r="F1387" s="539">
        <f t="shared" si="156"/>
        <v>4.666666667</v>
      </c>
      <c r="G1387" s="288" t="s">
        <v>5745</v>
      </c>
    </row>
    <row r="1388" ht="15.0" customHeight="1">
      <c r="A1388" s="519" t="s">
        <v>9289</v>
      </c>
      <c r="B1388" s="30" t="s">
        <v>94</v>
      </c>
      <c r="C1388" s="381" t="s">
        <v>11763</v>
      </c>
      <c r="D1388" s="83" t="s">
        <v>11485</v>
      </c>
      <c r="E1388" s="275">
        <v>14.0</v>
      </c>
      <c r="F1388" s="539">
        <f t="shared" si="156"/>
        <v>4.666666667</v>
      </c>
      <c r="G1388" s="288" t="s">
        <v>5745</v>
      </c>
    </row>
    <row r="1389" ht="15.0" customHeight="1">
      <c r="A1389" s="519" t="s">
        <v>9289</v>
      </c>
      <c r="B1389" s="30" t="s">
        <v>94</v>
      </c>
      <c r="C1389" s="381" t="s">
        <v>11764</v>
      </c>
      <c r="D1389" s="83" t="s">
        <v>11485</v>
      </c>
      <c r="E1389" s="275">
        <v>17.0</v>
      </c>
      <c r="F1389" s="539">
        <f t="shared" si="156"/>
        <v>5.666666667</v>
      </c>
      <c r="G1389" s="288" t="s">
        <v>5745</v>
      </c>
    </row>
    <row r="1390" ht="15.0" customHeight="1">
      <c r="A1390" s="519" t="s">
        <v>9289</v>
      </c>
      <c r="B1390" s="30" t="s">
        <v>94</v>
      </c>
      <c r="C1390" s="381" t="s">
        <v>11765</v>
      </c>
      <c r="D1390" s="83" t="s">
        <v>11485</v>
      </c>
      <c r="E1390" s="275">
        <v>17.0</v>
      </c>
      <c r="F1390" s="539">
        <f t="shared" si="156"/>
        <v>5.666666667</v>
      </c>
      <c r="G1390" s="288" t="s">
        <v>5745</v>
      </c>
    </row>
    <row r="1391" ht="15.0" customHeight="1">
      <c r="A1391" s="519" t="s">
        <v>9289</v>
      </c>
      <c r="B1391" s="30" t="s">
        <v>94</v>
      </c>
      <c r="C1391" s="381" t="s">
        <v>11766</v>
      </c>
      <c r="D1391" s="83" t="s">
        <v>11485</v>
      </c>
      <c r="E1391" s="275">
        <v>12.0</v>
      </c>
      <c r="F1391" s="539">
        <f t="shared" si="156"/>
        <v>4</v>
      </c>
      <c r="G1391" s="288" t="s">
        <v>5745</v>
      </c>
    </row>
    <row r="1392" ht="15.0" customHeight="1">
      <c r="A1392" s="519" t="s">
        <v>9289</v>
      </c>
      <c r="B1392" s="30" t="s">
        <v>94</v>
      </c>
      <c r="C1392" s="381" t="s">
        <v>11766</v>
      </c>
      <c r="D1392" s="83" t="s">
        <v>11485</v>
      </c>
      <c r="E1392" s="275">
        <v>43.0</v>
      </c>
      <c r="F1392" s="539">
        <f t="shared" si="156"/>
        <v>14.33333333</v>
      </c>
      <c r="G1392" s="288" t="s">
        <v>5745</v>
      </c>
    </row>
    <row r="1393" ht="15.0" customHeight="1">
      <c r="A1393" s="519" t="s">
        <v>9289</v>
      </c>
      <c r="B1393" s="30" t="s">
        <v>94</v>
      </c>
      <c r="C1393" s="381" t="s">
        <v>11766</v>
      </c>
      <c r="D1393" s="83" t="s">
        <v>11485</v>
      </c>
      <c r="E1393" s="275">
        <v>13.0</v>
      </c>
      <c r="F1393" s="539">
        <f t="shared" si="156"/>
        <v>4.333333333</v>
      </c>
      <c r="G1393" s="288" t="s">
        <v>5745</v>
      </c>
    </row>
    <row r="1394" ht="15.0" customHeight="1">
      <c r="A1394" s="519" t="s">
        <v>9289</v>
      </c>
      <c r="B1394" s="30" t="s">
        <v>94</v>
      </c>
      <c r="C1394" s="381" t="s">
        <v>11766</v>
      </c>
      <c r="D1394" s="83" t="s">
        <v>11485</v>
      </c>
      <c r="E1394" s="275">
        <v>16.0</v>
      </c>
      <c r="F1394" s="539">
        <f t="shared" si="156"/>
        <v>5.333333333</v>
      </c>
      <c r="G1394" s="288" t="s">
        <v>5745</v>
      </c>
    </row>
    <row r="1395" ht="15.0" customHeight="1">
      <c r="A1395" s="519" t="s">
        <v>9289</v>
      </c>
      <c r="B1395" s="30" t="s">
        <v>94</v>
      </c>
      <c r="C1395" s="381" t="s">
        <v>11766</v>
      </c>
      <c r="D1395" s="83" t="s">
        <v>11485</v>
      </c>
      <c r="E1395" s="275">
        <v>25.0</v>
      </c>
      <c r="F1395" s="539">
        <f t="shared" si="156"/>
        <v>8.333333333</v>
      </c>
      <c r="G1395" s="288" t="s">
        <v>5745</v>
      </c>
    </row>
    <row r="1396" ht="15.0" customHeight="1">
      <c r="A1396" s="519" t="s">
        <v>9289</v>
      </c>
      <c r="B1396" s="30" t="s">
        <v>94</v>
      </c>
      <c r="C1396" s="381" t="s">
        <v>11767</v>
      </c>
      <c r="D1396" s="83" t="s">
        <v>11485</v>
      </c>
      <c r="E1396" s="275">
        <v>13.0</v>
      </c>
      <c r="F1396" s="539">
        <f t="shared" si="156"/>
        <v>4.333333333</v>
      </c>
      <c r="G1396" s="288" t="s">
        <v>5745</v>
      </c>
    </row>
    <row r="1397" ht="15.0" customHeight="1">
      <c r="A1397" s="519" t="s">
        <v>9289</v>
      </c>
      <c r="B1397" s="30" t="s">
        <v>94</v>
      </c>
      <c r="C1397" s="381" t="s">
        <v>11768</v>
      </c>
      <c r="D1397" s="83" t="s">
        <v>11485</v>
      </c>
      <c r="E1397" s="275">
        <v>17.0</v>
      </c>
      <c r="F1397" s="539">
        <f t="shared" si="156"/>
        <v>5.666666667</v>
      </c>
      <c r="G1397" s="288" t="s">
        <v>5745</v>
      </c>
    </row>
    <row r="1398" ht="15.0" customHeight="1">
      <c r="A1398" s="519" t="s">
        <v>9289</v>
      </c>
      <c r="B1398" s="30" t="s">
        <v>94</v>
      </c>
      <c r="C1398" s="381" t="s">
        <v>11769</v>
      </c>
      <c r="D1398" s="83" t="s">
        <v>11485</v>
      </c>
      <c r="E1398" s="275">
        <v>12.0</v>
      </c>
      <c r="F1398" s="539">
        <f t="shared" si="156"/>
        <v>4</v>
      </c>
      <c r="G1398" s="288" t="s">
        <v>5745</v>
      </c>
    </row>
    <row r="1399" ht="15.0" customHeight="1">
      <c r="A1399" s="519" t="s">
        <v>9289</v>
      </c>
      <c r="B1399" s="30" t="s">
        <v>94</v>
      </c>
      <c r="C1399" s="381" t="s">
        <v>11770</v>
      </c>
      <c r="D1399" s="83" t="s">
        <v>11485</v>
      </c>
      <c r="E1399" s="275">
        <v>17.0</v>
      </c>
      <c r="F1399" s="539">
        <f t="shared" si="156"/>
        <v>5.666666667</v>
      </c>
      <c r="G1399" s="288" t="s">
        <v>5745</v>
      </c>
    </row>
    <row r="1400" ht="15.0" customHeight="1">
      <c r="A1400" s="519" t="s">
        <v>9289</v>
      </c>
      <c r="B1400" s="30" t="s">
        <v>94</v>
      </c>
      <c r="C1400" s="381" t="s">
        <v>11771</v>
      </c>
      <c r="D1400" s="83" t="s">
        <v>11485</v>
      </c>
      <c r="E1400" s="275">
        <v>14.0</v>
      </c>
      <c r="F1400" s="539">
        <f t="shared" si="156"/>
        <v>4.666666667</v>
      </c>
      <c r="G1400" s="288" t="s">
        <v>5745</v>
      </c>
    </row>
    <row r="1401" ht="15.0" customHeight="1">
      <c r="A1401" s="519" t="s">
        <v>9289</v>
      </c>
      <c r="B1401" s="30" t="s">
        <v>94</v>
      </c>
      <c r="C1401" s="381" t="s">
        <v>10879</v>
      </c>
      <c r="D1401" s="83" t="s">
        <v>11772</v>
      </c>
      <c r="E1401" s="275" t="s">
        <v>10881</v>
      </c>
      <c r="F1401" s="539">
        <v>2.33</v>
      </c>
      <c r="G1401" s="288" t="s">
        <v>5745</v>
      </c>
    </row>
    <row r="1402" ht="15.0" customHeight="1">
      <c r="A1402" s="519" t="s">
        <v>9289</v>
      </c>
      <c r="B1402" s="30" t="s">
        <v>94</v>
      </c>
      <c r="C1402" s="381" t="s">
        <v>10882</v>
      </c>
      <c r="D1402" s="83" t="s">
        <v>11772</v>
      </c>
      <c r="E1402" s="275" t="s">
        <v>10884</v>
      </c>
      <c r="F1402" s="539">
        <v>1.33</v>
      </c>
      <c r="G1402" s="288" t="s">
        <v>5745</v>
      </c>
    </row>
    <row r="1403" ht="15.0" customHeight="1">
      <c r="A1403" s="519" t="s">
        <v>9289</v>
      </c>
      <c r="B1403" s="30" t="s">
        <v>94</v>
      </c>
      <c r="C1403" s="381" t="s">
        <v>10885</v>
      </c>
      <c r="D1403" s="83" t="s">
        <v>11772</v>
      </c>
      <c r="E1403" s="275" t="s">
        <v>10887</v>
      </c>
      <c r="F1403" s="539">
        <v>3.33</v>
      </c>
      <c r="G1403" s="288" t="s">
        <v>5745</v>
      </c>
    </row>
    <row r="1404" ht="15.0" customHeight="1">
      <c r="A1404" s="519" t="s">
        <v>9289</v>
      </c>
      <c r="B1404" s="30" t="s">
        <v>94</v>
      </c>
      <c r="C1404" s="381" t="s">
        <v>10888</v>
      </c>
      <c r="D1404" s="83" t="s">
        <v>11772</v>
      </c>
      <c r="E1404" s="275" t="s">
        <v>10889</v>
      </c>
      <c r="F1404" s="539">
        <v>0.16</v>
      </c>
      <c r="G1404" s="288" t="s">
        <v>5745</v>
      </c>
    </row>
    <row r="1405" ht="15.0" customHeight="1">
      <c r="A1405" s="224" t="s">
        <v>9290</v>
      </c>
      <c r="B1405" s="224" t="s">
        <v>182</v>
      </c>
      <c r="C1405" s="82" t="s">
        <v>11773</v>
      </c>
      <c r="D1405" s="83"/>
      <c r="E1405" s="92">
        <f>27/3</f>
        <v>9</v>
      </c>
      <c r="F1405" s="92">
        <v>9.0</v>
      </c>
      <c r="G1405" s="288" t="s">
        <v>4352</v>
      </c>
    </row>
    <row r="1406" ht="15.0" customHeight="1">
      <c r="A1406" s="224" t="s">
        <v>9290</v>
      </c>
      <c r="B1406" s="224" t="s">
        <v>182</v>
      </c>
      <c r="C1406" s="82" t="s">
        <v>11774</v>
      </c>
      <c r="D1406" s="83"/>
      <c r="E1406" s="92">
        <f>24/3</f>
        <v>8</v>
      </c>
      <c r="F1406" s="92">
        <v>8.0</v>
      </c>
      <c r="G1406" s="288" t="s">
        <v>4352</v>
      </c>
    </row>
    <row r="1407" ht="15.0" customHeight="1">
      <c r="A1407" s="224" t="s">
        <v>9290</v>
      </c>
      <c r="B1407" s="224" t="s">
        <v>182</v>
      </c>
      <c r="C1407" s="82" t="s">
        <v>11775</v>
      </c>
      <c r="D1407" s="83" t="s">
        <v>10072</v>
      </c>
      <c r="E1407" s="92">
        <f>(27*25%)/3*0.5</f>
        <v>1.125</v>
      </c>
      <c r="F1407" s="92">
        <v>1.13</v>
      </c>
      <c r="G1407" s="288" t="s">
        <v>4352</v>
      </c>
    </row>
    <row r="1408" ht="15.0" customHeight="1">
      <c r="A1408" s="224" t="s">
        <v>9290</v>
      </c>
      <c r="B1408" s="224" t="s">
        <v>182</v>
      </c>
      <c r="C1408" s="82" t="s">
        <v>11776</v>
      </c>
      <c r="D1408" s="83" t="s">
        <v>10072</v>
      </c>
      <c r="E1408" s="92">
        <f>(24*25%)/3*0.5</f>
        <v>1</v>
      </c>
      <c r="F1408" s="92">
        <v>1.0</v>
      </c>
      <c r="G1408" s="288" t="s">
        <v>4352</v>
      </c>
    </row>
    <row r="1409" ht="15.0" customHeight="1">
      <c r="A1409" s="224" t="s">
        <v>9290</v>
      </c>
      <c r="B1409" s="224" t="s">
        <v>182</v>
      </c>
      <c r="C1409" s="82" t="s">
        <v>11777</v>
      </c>
      <c r="D1409" s="83" t="s">
        <v>10072</v>
      </c>
      <c r="E1409" s="92">
        <f>(15*25%)/3*0.5</f>
        <v>0.625</v>
      </c>
      <c r="F1409" s="92">
        <v>0.63</v>
      </c>
      <c r="G1409" s="288" t="s">
        <v>4352</v>
      </c>
    </row>
    <row r="1410" ht="15.0" customHeight="1">
      <c r="A1410" s="224" t="s">
        <v>9290</v>
      </c>
      <c r="B1410" s="224" t="s">
        <v>182</v>
      </c>
      <c r="C1410" s="82" t="s">
        <v>11778</v>
      </c>
      <c r="D1410" s="83" t="s">
        <v>10072</v>
      </c>
      <c r="E1410" s="92">
        <f>(24*25%)/3*0.5</f>
        <v>1</v>
      </c>
      <c r="F1410" s="92">
        <v>1.0</v>
      </c>
      <c r="G1410" s="288" t="s">
        <v>4352</v>
      </c>
    </row>
    <row r="1411" ht="15.0" customHeight="1">
      <c r="A1411" s="224" t="s">
        <v>9290</v>
      </c>
      <c r="B1411" s="224" t="s">
        <v>182</v>
      </c>
      <c r="C1411" s="82" t="s">
        <v>11779</v>
      </c>
      <c r="D1411" s="83" t="s">
        <v>10046</v>
      </c>
      <c r="E1411" s="92">
        <f t="shared" ref="E1411:E1414" si="157">11/3</f>
        <v>3.666666667</v>
      </c>
      <c r="F1411" s="92">
        <v>3.67</v>
      </c>
      <c r="G1411" s="288" t="s">
        <v>4352</v>
      </c>
    </row>
    <row r="1412" ht="15.0" customHeight="1">
      <c r="A1412" s="224" t="s">
        <v>9290</v>
      </c>
      <c r="B1412" s="224" t="s">
        <v>182</v>
      </c>
      <c r="C1412" s="82" t="s">
        <v>11780</v>
      </c>
      <c r="D1412" s="83" t="s">
        <v>10046</v>
      </c>
      <c r="E1412" s="92">
        <f t="shared" si="157"/>
        <v>3.666666667</v>
      </c>
      <c r="F1412" s="92">
        <v>3.67</v>
      </c>
      <c r="G1412" s="288" t="s">
        <v>4352</v>
      </c>
    </row>
    <row r="1413" ht="15.0" customHeight="1">
      <c r="A1413" s="224" t="s">
        <v>9290</v>
      </c>
      <c r="B1413" s="224" t="s">
        <v>182</v>
      </c>
      <c r="C1413" s="82" t="s">
        <v>11781</v>
      </c>
      <c r="D1413" s="83" t="s">
        <v>10046</v>
      </c>
      <c r="E1413" s="92">
        <f t="shared" si="157"/>
        <v>3.666666667</v>
      </c>
      <c r="F1413" s="92">
        <v>3.67</v>
      </c>
      <c r="G1413" s="288" t="s">
        <v>4352</v>
      </c>
    </row>
    <row r="1414" ht="15.0" customHeight="1">
      <c r="A1414" s="416" t="s">
        <v>9290</v>
      </c>
      <c r="B1414" s="416" t="s">
        <v>182</v>
      </c>
      <c r="C1414" s="352" t="s">
        <v>11782</v>
      </c>
      <c r="D1414" s="489" t="s">
        <v>10046</v>
      </c>
      <c r="E1414" s="419">
        <f t="shared" si="157"/>
        <v>3.666666667</v>
      </c>
      <c r="F1414" s="92">
        <v>3.67</v>
      </c>
      <c r="G1414" s="288" t="s">
        <v>4352</v>
      </c>
    </row>
    <row r="1415" ht="15.0" customHeight="1">
      <c r="A1415" s="416" t="s">
        <v>9290</v>
      </c>
      <c r="B1415" s="416" t="s">
        <v>182</v>
      </c>
      <c r="C1415" s="82" t="s">
        <v>11783</v>
      </c>
      <c r="D1415" s="83"/>
      <c r="E1415" s="92">
        <f t="shared" ref="E1415:E1416" si="158">21/3</f>
        <v>7</v>
      </c>
      <c r="F1415" s="92">
        <v>7.0</v>
      </c>
      <c r="G1415" s="288" t="s">
        <v>4352</v>
      </c>
    </row>
    <row r="1416" ht="15.0" customHeight="1">
      <c r="A1416" s="416" t="s">
        <v>9290</v>
      </c>
      <c r="B1416" s="416" t="s">
        <v>182</v>
      </c>
      <c r="C1416" s="82" t="s">
        <v>11784</v>
      </c>
      <c r="D1416" s="489"/>
      <c r="E1416" s="419">
        <f t="shared" si="158"/>
        <v>7</v>
      </c>
      <c r="F1416" s="419">
        <v>7.0</v>
      </c>
      <c r="G1416" s="288" t="s">
        <v>4352</v>
      </c>
    </row>
    <row r="1417" ht="15.0" customHeight="1">
      <c r="A1417" s="224" t="s">
        <v>9034</v>
      </c>
      <c r="B1417" s="224" t="s">
        <v>147</v>
      </c>
      <c r="C1417" s="82" t="s">
        <v>11785</v>
      </c>
      <c r="D1417" s="83" t="s">
        <v>11786</v>
      </c>
      <c r="E1417" s="83">
        <v>12.0</v>
      </c>
      <c r="F1417" s="274">
        <v>12.0</v>
      </c>
      <c r="G1417" s="473" t="s">
        <v>153</v>
      </c>
    </row>
    <row r="1418" ht="15.0" customHeight="1">
      <c r="A1418" s="224" t="s">
        <v>9034</v>
      </c>
      <c r="B1418" s="224" t="s">
        <v>147</v>
      </c>
      <c r="C1418" s="82" t="s">
        <v>11787</v>
      </c>
      <c r="D1418" s="83" t="s">
        <v>11788</v>
      </c>
      <c r="E1418" s="83">
        <v>56.0</v>
      </c>
      <c r="F1418" s="274">
        <v>56.0</v>
      </c>
      <c r="G1418" s="473" t="s">
        <v>153</v>
      </c>
    </row>
    <row r="1419" ht="15.0" customHeight="1">
      <c r="A1419" s="224" t="s">
        <v>9034</v>
      </c>
      <c r="B1419" s="224" t="s">
        <v>147</v>
      </c>
      <c r="C1419" s="82" t="s">
        <v>11789</v>
      </c>
      <c r="D1419" s="83" t="s">
        <v>11788</v>
      </c>
      <c r="E1419" s="83"/>
      <c r="F1419" s="274"/>
      <c r="G1419" s="473" t="s">
        <v>153</v>
      </c>
    </row>
    <row r="1420" ht="15.0" customHeight="1">
      <c r="A1420" s="224" t="s">
        <v>9034</v>
      </c>
      <c r="B1420" s="224" t="s">
        <v>147</v>
      </c>
      <c r="C1420" s="82" t="s">
        <v>11790</v>
      </c>
      <c r="D1420" s="83" t="s">
        <v>11791</v>
      </c>
      <c r="E1420" s="83">
        <v>26.6666666666667</v>
      </c>
      <c r="F1420" s="274">
        <v>26.67</v>
      </c>
      <c r="G1420" s="473" t="s">
        <v>153</v>
      </c>
    </row>
    <row r="1421" ht="15.0" customHeight="1">
      <c r="A1421" s="224" t="s">
        <v>9034</v>
      </c>
      <c r="B1421" s="224" t="s">
        <v>147</v>
      </c>
      <c r="C1421" s="82" t="s">
        <v>11792</v>
      </c>
      <c r="D1421" s="83" t="s">
        <v>11791</v>
      </c>
      <c r="E1421" s="83"/>
      <c r="F1421" s="274"/>
      <c r="G1421" s="473" t="s">
        <v>153</v>
      </c>
    </row>
    <row r="1422" ht="15.0" customHeight="1">
      <c r="A1422" s="224" t="s">
        <v>9034</v>
      </c>
      <c r="B1422" s="224" t="s">
        <v>147</v>
      </c>
      <c r="C1422" s="82" t="s">
        <v>11793</v>
      </c>
      <c r="D1422" s="83" t="s">
        <v>11794</v>
      </c>
      <c r="E1422" s="83">
        <v>19.3333333333333</v>
      </c>
      <c r="F1422" s="274">
        <v>19.33</v>
      </c>
      <c r="G1422" s="473" t="s">
        <v>153</v>
      </c>
    </row>
    <row r="1423" ht="15.0" customHeight="1">
      <c r="A1423" s="224" t="s">
        <v>9034</v>
      </c>
      <c r="B1423" s="224" t="s">
        <v>147</v>
      </c>
      <c r="C1423" s="82" t="s">
        <v>11795</v>
      </c>
      <c r="D1423" s="83" t="s">
        <v>11794</v>
      </c>
      <c r="E1423" s="83"/>
      <c r="F1423" s="274"/>
      <c r="G1423" s="473" t="s">
        <v>153</v>
      </c>
    </row>
    <row r="1424" ht="15.0" customHeight="1">
      <c r="A1424" s="224" t="s">
        <v>9034</v>
      </c>
      <c r="B1424" s="224" t="s">
        <v>147</v>
      </c>
      <c r="C1424" s="82" t="s">
        <v>11796</v>
      </c>
      <c r="D1424" s="83" t="s">
        <v>11797</v>
      </c>
      <c r="E1424" s="83">
        <v>3.33333333333333</v>
      </c>
      <c r="F1424" s="274">
        <v>3.33</v>
      </c>
      <c r="G1424" s="473" t="s">
        <v>153</v>
      </c>
    </row>
    <row r="1425" ht="15.0" customHeight="1">
      <c r="A1425" s="224" t="s">
        <v>9034</v>
      </c>
      <c r="B1425" s="224" t="s">
        <v>147</v>
      </c>
      <c r="C1425" s="82" t="s">
        <v>11798</v>
      </c>
      <c r="D1425" s="83" t="s">
        <v>11797</v>
      </c>
      <c r="E1425" s="83"/>
      <c r="F1425" s="274"/>
      <c r="G1425" s="473" t="s">
        <v>153</v>
      </c>
    </row>
    <row r="1426" ht="15.0" customHeight="1">
      <c r="A1426" s="224" t="s">
        <v>9034</v>
      </c>
      <c r="B1426" s="224" t="s">
        <v>147</v>
      </c>
      <c r="C1426" s="82" t="s">
        <v>11799</v>
      </c>
      <c r="D1426" s="83" t="s">
        <v>11800</v>
      </c>
      <c r="E1426" s="83">
        <v>28.0</v>
      </c>
      <c r="F1426" s="274">
        <v>28.0</v>
      </c>
      <c r="G1426" s="473" t="s">
        <v>153</v>
      </c>
    </row>
    <row r="1427" ht="15.0" customHeight="1">
      <c r="A1427" s="224" t="s">
        <v>9034</v>
      </c>
      <c r="B1427" s="224" t="s">
        <v>147</v>
      </c>
      <c r="C1427" s="82" t="s">
        <v>11801</v>
      </c>
      <c r="D1427" s="83" t="s">
        <v>10686</v>
      </c>
      <c r="E1427" s="83">
        <v>23.6666666666667</v>
      </c>
      <c r="F1427" s="274">
        <v>23.67</v>
      </c>
      <c r="G1427" s="473" t="s">
        <v>153</v>
      </c>
    </row>
    <row r="1428" ht="15.0" customHeight="1">
      <c r="A1428" s="224" t="s">
        <v>9034</v>
      </c>
      <c r="B1428" s="224" t="s">
        <v>147</v>
      </c>
      <c r="C1428" s="82" t="s">
        <v>11801</v>
      </c>
      <c r="D1428" s="83" t="s">
        <v>10686</v>
      </c>
      <c r="E1428" s="83">
        <v>29.0</v>
      </c>
      <c r="F1428" s="274">
        <v>29.0</v>
      </c>
      <c r="G1428" s="473" t="s">
        <v>153</v>
      </c>
    </row>
    <row r="1429" ht="15.0" customHeight="1">
      <c r="A1429" s="224" t="s">
        <v>9034</v>
      </c>
      <c r="B1429" s="224" t="s">
        <v>147</v>
      </c>
      <c r="C1429" s="82" t="s">
        <v>11802</v>
      </c>
      <c r="D1429" s="83" t="s">
        <v>10686</v>
      </c>
      <c r="E1429" s="83">
        <v>8.0</v>
      </c>
      <c r="F1429" s="274">
        <v>8.0</v>
      </c>
      <c r="G1429" s="473" t="s">
        <v>153</v>
      </c>
    </row>
    <row r="1430" ht="15.0" customHeight="1">
      <c r="A1430" s="224" t="s">
        <v>9034</v>
      </c>
      <c r="B1430" s="224" t="s">
        <v>147</v>
      </c>
      <c r="C1430" s="82" t="s">
        <v>11802</v>
      </c>
      <c r="D1430" s="83" t="s">
        <v>10686</v>
      </c>
      <c r="E1430" s="83">
        <v>5.33333333333333</v>
      </c>
      <c r="F1430" s="274">
        <v>5.33</v>
      </c>
      <c r="G1430" s="473" t="s">
        <v>153</v>
      </c>
    </row>
    <row r="1431" ht="15.0" customHeight="1">
      <c r="A1431" s="224" t="s">
        <v>9034</v>
      </c>
      <c r="B1431" s="224" t="s">
        <v>147</v>
      </c>
      <c r="C1431" s="82" t="s">
        <v>11803</v>
      </c>
      <c r="D1431" s="83" t="s">
        <v>10686</v>
      </c>
      <c r="E1431" s="83">
        <v>7.25</v>
      </c>
      <c r="F1431" s="274">
        <v>7.25</v>
      </c>
      <c r="G1431" s="473" t="s">
        <v>153</v>
      </c>
    </row>
    <row r="1432" ht="15.0" customHeight="1">
      <c r="A1432" s="224" t="s">
        <v>9034</v>
      </c>
      <c r="B1432" s="224" t="s">
        <v>147</v>
      </c>
      <c r="C1432" s="82" t="s">
        <v>11804</v>
      </c>
      <c r="D1432" s="83" t="s">
        <v>10686</v>
      </c>
      <c r="E1432" s="83">
        <v>5.91666666666667</v>
      </c>
      <c r="F1432" s="274">
        <v>5.92</v>
      </c>
      <c r="G1432" s="473" t="s">
        <v>153</v>
      </c>
    </row>
    <row r="1433" ht="15.0" customHeight="1">
      <c r="A1433" s="224" t="s">
        <v>9034</v>
      </c>
      <c r="B1433" s="224" t="s">
        <v>147</v>
      </c>
      <c r="C1433" s="82" t="s">
        <v>11805</v>
      </c>
      <c r="D1433" s="83" t="s">
        <v>10686</v>
      </c>
      <c r="E1433" s="83">
        <v>3.33333333333333</v>
      </c>
      <c r="F1433" s="274">
        <v>3.33</v>
      </c>
      <c r="G1433" s="473" t="s">
        <v>153</v>
      </c>
    </row>
    <row r="1434" ht="15.0" customHeight="1">
      <c r="A1434" s="224" t="s">
        <v>9034</v>
      </c>
      <c r="B1434" s="224" t="s">
        <v>147</v>
      </c>
      <c r="C1434" s="82" t="s">
        <v>11806</v>
      </c>
      <c r="D1434" s="83" t="s">
        <v>10686</v>
      </c>
      <c r="E1434" s="83">
        <v>2.36666666666667</v>
      </c>
      <c r="F1434" s="274">
        <v>2.37</v>
      </c>
      <c r="G1434" s="473" t="s">
        <v>153</v>
      </c>
    </row>
    <row r="1435" ht="15.0" customHeight="1">
      <c r="A1435" s="224" t="s">
        <v>9034</v>
      </c>
      <c r="B1435" s="224" t="s">
        <v>147</v>
      </c>
      <c r="C1435" s="82" t="s">
        <v>11806</v>
      </c>
      <c r="D1435" s="83" t="s">
        <v>10686</v>
      </c>
      <c r="E1435" s="83">
        <v>2.9</v>
      </c>
      <c r="F1435" s="274">
        <v>2.9</v>
      </c>
      <c r="G1435" s="473" t="s">
        <v>153</v>
      </c>
    </row>
    <row r="1436" ht="15.0" customHeight="1">
      <c r="A1436" s="224" t="s">
        <v>9034</v>
      </c>
      <c r="B1436" s="224" t="s">
        <v>147</v>
      </c>
      <c r="C1436" s="82" t="s">
        <v>11806</v>
      </c>
      <c r="D1436" s="83" t="s">
        <v>10686</v>
      </c>
      <c r="E1436" s="83">
        <v>1.33333333333333</v>
      </c>
      <c r="F1436" s="274">
        <v>1.33</v>
      </c>
      <c r="G1436" s="473" t="s">
        <v>153</v>
      </c>
    </row>
    <row r="1437" ht="15.0" customHeight="1">
      <c r="A1437" s="224" t="s">
        <v>9034</v>
      </c>
      <c r="B1437" s="224" t="s">
        <v>147</v>
      </c>
      <c r="C1437" s="82" t="s">
        <v>11807</v>
      </c>
      <c r="D1437" s="83" t="s">
        <v>11800</v>
      </c>
      <c r="E1437" s="83">
        <v>3.0</v>
      </c>
      <c r="F1437" s="274">
        <v>3.0</v>
      </c>
      <c r="G1437" s="473" t="s">
        <v>153</v>
      </c>
    </row>
    <row r="1438" ht="15.0" customHeight="1">
      <c r="A1438" s="224" t="s">
        <v>155</v>
      </c>
      <c r="B1438" s="224" t="s">
        <v>147</v>
      </c>
      <c r="C1438" s="82" t="s">
        <v>11808</v>
      </c>
      <c r="D1438" s="83" t="s">
        <v>10305</v>
      </c>
      <c r="E1438" s="83" t="s">
        <v>11809</v>
      </c>
      <c r="F1438" s="274">
        <v>232.46</v>
      </c>
      <c r="G1438" s="473" t="s">
        <v>155</v>
      </c>
    </row>
    <row r="1439" ht="15.0" customHeight="1">
      <c r="A1439" s="224" t="s">
        <v>155</v>
      </c>
      <c r="B1439" s="224" t="s">
        <v>147</v>
      </c>
      <c r="C1439" s="82" t="s">
        <v>11810</v>
      </c>
      <c r="D1439" s="83" t="s">
        <v>10305</v>
      </c>
      <c r="E1439" s="83" t="s">
        <v>11811</v>
      </c>
      <c r="F1439" s="274">
        <v>19.33</v>
      </c>
      <c r="G1439" s="473" t="s">
        <v>155</v>
      </c>
    </row>
    <row r="1440" ht="15.0" customHeight="1">
      <c r="A1440" s="224" t="s">
        <v>155</v>
      </c>
      <c r="B1440" s="224" t="s">
        <v>147</v>
      </c>
      <c r="C1440" s="82" t="s">
        <v>11812</v>
      </c>
      <c r="D1440" s="83" t="s">
        <v>10305</v>
      </c>
      <c r="E1440" s="83" t="s">
        <v>11813</v>
      </c>
      <c r="F1440" s="274">
        <v>17.0</v>
      </c>
      <c r="G1440" s="473" t="s">
        <v>155</v>
      </c>
    </row>
    <row r="1441" ht="15.0" customHeight="1">
      <c r="A1441" s="224" t="s">
        <v>154</v>
      </c>
      <c r="B1441" s="224" t="s">
        <v>147</v>
      </c>
      <c r="C1441" s="82" t="s">
        <v>11814</v>
      </c>
      <c r="D1441" s="83" t="s">
        <v>10046</v>
      </c>
      <c r="E1441" s="83" t="s">
        <v>11815</v>
      </c>
      <c r="F1441" s="274">
        <v>32.66</v>
      </c>
      <c r="G1441" s="473" t="s">
        <v>154</v>
      </c>
    </row>
    <row r="1442" ht="15.0" customHeight="1">
      <c r="A1442" s="224" t="s">
        <v>154</v>
      </c>
      <c r="B1442" s="224" t="s">
        <v>147</v>
      </c>
      <c r="C1442" s="82" t="s">
        <v>11816</v>
      </c>
      <c r="D1442" s="83" t="s">
        <v>10046</v>
      </c>
      <c r="E1442" s="83" t="s">
        <v>11817</v>
      </c>
      <c r="F1442" s="274">
        <v>10.0</v>
      </c>
      <c r="G1442" s="473" t="s">
        <v>154</v>
      </c>
    </row>
    <row r="1443" ht="15.0" customHeight="1">
      <c r="A1443" s="224" t="s">
        <v>154</v>
      </c>
      <c r="B1443" s="224" t="s">
        <v>147</v>
      </c>
      <c r="C1443" s="82" t="s">
        <v>11818</v>
      </c>
      <c r="D1443" s="83" t="s">
        <v>10046</v>
      </c>
      <c r="E1443" s="83" t="s">
        <v>11819</v>
      </c>
      <c r="F1443" s="274">
        <v>19.66</v>
      </c>
      <c r="G1443" s="473" t="s">
        <v>154</v>
      </c>
    </row>
    <row r="1444" ht="15.0" customHeight="1">
      <c r="A1444" s="224" t="s">
        <v>154</v>
      </c>
      <c r="B1444" s="224" t="s">
        <v>147</v>
      </c>
      <c r="C1444" s="82" t="s">
        <v>11820</v>
      </c>
      <c r="D1444" s="83" t="s">
        <v>10046</v>
      </c>
      <c r="E1444" s="83" t="s">
        <v>11819</v>
      </c>
      <c r="F1444" s="274">
        <v>19.66</v>
      </c>
      <c r="G1444" s="473" t="s">
        <v>154</v>
      </c>
    </row>
    <row r="1445" ht="15.0" customHeight="1">
      <c r="A1445" s="224" t="s">
        <v>154</v>
      </c>
      <c r="B1445" s="224" t="s">
        <v>147</v>
      </c>
      <c r="C1445" s="82" t="s">
        <v>11821</v>
      </c>
      <c r="D1445" s="83" t="s">
        <v>10046</v>
      </c>
      <c r="E1445" s="83" t="s">
        <v>11822</v>
      </c>
      <c r="F1445" s="274">
        <v>6.66</v>
      </c>
      <c r="G1445" s="473" t="s">
        <v>154</v>
      </c>
    </row>
    <row r="1446" ht="15.0" customHeight="1">
      <c r="A1446" s="224" t="s">
        <v>154</v>
      </c>
      <c r="B1446" s="224" t="s">
        <v>147</v>
      </c>
      <c r="C1446" s="82" t="s">
        <v>11823</v>
      </c>
      <c r="D1446" s="83" t="s">
        <v>10046</v>
      </c>
      <c r="E1446" s="83" t="s">
        <v>11824</v>
      </c>
      <c r="F1446" s="274">
        <v>11.0</v>
      </c>
      <c r="G1446" s="473" t="s">
        <v>154</v>
      </c>
    </row>
    <row r="1447" ht="15.0" customHeight="1">
      <c r="A1447" s="224" t="s">
        <v>154</v>
      </c>
      <c r="B1447" s="224" t="s">
        <v>147</v>
      </c>
      <c r="C1447" s="82" t="s">
        <v>11825</v>
      </c>
      <c r="D1447" s="83" t="s">
        <v>10046</v>
      </c>
      <c r="E1447" s="83" t="s">
        <v>11826</v>
      </c>
      <c r="F1447" s="274">
        <v>25.33</v>
      </c>
      <c r="G1447" s="473" t="s">
        <v>154</v>
      </c>
    </row>
    <row r="1448" ht="15.0" customHeight="1">
      <c r="A1448" s="224" t="s">
        <v>9292</v>
      </c>
      <c r="B1448" s="224" t="s">
        <v>147</v>
      </c>
      <c r="C1448" s="82" t="s">
        <v>11827</v>
      </c>
      <c r="D1448" s="83" t="s">
        <v>10046</v>
      </c>
      <c r="E1448" s="83">
        <v>139.333333333333</v>
      </c>
      <c r="F1448" s="274">
        <v>139.333333333333</v>
      </c>
      <c r="G1448" s="473" t="s">
        <v>149</v>
      </c>
    </row>
    <row r="1449" ht="15.0" customHeight="1">
      <c r="A1449" s="224" t="s">
        <v>9292</v>
      </c>
      <c r="B1449" s="224" t="s">
        <v>147</v>
      </c>
      <c r="C1449" s="82" t="s">
        <v>11828</v>
      </c>
      <c r="D1449" s="83" t="s">
        <v>10046</v>
      </c>
      <c r="E1449" s="83">
        <v>34.6666666666667</v>
      </c>
      <c r="F1449" s="274">
        <v>34.6666666666667</v>
      </c>
      <c r="G1449" s="473" t="s">
        <v>149</v>
      </c>
    </row>
    <row r="1450" ht="15.0" customHeight="1">
      <c r="A1450" s="224" t="s">
        <v>9292</v>
      </c>
      <c r="B1450" s="224" t="s">
        <v>147</v>
      </c>
      <c r="C1450" s="82" t="s">
        <v>11829</v>
      </c>
      <c r="D1450" s="83" t="s">
        <v>10046</v>
      </c>
      <c r="E1450" s="83">
        <v>19.0</v>
      </c>
      <c r="F1450" s="274">
        <v>19.0</v>
      </c>
      <c r="G1450" s="473" t="s">
        <v>149</v>
      </c>
    </row>
    <row r="1451" ht="15.0" customHeight="1">
      <c r="A1451" s="224" t="s">
        <v>9292</v>
      </c>
      <c r="B1451" s="224" t="s">
        <v>147</v>
      </c>
      <c r="C1451" s="82" t="s">
        <v>11830</v>
      </c>
      <c r="D1451" s="83" t="s">
        <v>10046</v>
      </c>
      <c r="E1451" s="83">
        <v>5.0</v>
      </c>
      <c r="F1451" s="274">
        <v>5.0</v>
      </c>
      <c r="G1451" s="473" t="s">
        <v>149</v>
      </c>
    </row>
    <row r="1452" ht="15.0" customHeight="1">
      <c r="A1452" s="224" t="s">
        <v>9292</v>
      </c>
      <c r="B1452" s="224" t="s">
        <v>147</v>
      </c>
      <c r="C1452" s="82" t="s">
        <v>11831</v>
      </c>
      <c r="D1452" s="83" t="s">
        <v>10046</v>
      </c>
      <c r="E1452" s="83">
        <v>71.3333333333333</v>
      </c>
      <c r="F1452" s="274">
        <v>71.3333333333333</v>
      </c>
      <c r="G1452" s="473" t="s">
        <v>149</v>
      </c>
    </row>
    <row r="1453" ht="15.0" customHeight="1">
      <c r="A1453" s="224" t="s">
        <v>9292</v>
      </c>
      <c r="B1453" s="224" t="s">
        <v>147</v>
      </c>
      <c r="C1453" s="82" t="s">
        <v>11832</v>
      </c>
      <c r="D1453" s="83" t="s">
        <v>10046</v>
      </c>
      <c r="E1453" s="83">
        <v>3.0</v>
      </c>
      <c r="F1453" s="274">
        <v>3.0</v>
      </c>
      <c r="G1453" s="473" t="s">
        <v>149</v>
      </c>
    </row>
    <row r="1454" ht="15.0" customHeight="1">
      <c r="A1454" s="224" t="s">
        <v>8317</v>
      </c>
      <c r="B1454" s="224" t="s">
        <v>147</v>
      </c>
      <c r="C1454" s="82" t="s">
        <v>11833</v>
      </c>
      <c r="D1454" s="83" t="s">
        <v>10686</v>
      </c>
      <c r="E1454" s="92">
        <f t="shared" ref="E1454:F1454" si="159">16/3 * 1.35</f>
        <v>7.2</v>
      </c>
      <c r="F1454" s="274">
        <f t="shared" si="159"/>
        <v>7.2</v>
      </c>
      <c r="G1454" s="473" t="s">
        <v>150</v>
      </c>
    </row>
    <row r="1455" ht="15.0" customHeight="1">
      <c r="A1455" s="224" t="s">
        <v>8317</v>
      </c>
      <c r="B1455" s="224" t="s">
        <v>147</v>
      </c>
      <c r="C1455" s="82" t="s">
        <v>11834</v>
      </c>
      <c r="D1455" s="83" t="s">
        <v>10686</v>
      </c>
      <c r="E1455" s="83">
        <v>5.33333333333333</v>
      </c>
      <c r="F1455" s="274">
        <v>5.33</v>
      </c>
      <c r="G1455" s="473" t="s">
        <v>150</v>
      </c>
    </row>
    <row r="1456" ht="15.0" customHeight="1">
      <c r="A1456" s="224" t="s">
        <v>8317</v>
      </c>
      <c r="B1456" s="224" t="s">
        <v>147</v>
      </c>
      <c r="C1456" s="82" t="s">
        <v>11835</v>
      </c>
      <c r="D1456" s="83" t="s">
        <v>10686</v>
      </c>
      <c r="E1456" s="83">
        <v>13.05</v>
      </c>
      <c r="F1456" s="274">
        <v>13.05</v>
      </c>
      <c r="G1456" s="473" t="s">
        <v>150</v>
      </c>
    </row>
    <row r="1457" ht="15.0" customHeight="1">
      <c r="A1457" s="224" t="s">
        <v>8317</v>
      </c>
      <c r="B1457" s="224" t="s">
        <v>147</v>
      </c>
      <c r="C1457" s="82" t="s">
        <v>11836</v>
      </c>
      <c r="D1457" s="83" t="s">
        <v>10686</v>
      </c>
      <c r="E1457" s="83">
        <v>9.66666666666667</v>
      </c>
      <c r="F1457" s="274">
        <v>9.67</v>
      </c>
      <c r="G1457" s="473" t="s">
        <v>150</v>
      </c>
    </row>
    <row r="1458" ht="15.0" customHeight="1">
      <c r="A1458" s="224" t="s">
        <v>8317</v>
      </c>
      <c r="B1458" s="224" t="s">
        <v>147</v>
      </c>
      <c r="C1458" s="82" t="s">
        <v>11837</v>
      </c>
      <c r="D1458" s="83" t="s">
        <v>10686</v>
      </c>
      <c r="E1458" s="83">
        <v>40.5</v>
      </c>
      <c r="F1458" s="274">
        <v>40.5</v>
      </c>
      <c r="G1458" s="473" t="s">
        <v>150</v>
      </c>
    </row>
    <row r="1459" ht="15.0" customHeight="1">
      <c r="A1459" s="224" t="s">
        <v>8317</v>
      </c>
      <c r="B1459" s="224" t="s">
        <v>147</v>
      </c>
      <c r="C1459" s="82" t="s">
        <v>11838</v>
      </c>
      <c r="D1459" s="83" t="s">
        <v>10686</v>
      </c>
      <c r="E1459" s="83">
        <v>30.0</v>
      </c>
      <c r="F1459" s="274">
        <v>30.0</v>
      </c>
      <c r="G1459" s="473" t="s">
        <v>150</v>
      </c>
    </row>
    <row r="1460" ht="15.0" customHeight="1">
      <c r="A1460" s="224" t="s">
        <v>8317</v>
      </c>
      <c r="B1460" s="224" t="s">
        <v>147</v>
      </c>
      <c r="C1460" s="82" t="s">
        <v>11839</v>
      </c>
      <c r="D1460" s="83" t="s">
        <v>10072</v>
      </c>
      <c r="E1460" s="83">
        <v>3.825</v>
      </c>
      <c r="F1460" s="274">
        <v>3.83</v>
      </c>
      <c r="G1460" s="473" t="s">
        <v>150</v>
      </c>
    </row>
    <row r="1461" ht="15.0" customHeight="1">
      <c r="A1461" s="224" t="s">
        <v>8317</v>
      </c>
      <c r="B1461" s="224" t="s">
        <v>147</v>
      </c>
      <c r="C1461" s="82" t="s">
        <v>11840</v>
      </c>
      <c r="D1461" s="83" t="s">
        <v>10686</v>
      </c>
      <c r="E1461" s="83">
        <v>5.66666666666667</v>
      </c>
      <c r="F1461" s="274">
        <v>5.67</v>
      </c>
      <c r="G1461" s="473" t="s">
        <v>150</v>
      </c>
    </row>
    <row r="1462" ht="15.0" customHeight="1">
      <c r="A1462" s="224" t="s">
        <v>8317</v>
      </c>
      <c r="B1462" s="224" t="s">
        <v>147</v>
      </c>
      <c r="C1462" s="82" t="s">
        <v>11841</v>
      </c>
      <c r="D1462" s="83" t="s">
        <v>10072</v>
      </c>
      <c r="E1462" s="83">
        <v>2.7</v>
      </c>
      <c r="F1462" s="274">
        <v>2.7</v>
      </c>
      <c r="G1462" s="473" t="s">
        <v>150</v>
      </c>
    </row>
    <row r="1463" ht="15.0" customHeight="1">
      <c r="A1463" s="224" t="s">
        <v>8317</v>
      </c>
      <c r="B1463" s="224" t="s">
        <v>147</v>
      </c>
      <c r="C1463" s="82" t="s">
        <v>11842</v>
      </c>
      <c r="D1463" s="83" t="s">
        <v>10686</v>
      </c>
      <c r="E1463" s="83">
        <v>4.0</v>
      </c>
      <c r="F1463" s="274">
        <v>4.0</v>
      </c>
      <c r="G1463" s="473" t="s">
        <v>150</v>
      </c>
    </row>
    <row r="1464" ht="15.0" customHeight="1">
      <c r="A1464" s="224" t="s">
        <v>8317</v>
      </c>
      <c r="B1464" s="224" t="s">
        <v>147</v>
      </c>
      <c r="C1464" s="82" t="s">
        <v>11843</v>
      </c>
      <c r="D1464" s="83" t="s">
        <v>10686</v>
      </c>
      <c r="E1464" s="83">
        <v>15.3333333333333</v>
      </c>
      <c r="F1464" s="274">
        <v>15.33</v>
      </c>
      <c r="G1464" s="473" t="s">
        <v>150</v>
      </c>
    </row>
    <row r="1465" ht="15.0" customHeight="1">
      <c r="A1465" s="224" t="s">
        <v>8317</v>
      </c>
      <c r="B1465" s="224" t="s">
        <v>147</v>
      </c>
      <c r="C1465" s="82" t="s">
        <v>11844</v>
      </c>
      <c r="D1465" s="83" t="s">
        <v>10686</v>
      </c>
      <c r="E1465" s="83">
        <v>10.0</v>
      </c>
      <c r="F1465" s="274">
        <v>10.0</v>
      </c>
      <c r="G1465" s="473" t="s">
        <v>150</v>
      </c>
    </row>
    <row r="1466" ht="15.0" customHeight="1">
      <c r="A1466" s="224" t="s">
        <v>8317</v>
      </c>
      <c r="B1466" s="224" t="s">
        <v>147</v>
      </c>
      <c r="C1466" s="82" t="s">
        <v>11845</v>
      </c>
      <c r="D1466" s="83" t="s">
        <v>10686</v>
      </c>
      <c r="E1466" s="83">
        <v>25.3333333333333</v>
      </c>
      <c r="F1466" s="274">
        <v>25.33</v>
      </c>
      <c r="G1466" s="473" t="s">
        <v>150</v>
      </c>
    </row>
    <row r="1467" ht="15.0" customHeight="1">
      <c r="A1467" s="224" t="s">
        <v>9039</v>
      </c>
      <c r="B1467" s="224" t="s">
        <v>147</v>
      </c>
      <c r="C1467" s="82" t="s">
        <v>11846</v>
      </c>
      <c r="D1467" s="83" t="s">
        <v>10046</v>
      </c>
      <c r="E1467" s="83">
        <v>25.0</v>
      </c>
      <c r="F1467" s="274">
        <v>50.0</v>
      </c>
      <c r="G1467" s="473" t="s">
        <v>4738</v>
      </c>
    </row>
    <row r="1468" ht="15.0" customHeight="1">
      <c r="A1468" s="224" t="s">
        <v>9039</v>
      </c>
      <c r="B1468" s="224" t="s">
        <v>147</v>
      </c>
      <c r="C1468" s="82" t="s">
        <v>11847</v>
      </c>
      <c r="D1468" s="83" t="s">
        <v>10046</v>
      </c>
      <c r="E1468" s="83">
        <v>10.6666666666667</v>
      </c>
      <c r="F1468" s="274">
        <v>21.33</v>
      </c>
      <c r="G1468" s="473" t="s">
        <v>4738</v>
      </c>
    </row>
    <row r="1469" ht="15.0" customHeight="1">
      <c r="A1469" s="224" t="s">
        <v>9039</v>
      </c>
      <c r="B1469" s="224" t="s">
        <v>147</v>
      </c>
      <c r="C1469" s="82" t="s">
        <v>11848</v>
      </c>
      <c r="D1469" s="83" t="s">
        <v>10046</v>
      </c>
      <c r="E1469" s="83">
        <v>1.0</v>
      </c>
      <c r="F1469" s="274">
        <v>3.0</v>
      </c>
      <c r="G1469" s="473" t="s">
        <v>4738</v>
      </c>
    </row>
    <row r="1470" ht="15.0" customHeight="1">
      <c r="A1470" s="224" t="s">
        <v>9039</v>
      </c>
      <c r="B1470" s="224" t="s">
        <v>147</v>
      </c>
      <c r="C1470" s="82" t="s">
        <v>11849</v>
      </c>
      <c r="D1470" s="83" t="s">
        <v>10046</v>
      </c>
      <c r="E1470" s="83" t="s">
        <v>11850</v>
      </c>
      <c r="F1470" s="274">
        <v>21.3</v>
      </c>
      <c r="G1470" s="473" t="s">
        <v>4738</v>
      </c>
    </row>
    <row r="1471" ht="15.0" customHeight="1">
      <c r="A1471" s="224" t="s">
        <v>9039</v>
      </c>
      <c r="B1471" s="224" t="s">
        <v>147</v>
      </c>
      <c r="C1471" s="82" t="s">
        <v>11851</v>
      </c>
      <c r="D1471" s="83" t="s">
        <v>10046</v>
      </c>
      <c r="E1471" s="83" t="s">
        <v>11852</v>
      </c>
      <c r="F1471" s="274">
        <v>19.0</v>
      </c>
      <c r="G1471" s="473" t="s">
        <v>4738</v>
      </c>
    </row>
    <row r="1472" ht="15.0" customHeight="1">
      <c r="A1472" s="224" t="s">
        <v>9039</v>
      </c>
      <c r="B1472" s="224" t="s">
        <v>147</v>
      </c>
      <c r="C1472" s="82" t="s">
        <v>11853</v>
      </c>
      <c r="D1472" s="83" t="s">
        <v>10046</v>
      </c>
      <c r="E1472" s="83" t="s">
        <v>11854</v>
      </c>
      <c r="F1472" s="274">
        <v>10.35</v>
      </c>
      <c r="G1472" s="473" t="s">
        <v>4738</v>
      </c>
    </row>
    <row r="1473" ht="15.0" customHeight="1">
      <c r="A1473" s="224" t="s">
        <v>9039</v>
      </c>
      <c r="B1473" s="224" t="s">
        <v>147</v>
      </c>
      <c r="C1473" s="82" t="s">
        <v>11855</v>
      </c>
      <c r="D1473" s="83" t="s">
        <v>10046</v>
      </c>
      <c r="E1473" s="83" t="s">
        <v>11856</v>
      </c>
      <c r="F1473" s="274">
        <v>28.35</v>
      </c>
      <c r="G1473" s="473" t="s">
        <v>4738</v>
      </c>
    </row>
    <row r="1474" ht="15.0" customHeight="1">
      <c r="A1474" s="224" t="s">
        <v>9039</v>
      </c>
      <c r="B1474" s="224" t="s">
        <v>147</v>
      </c>
      <c r="C1474" s="82" t="s">
        <v>11857</v>
      </c>
      <c r="D1474" s="83" t="s">
        <v>10046</v>
      </c>
      <c r="E1474" s="83" t="s">
        <v>11858</v>
      </c>
      <c r="F1474" s="274">
        <v>13.5</v>
      </c>
      <c r="G1474" s="473" t="s">
        <v>4738</v>
      </c>
    </row>
    <row r="1475" ht="15.0" customHeight="1">
      <c r="A1475" s="224" t="s">
        <v>9294</v>
      </c>
      <c r="B1475" s="224" t="s">
        <v>147</v>
      </c>
      <c r="C1475" s="82" t="s">
        <v>11859</v>
      </c>
      <c r="D1475" s="83" t="s">
        <v>10305</v>
      </c>
      <c r="E1475" s="83" t="s">
        <v>11860</v>
      </c>
      <c r="F1475" s="274">
        <v>92.25</v>
      </c>
      <c r="G1475" s="473" t="s">
        <v>156</v>
      </c>
    </row>
    <row r="1476" ht="15.0" customHeight="1">
      <c r="A1476" s="224" t="s">
        <v>9294</v>
      </c>
      <c r="B1476" s="224" t="s">
        <v>147</v>
      </c>
      <c r="C1476" s="82" t="s">
        <v>11861</v>
      </c>
      <c r="D1476" s="83" t="s">
        <v>10305</v>
      </c>
      <c r="E1476" s="83" t="s">
        <v>11862</v>
      </c>
      <c r="F1476" s="274">
        <v>15.33</v>
      </c>
      <c r="G1476" s="473" t="s">
        <v>156</v>
      </c>
    </row>
    <row r="1477" ht="15.0" customHeight="1">
      <c r="A1477" s="224" t="s">
        <v>9294</v>
      </c>
      <c r="B1477" s="224" t="s">
        <v>147</v>
      </c>
      <c r="C1477" s="82" t="s">
        <v>11863</v>
      </c>
      <c r="D1477" s="83" t="s">
        <v>10305</v>
      </c>
      <c r="E1477" s="83" t="s">
        <v>11864</v>
      </c>
      <c r="F1477" s="274">
        <v>109.33</v>
      </c>
      <c r="G1477" s="473" t="s">
        <v>156</v>
      </c>
    </row>
    <row r="1478" ht="15.0" customHeight="1">
      <c r="A1478" s="224" t="s">
        <v>9294</v>
      </c>
      <c r="B1478" s="224" t="s">
        <v>147</v>
      </c>
      <c r="C1478" s="82" t="s">
        <v>11865</v>
      </c>
      <c r="D1478" s="83" t="s">
        <v>10305</v>
      </c>
      <c r="E1478" s="83" t="s">
        <v>11866</v>
      </c>
      <c r="F1478" s="274">
        <v>5.0</v>
      </c>
      <c r="G1478" s="473" t="s">
        <v>156</v>
      </c>
    </row>
    <row r="1479" ht="15.0" customHeight="1">
      <c r="A1479" s="224" t="s">
        <v>9041</v>
      </c>
      <c r="B1479" s="224" t="s">
        <v>147</v>
      </c>
      <c r="C1479" s="82" t="s">
        <v>11867</v>
      </c>
      <c r="D1479" s="83" t="s">
        <v>10305</v>
      </c>
      <c r="E1479" s="83" t="s">
        <v>11868</v>
      </c>
      <c r="F1479" s="274">
        <f>193 * 1.35 / 3</f>
        <v>86.85</v>
      </c>
      <c r="G1479" s="473" t="s">
        <v>4845</v>
      </c>
    </row>
    <row r="1480" ht="15.0" customHeight="1">
      <c r="A1480" s="224" t="s">
        <v>9041</v>
      </c>
      <c r="B1480" s="224" t="s">
        <v>147</v>
      </c>
      <c r="C1480" s="82" t="s">
        <v>11869</v>
      </c>
      <c r="D1480" s="83" t="s">
        <v>10305</v>
      </c>
      <c r="E1480" s="83" t="s">
        <v>11870</v>
      </c>
      <c r="F1480" s="274">
        <v>10.0</v>
      </c>
      <c r="G1480" s="473" t="s">
        <v>4845</v>
      </c>
    </row>
    <row r="1481" ht="15.0" customHeight="1">
      <c r="A1481" s="224" t="s">
        <v>9041</v>
      </c>
      <c r="B1481" s="224" t="s">
        <v>147</v>
      </c>
      <c r="C1481" s="82" t="s">
        <v>11871</v>
      </c>
      <c r="D1481" s="83" t="s">
        <v>10305</v>
      </c>
      <c r="E1481" s="83" t="s">
        <v>11872</v>
      </c>
      <c r="F1481" s="274">
        <v>19.33</v>
      </c>
      <c r="G1481" s="473" t="s">
        <v>4845</v>
      </c>
    </row>
    <row r="1482" ht="15.0" customHeight="1">
      <c r="A1482" s="224" t="s">
        <v>9041</v>
      </c>
      <c r="B1482" s="224" t="s">
        <v>147</v>
      </c>
      <c r="C1482" s="82" t="s">
        <v>11873</v>
      </c>
      <c r="D1482" s="83" t="s">
        <v>10305</v>
      </c>
      <c r="E1482" s="83" t="s">
        <v>11874</v>
      </c>
      <c r="F1482" s="274">
        <v>22.0</v>
      </c>
      <c r="G1482" s="473" t="s">
        <v>4845</v>
      </c>
    </row>
    <row r="1483" ht="15.0" customHeight="1">
      <c r="A1483" s="224" t="s">
        <v>9041</v>
      </c>
      <c r="B1483" s="224" t="s">
        <v>147</v>
      </c>
      <c r="C1483" s="82" t="s">
        <v>11875</v>
      </c>
      <c r="D1483" s="83" t="s">
        <v>10305</v>
      </c>
      <c r="E1483" s="83" t="s">
        <v>11876</v>
      </c>
      <c r="F1483" s="274">
        <v>29.0</v>
      </c>
      <c r="G1483" s="473" t="s">
        <v>4845</v>
      </c>
    </row>
    <row r="1484" ht="15.0" customHeight="1">
      <c r="A1484" s="224" t="s">
        <v>9041</v>
      </c>
      <c r="B1484" s="224" t="s">
        <v>147</v>
      </c>
      <c r="C1484" s="82" t="s">
        <v>11877</v>
      </c>
      <c r="D1484" s="83" t="s">
        <v>10305</v>
      </c>
      <c r="E1484" s="83" t="s">
        <v>11878</v>
      </c>
      <c r="F1484" s="274">
        <v>28.0</v>
      </c>
      <c r="G1484" s="473" t="s">
        <v>4845</v>
      </c>
    </row>
    <row r="1485" ht="15.0" customHeight="1">
      <c r="A1485" s="224" t="s">
        <v>8328</v>
      </c>
      <c r="B1485" s="224" t="s">
        <v>147</v>
      </c>
      <c r="C1485" s="82" t="s">
        <v>11879</v>
      </c>
      <c r="D1485" s="83" t="s">
        <v>10046</v>
      </c>
      <c r="E1485" s="83">
        <v>93.0</v>
      </c>
      <c r="F1485" s="274">
        <v>31.0</v>
      </c>
      <c r="G1485" s="473" t="s">
        <v>158</v>
      </c>
    </row>
    <row r="1486" ht="15.0" customHeight="1">
      <c r="A1486" s="224" t="s">
        <v>8328</v>
      </c>
      <c r="B1486" s="224" t="s">
        <v>147</v>
      </c>
      <c r="C1486" s="82" t="s">
        <v>11880</v>
      </c>
      <c r="D1486" s="83" t="s">
        <v>10046</v>
      </c>
      <c r="E1486" s="83">
        <v>30.0</v>
      </c>
      <c r="F1486" s="274">
        <v>10.0</v>
      </c>
      <c r="G1486" s="473" t="s">
        <v>158</v>
      </c>
    </row>
    <row r="1487" ht="15.0" customHeight="1">
      <c r="A1487" s="224" t="s">
        <v>8328</v>
      </c>
      <c r="B1487" s="224" t="s">
        <v>147</v>
      </c>
      <c r="C1487" s="82" t="s">
        <v>11881</v>
      </c>
      <c r="D1487" s="83" t="s">
        <v>10046</v>
      </c>
      <c r="E1487" s="83">
        <v>30.0</v>
      </c>
      <c r="F1487" s="274">
        <v>10.0</v>
      </c>
      <c r="G1487" s="473" t="s">
        <v>158</v>
      </c>
    </row>
    <row r="1488" ht="15.0" customHeight="1">
      <c r="A1488" s="224" t="s">
        <v>8328</v>
      </c>
      <c r="B1488" s="224" t="s">
        <v>147</v>
      </c>
      <c r="C1488" s="82" t="s">
        <v>11882</v>
      </c>
      <c r="D1488" s="83" t="s">
        <v>10046</v>
      </c>
      <c r="E1488" s="83">
        <v>30.0</v>
      </c>
      <c r="F1488" s="274">
        <v>10.0</v>
      </c>
      <c r="G1488" s="473" t="s">
        <v>158</v>
      </c>
    </row>
    <row r="1489" ht="15.0" customHeight="1">
      <c r="A1489" s="224" t="s">
        <v>8328</v>
      </c>
      <c r="B1489" s="224" t="s">
        <v>147</v>
      </c>
      <c r="C1489" s="82" t="s">
        <v>11883</v>
      </c>
      <c r="D1489" s="83" t="s">
        <v>10046</v>
      </c>
      <c r="E1489" s="83">
        <v>40.0</v>
      </c>
      <c r="F1489" s="274">
        <v>13.33</v>
      </c>
      <c r="G1489" s="473" t="s">
        <v>158</v>
      </c>
    </row>
    <row r="1490" ht="15.0" customHeight="1">
      <c r="A1490" s="224" t="s">
        <v>8328</v>
      </c>
      <c r="B1490" s="224" t="s">
        <v>147</v>
      </c>
      <c r="C1490" s="82" t="s">
        <v>11884</v>
      </c>
      <c r="D1490" s="83" t="s">
        <v>10046</v>
      </c>
      <c r="E1490" s="83">
        <v>47.0</v>
      </c>
      <c r="F1490" s="274">
        <v>15.66</v>
      </c>
      <c r="G1490" s="473" t="s">
        <v>158</v>
      </c>
    </row>
    <row r="1491" ht="15.0" customHeight="1">
      <c r="A1491" s="224" t="s">
        <v>1144</v>
      </c>
      <c r="B1491" s="224" t="s">
        <v>147</v>
      </c>
      <c r="C1491" s="82" t="s">
        <v>11885</v>
      </c>
      <c r="D1491" s="83" t="s">
        <v>10305</v>
      </c>
      <c r="E1491" s="83" t="s">
        <v>11886</v>
      </c>
      <c r="F1491" s="274">
        <v>52.2</v>
      </c>
      <c r="G1491" s="473" t="s">
        <v>159</v>
      </c>
    </row>
    <row r="1492" ht="15.0" customHeight="1">
      <c r="A1492" s="224" t="s">
        <v>1144</v>
      </c>
      <c r="B1492" s="224" t="s">
        <v>147</v>
      </c>
      <c r="C1492" s="82" t="s">
        <v>11887</v>
      </c>
      <c r="D1492" s="83" t="s">
        <v>10305</v>
      </c>
      <c r="E1492" s="83" t="s">
        <v>11888</v>
      </c>
      <c r="F1492" s="274">
        <v>38.67</v>
      </c>
      <c r="G1492" s="473" t="s">
        <v>159</v>
      </c>
    </row>
    <row r="1493" ht="15.0" customHeight="1">
      <c r="A1493" s="224" t="s">
        <v>1144</v>
      </c>
      <c r="B1493" s="224" t="s">
        <v>147</v>
      </c>
      <c r="C1493" s="82" t="s">
        <v>11889</v>
      </c>
      <c r="D1493" s="83" t="s">
        <v>10309</v>
      </c>
      <c r="E1493" s="83" t="s">
        <v>11890</v>
      </c>
      <c r="F1493" s="274">
        <v>13.5</v>
      </c>
      <c r="G1493" s="473" t="s">
        <v>159</v>
      </c>
    </row>
    <row r="1494" ht="15.0" customHeight="1">
      <c r="A1494" s="224" t="s">
        <v>1144</v>
      </c>
      <c r="B1494" s="224" t="s">
        <v>147</v>
      </c>
      <c r="C1494" s="82" t="s">
        <v>11891</v>
      </c>
      <c r="D1494" s="83" t="s">
        <v>10309</v>
      </c>
      <c r="E1494" s="83" t="s">
        <v>11892</v>
      </c>
      <c r="F1494" s="274">
        <v>20.0</v>
      </c>
      <c r="G1494" s="473" t="s">
        <v>159</v>
      </c>
    </row>
    <row r="1495" ht="15.0" customHeight="1">
      <c r="A1495" s="224" t="s">
        <v>1144</v>
      </c>
      <c r="B1495" s="224" t="s">
        <v>147</v>
      </c>
      <c r="C1495" s="82" t="s">
        <v>11893</v>
      </c>
      <c r="D1495" s="83" t="s">
        <v>11481</v>
      </c>
      <c r="E1495" s="83" t="s">
        <v>11894</v>
      </c>
      <c r="F1495" s="274">
        <v>71.33</v>
      </c>
      <c r="G1495" s="473" t="s">
        <v>159</v>
      </c>
    </row>
    <row r="1496" ht="15.0" customHeight="1">
      <c r="A1496" s="224" t="s">
        <v>1144</v>
      </c>
      <c r="B1496" s="224" t="s">
        <v>147</v>
      </c>
      <c r="C1496" s="82" t="s">
        <v>11895</v>
      </c>
      <c r="D1496" s="83" t="s">
        <v>11896</v>
      </c>
      <c r="E1496" s="83" t="s">
        <v>11897</v>
      </c>
      <c r="F1496" s="274">
        <v>112.0</v>
      </c>
      <c r="G1496" s="473" t="s">
        <v>159</v>
      </c>
    </row>
    <row r="1497" ht="15.75" customHeight="1">
      <c r="A1497" s="224" t="s">
        <v>1144</v>
      </c>
      <c r="B1497" s="224" t="s">
        <v>147</v>
      </c>
      <c r="C1497" s="82" t="s">
        <v>11898</v>
      </c>
      <c r="D1497" s="83" t="s">
        <v>11896</v>
      </c>
      <c r="E1497" s="83" t="s">
        <v>11899</v>
      </c>
      <c r="F1497" s="274">
        <v>17.0</v>
      </c>
      <c r="G1497" s="473" t="s">
        <v>159</v>
      </c>
    </row>
    <row r="1498" ht="15.0" customHeight="1">
      <c r="A1498" s="224" t="s">
        <v>1144</v>
      </c>
      <c r="B1498" s="224" t="s">
        <v>147</v>
      </c>
      <c r="C1498" s="82" t="s">
        <v>11900</v>
      </c>
      <c r="D1498" s="83" t="s">
        <v>11896</v>
      </c>
      <c r="E1498" s="83" t="s">
        <v>11901</v>
      </c>
      <c r="F1498" s="274">
        <v>3.0</v>
      </c>
      <c r="G1498" s="473" t="s">
        <v>159</v>
      </c>
    </row>
    <row r="1499" ht="15.0" customHeight="1">
      <c r="A1499" s="224" t="s">
        <v>8360</v>
      </c>
      <c r="B1499" s="224" t="s">
        <v>147</v>
      </c>
      <c r="C1499" s="82" t="s">
        <v>11902</v>
      </c>
      <c r="D1499" s="83" t="s">
        <v>10046</v>
      </c>
      <c r="E1499" s="83" t="s">
        <v>11903</v>
      </c>
      <c r="F1499" s="274">
        <v>19.33</v>
      </c>
      <c r="G1499" s="473" t="s">
        <v>161</v>
      </c>
    </row>
    <row r="1500" ht="15.0" customHeight="1">
      <c r="A1500" s="224" t="s">
        <v>8360</v>
      </c>
      <c r="B1500" s="224" t="s">
        <v>147</v>
      </c>
      <c r="C1500" s="82" t="s">
        <v>11904</v>
      </c>
      <c r="D1500" s="83" t="s">
        <v>10046</v>
      </c>
      <c r="E1500" s="83" t="s">
        <v>11905</v>
      </c>
      <c r="F1500" s="274">
        <v>2.0</v>
      </c>
      <c r="G1500" s="473" t="s">
        <v>161</v>
      </c>
    </row>
    <row r="1501" ht="15.0" customHeight="1">
      <c r="A1501" s="224" t="s">
        <v>8360</v>
      </c>
      <c r="B1501" s="224" t="s">
        <v>147</v>
      </c>
      <c r="C1501" s="82" t="s">
        <v>11906</v>
      </c>
      <c r="D1501" s="83" t="s">
        <v>10046</v>
      </c>
      <c r="E1501" s="83" t="s">
        <v>11907</v>
      </c>
      <c r="F1501" s="274">
        <v>13.5</v>
      </c>
      <c r="G1501" s="473" t="s">
        <v>161</v>
      </c>
    </row>
    <row r="1502" ht="15.0" customHeight="1">
      <c r="A1502" s="224" t="s">
        <v>8360</v>
      </c>
      <c r="B1502" s="224" t="s">
        <v>147</v>
      </c>
      <c r="C1502" s="82" t="s">
        <v>11908</v>
      </c>
      <c r="D1502" s="83" t="s">
        <v>10046</v>
      </c>
      <c r="E1502" s="83" t="s">
        <v>11909</v>
      </c>
      <c r="F1502" s="274">
        <v>54.9</v>
      </c>
      <c r="G1502" s="473" t="s">
        <v>161</v>
      </c>
    </row>
    <row r="1503" ht="15.0" customHeight="1">
      <c r="A1503" s="224" t="s">
        <v>8360</v>
      </c>
      <c r="B1503" s="224" t="s">
        <v>147</v>
      </c>
      <c r="C1503" s="82" t="s">
        <v>11910</v>
      </c>
      <c r="D1503" s="83" t="s">
        <v>10046</v>
      </c>
      <c r="E1503" s="83" t="s">
        <v>11911</v>
      </c>
      <c r="F1503" s="274">
        <v>31.95</v>
      </c>
      <c r="G1503" s="473" t="s">
        <v>161</v>
      </c>
    </row>
    <row r="1504" ht="15.0" customHeight="1">
      <c r="A1504" s="224" t="s">
        <v>8360</v>
      </c>
      <c r="B1504" s="224" t="s">
        <v>147</v>
      </c>
      <c r="C1504" s="82" t="s">
        <v>11912</v>
      </c>
      <c r="D1504" s="83" t="s">
        <v>10046</v>
      </c>
      <c r="E1504" s="83" t="s">
        <v>11913</v>
      </c>
      <c r="F1504" s="274">
        <v>4.0</v>
      </c>
      <c r="G1504" s="473" t="s">
        <v>161</v>
      </c>
    </row>
    <row r="1505" ht="15.0" customHeight="1">
      <c r="A1505" s="224" t="s">
        <v>8360</v>
      </c>
      <c r="B1505" s="224" t="s">
        <v>147</v>
      </c>
      <c r="C1505" s="82" t="s">
        <v>11914</v>
      </c>
      <c r="D1505" s="83" t="s">
        <v>10046</v>
      </c>
      <c r="E1505" s="83" t="s">
        <v>11915</v>
      </c>
      <c r="F1505" s="274">
        <v>4.333333333333333</v>
      </c>
      <c r="G1505" s="473" t="s">
        <v>161</v>
      </c>
    </row>
    <row r="1506" ht="15.0" customHeight="1">
      <c r="A1506" s="224" t="s">
        <v>8879</v>
      </c>
      <c r="B1506" s="224" t="s">
        <v>11916</v>
      </c>
      <c r="C1506" s="82" t="s">
        <v>11917</v>
      </c>
      <c r="D1506" s="83" t="s">
        <v>10046</v>
      </c>
      <c r="E1506" s="83">
        <v>40.5</v>
      </c>
      <c r="F1506" s="274">
        <v>41.0</v>
      </c>
      <c r="G1506" s="473" t="s">
        <v>162</v>
      </c>
    </row>
    <row r="1507" ht="15.0" customHeight="1">
      <c r="A1507" s="224" t="s">
        <v>8879</v>
      </c>
      <c r="B1507" s="224" t="s">
        <v>147</v>
      </c>
      <c r="C1507" s="82" t="s">
        <v>11918</v>
      </c>
      <c r="D1507" s="83" t="s">
        <v>10046</v>
      </c>
      <c r="E1507" s="83">
        <v>20.25</v>
      </c>
      <c r="F1507" s="274">
        <v>20.0</v>
      </c>
      <c r="G1507" s="473" t="s">
        <v>162</v>
      </c>
    </row>
    <row r="1508" ht="15.0" customHeight="1">
      <c r="A1508" s="224" t="s">
        <v>8879</v>
      </c>
      <c r="B1508" s="224" t="s">
        <v>147</v>
      </c>
      <c r="C1508" s="82" t="s">
        <v>11919</v>
      </c>
      <c r="D1508" s="83" t="s">
        <v>10046</v>
      </c>
      <c r="E1508" s="83">
        <v>41.0</v>
      </c>
      <c r="F1508" s="274">
        <v>41.0</v>
      </c>
      <c r="G1508" s="473" t="s">
        <v>162</v>
      </c>
    </row>
    <row r="1509" ht="15.0" customHeight="1">
      <c r="A1509" s="224" t="s">
        <v>8879</v>
      </c>
      <c r="B1509" s="224" t="s">
        <v>11916</v>
      </c>
      <c r="C1509" s="82" t="s">
        <v>11920</v>
      </c>
      <c r="D1509" s="83" t="s">
        <v>10046</v>
      </c>
      <c r="E1509" s="83">
        <v>41.0</v>
      </c>
      <c r="F1509" s="274">
        <v>41.0</v>
      </c>
      <c r="G1509" s="473" t="s">
        <v>162</v>
      </c>
    </row>
    <row r="1510" ht="15.0" customHeight="1">
      <c r="A1510" s="224" t="s">
        <v>8879</v>
      </c>
      <c r="B1510" s="224" t="s">
        <v>147</v>
      </c>
      <c r="C1510" s="82" t="s">
        <v>11921</v>
      </c>
      <c r="D1510" s="83" t="s">
        <v>10046</v>
      </c>
      <c r="E1510" s="83">
        <v>20.0</v>
      </c>
      <c r="F1510" s="274">
        <v>20.0</v>
      </c>
      <c r="G1510" s="473" t="s">
        <v>162</v>
      </c>
    </row>
    <row r="1511" ht="15.0" customHeight="1">
      <c r="A1511" s="224" t="s">
        <v>8879</v>
      </c>
      <c r="B1511" s="224" t="s">
        <v>147</v>
      </c>
      <c r="C1511" s="82" t="s">
        <v>11922</v>
      </c>
      <c r="D1511" s="83" t="s">
        <v>10046</v>
      </c>
      <c r="E1511" s="83">
        <v>41.0</v>
      </c>
      <c r="F1511" s="274">
        <v>41.0</v>
      </c>
      <c r="G1511" s="473" t="s">
        <v>162</v>
      </c>
    </row>
    <row r="1512" ht="15.0" customHeight="1">
      <c r="A1512" s="224" t="s">
        <v>8879</v>
      </c>
      <c r="B1512" s="224" t="s">
        <v>147</v>
      </c>
      <c r="C1512" s="82" t="s">
        <v>11923</v>
      </c>
      <c r="D1512" s="83" t="s">
        <v>10046</v>
      </c>
      <c r="E1512" s="83">
        <v>20.0</v>
      </c>
      <c r="F1512" s="274">
        <v>20.0</v>
      </c>
      <c r="G1512" s="473" t="s">
        <v>162</v>
      </c>
    </row>
    <row r="1513" ht="15.0" customHeight="1">
      <c r="A1513" s="224" t="s">
        <v>9298</v>
      </c>
      <c r="B1513" s="224" t="s">
        <v>147</v>
      </c>
      <c r="C1513" s="82" t="s">
        <v>11924</v>
      </c>
      <c r="D1513" s="83" t="s">
        <v>10305</v>
      </c>
      <c r="E1513" s="83" t="s">
        <v>11925</v>
      </c>
      <c r="F1513" s="274">
        <v>8.1</v>
      </c>
      <c r="G1513" s="473" t="s">
        <v>164</v>
      </c>
    </row>
    <row r="1514" ht="15.0" customHeight="1">
      <c r="A1514" s="224" t="s">
        <v>9298</v>
      </c>
      <c r="B1514" s="224" t="s">
        <v>147</v>
      </c>
      <c r="C1514" s="82" t="s">
        <v>11926</v>
      </c>
      <c r="D1514" s="83" t="s">
        <v>10305</v>
      </c>
      <c r="E1514" s="83" t="s">
        <v>11927</v>
      </c>
      <c r="F1514" s="274">
        <v>6.0</v>
      </c>
      <c r="G1514" s="473" t="s">
        <v>164</v>
      </c>
    </row>
    <row r="1515" ht="15.0" customHeight="1">
      <c r="A1515" s="224" t="s">
        <v>9298</v>
      </c>
      <c r="B1515" s="224" t="s">
        <v>147</v>
      </c>
      <c r="C1515" s="82" t="s">
        <v>11928</v>
      </c>
      <c r="D1515" s="83" t="s">
        <v>10305</v>
      </c>
      <c r="E1515" s="83" t="s">
        <v>11927</v>
      </c>
      <c r="F1515" s="274">
        <v>6.0</v>
      </c>
      <c r="G1515" s="473" t="s">
        <v>164</v>
      </c>
    </row>
    <row r="1516" ht="15.0" customHeight="1">
      <c r="A1516" s="224" t="s">
        <v>9298</v>
      </c>
      <c r="B1516" s="224" t="s">
        <v>147</v>
      </c>
      <c r="C1516" s="82" t="s">
        <v>11929</v>
      </c>
      <c r="D1516" s="83" t="s">
        <v>10305</v>
      </c>
      <c r="E1516" s="83" t="s">
        <v>11925</v>
      </c>
      <c r="F1516" s="274">
        <v>8.1</v>
      </c>
      <c r="G1516" s="473" t="s">
        <v>164</v>
      </c>
    </row>
    <row r="1517" ht="15.0" customHeight="1">
      <c r="A1517" s="224" t="s">
        <v>9298</v>
      </c>
      <c r="B1517" s="224" t="s">
        <v>147</v>
      </c>
      <c r="C1517" s="82" t="s">
        <v>11930</v>
      </c>
      <c r="D1517" s="83" t="s">
        <v>10305</v>
      </c>
      <c r="E1517" s="83" t="s">
        <v>11927</v>
      </c>
      <c r="F1517" s="274">
        <v>6.0</v>
      </c>
      <c r="G1517" s="473" t="s">
        <v>164</v>
      </c>
    </row>
    <row r="1518" ht="15.0" customHeight="1">
      <c r="A1518" s="224" t="s">
        <v>9298</v>
      </c>
      <c r="B1518" s="224" t="s">
        <v>147</v>
      </c>
      <c r="C1518" s="82" t="s">
        <v>11931</v>
      </c>
      <c r="D1518" s="83" t="s">
        <v>10305</v>
      </c>
      <c r="E1518" s="83" t="s">
        <v>11927</v>
      </c>
      <c r="F1518" s="274">
        <v>6.0</v>
      </c>
      <c r="G1518" s="473" t="s">
        <v>164</v>
      </c>
    </row>
    <row r="1519" ht="15.0" customHeight="1">
      <c r="A1519" s="224" t="s">
        <v>9298</v>
      </c>
      <c r="B1519" s="224" t="s">
        <v>147</v>
      </c>
      <c r="C1519" s="82" t="s">
        <v>11932</v>
      </c>
      <c r="D1519" s="83" t="s">
        <v>10305</v>
      </c>
      <c r="E1519" s="83" t="s">
        <v>11933</v>
      </c>
      <c r="F1519" s="274">
        <v>14.4</v>
      </c>
      <c r="G1519" s="473" t="s">
        <v>164</v>
      </c>
    </row>
    <row r="1520" ht="15.0" customHeight="1">
      <c r="A1520" s="224" t="s">
        <v>9298</v>
      </c>
      <c r="B1520" s="224" t="s">
        <v>147</v>
      </c>
      <c r="C1520" s="82" t="s">
        <v>11934</v>
      </c>
      <c r="D1520" s="83" t="s">
        <v>10305</v>
      </c>
      <c r="E1520" s="83">
        <v>10.666666666666666</v>
      </c>
      <c r="F1520" s="274">
        <v>10.6666666666667</v>
      </c>
      <c r="G1520" s="473" t="s">
        <v>164</v>
      </c>
    </row>
    <row r="1521" ht="15.0" customHeight="1">
      <c r="A1521" s="224" t="s">
        <v>9298</v>
      </c>
      <c r="B1521" s="224" t="s">
        <v>147</v>
      </c>
      <c r="C1521" s="82" t="s">
        <v>11935</v>
      </c>
      <c r="D1521" s="83" t="s">
        <v>10305</v>
      </c>
      <c r="E1521" s="83">
        <v>10.666666666666666</v>
      </c>
      <c r="F1521" s="274">
        <v>10.6666666666667</v>
      </c>
      <c r="G1521" s="473" t="s">
        <v>164</v>
      </c>
    </row>
    <row r="1522" ht="15.0" customHeight="1">
      <c r="A1522" s="224" t="s">
        <v>9298</v>
      </c>
      <c r="B1522" s="224" t="s">
        <v>147</v>
      </c>
      <c r="C1522" s="82" t="s">
        <v>11936</v>
      </c>
      <c r="D1522" s="83" t="s">
        <v>10305</v>
      </c>
      <c r="E1522" s="83" t="s">
        <v>11933</v>
      </c>
      <c r="F1522" s="274">
        <v>14.4</v>
      </c>
      <c r="G1522" s="473" t="s">
        <v>164</v>
      </c>
    </row>
    <row r="1523" ht="15.0" customHeight="1">
      <c r="A1523" s="224" t="s">
        <v>9298</v>
      </c>
      <c r="B1523" s="224" t="s">
        <v>147</v>
      </c>
      <c r="C1523" s="82" t="s">
        <v>11937</v>
      </c>
      <c r="D1523" s="83" t="s">
        <v>10305</v>
      </c>
      <c r="E1523" s="83" t="s">
        <v>11938</v>
      </c>
      <c r="F1523" s="274">
        <v>18.6666666666667</v>
      </c>
      <c r="G1523" s="473" t="s">
        <v>164</v>
      </c>
    </row>
    <row r="1524" ht="15.0" customHeight="1">
      <c r="A1524" s="224" t="s">
        <v>1160</v>
      </c>
      <c r="B1524" s="224" t="s">
        <v>147</v>
      </c>
      <c r="C1524" s="82" t="s">
        <v>11939</v>
      </c>
      <c r="D1524" s="83" t="s">
        <v>10305</v>
      </c>
      <c r="E1524" s="83">
        <v>13.05</v>
      </c>
      <c r="F1524" s="274">
        <v>13.05</v>
      </c>
      <c r="G1524" s="473" t="s">
        <v>165</v>
      </c>
    </row>
    <row r="1525" ht="15.0" customHeight="1">
      <c r="A1525" s="224" t="s">
        <v>1160</v>
      </c>
      <c r="B1525" s="224" t="s">
        <v>147</v>
      </c>
      <c r="C1525" s="82" t="s">
        <v>11940</v>
      </c>
      <c r="D1525" s="83" t="s">
        <v>10305</v>
      </c>
      <c r="E1525" s="83">
        <v>9.666666666666666</v>
      </c>
      <c r="F1525" s="274">
        <v>9.666666666666666</v>
      </c>
      <c r="G1525" s="473" t="s">
        <v>165</v>
      </c>
    </row>
    <row r="1526" ht="15.0" customHeight="1">
      <c r="A1526" s="224" t="s">
        <v>1160</v>
      </c>
      <c r="B1526" s="224" t="s">
        <v>147</v>
      </c>
      <c r="C1526" s="82" t="s">
        <v>11941</v>
      </c>
      <c r="D1526" s="83" t="s">
        <v>10305</v>
      </c>
      <c r="E1526" s="83">
        <v>15.666666666666666</v>
      </c>
      <c r="F1526" s="274">
        <v>15.666666666666666</v>
      </c>
      <c r="G1526" s="473" t="s">
        <v>165</v>
      </c>
    </row>
    <row r="1527" ht="15.0" customHeight="1">
      <c r="A1527" s="224" t="s">
        <v>1160</v>
      </c>
      <c r="B1527" s="224" t="s">
        <v>147</v>
      </c>
      <c r="C1527" s="82" t="s">
        <v>11942</v>
      </c>
      <c r="D1527" s="83" t="s">
        <v>10305</v>
      </c>
      <c r="E1527" s="83">
        <v>6.0</v>
      </c>
      <c r="F1527" s="274">
        <v>6.0</v>
      </c>
      <c r="G1527" s="473" t="s">
        <v>165</v>
      </c>
    </row>
    <row r="1528" ht="15.0" customHeight="1">
      <c r="A1528" s="224" t="s">
        <v>1160</v>
      </c>
      <c r="B1528" s="224" t="s">
        <v>147</v>
      </c>
      <c r="C1528" s="82" t="s">
        <v>11943</v>
      </c>
      <c r="D1528" s="83" t="s">
        <v>10305</v>
      </c>
      <c r="E1528" s="83">
        <v>2.5</v>
      </c>
      <c r="F1528" s="274">
        <v>3.0</v>
      </c>
      <c r="G1528" s="473" t="s">
        <v>165</v>
      </c>
    </row>
    <row r="1529" ht="15.0" customHeight="1">
      <c r="A1529" s="224" t="s">
        <v>1160</v>
      </c>
      <c r="B1529" s="224" t="s">
        <v>147</v>
      </c>
      <c r="C1529" s="82" t="s">
        <v>11944</v>
      </c>
      <c r="D1529" s="83" t="s">
        <v>10309</v>
      </c>
      <c r="E1529" s="83">
        <v>6.75</v>
      </c>
      <c r="F1529" s="274">
        <v>6.75</v>
      </c>
      <c r="G1529" s="473" t="s">
        <v>165</v>
      </c>
    </row>
    <row r="1530" ht="15.0" customHeight="1">
      <c r="A1530" s="224" t="s">
        <v>1160</v>
      </c>
      <c r="B1530" s="224" t="s">
        <v>147</v>
      </c>
      <c r="C1530" s="82" t="s">
        <v>11945</v>
      </c>
      <c r="D1530" s="83" t="s">
        <v>10309</v>
      </c>
      <c r="E1530" s="83">
        <v>10.575000000000001</v>
      </c>
      <c r="F1530" s="274">
        <v>10.575000000000001</v>
      </c>
      <c r="G1530" s="473" t="s">
        <v>165</v>
      </c>
    </row>
    <row r="1531" ht="15.0" customHeight="1">
      <c r="A1531" s="224" t="s">
        <v>9300</v>
      </c>
      <c r="B1531" s="224" t="s">
        <v>147</v>
      </c>
      <c r="C1531" s="82" t="s">
        <v>11946</v>
      </c>
      <c r="D1531" s="83" t="s">
        <v>10305</v>
      </c>
      <c r="E1531" s="83" t="s">
        <v>11947</v>
      </c>
      <c r="F1531" s="274">
        <v>43.2</v>
      </c>
      <c r="G1531" s="473" t="s">
        <v>5626</v>
      </c>
    </row>
    <row r="1532" ht="15.0" customHeight="1">
      <c r="A1532" s="224" t="s">
        <v>9300</v>
      </c>
      <c r="B1532" s="224" t="s">
        <v>147</v>
      </c>
      <c r="C1532" s="82" t="s">
        <v>11948</v>
      </c>
      <c r="D1532" s="83" t="s">
        <v>10305</v>
      </c>
      <c r="E1532" s="83" t="s">
        <v>11949</v>
      </c>
      <c r="F1532" s="274">
        <v>11.67</v>
      </c>
      <c r="G1532" s="473" t="s">
        <v>5626</v>
      </c>
    </row>
    <row r="1533" ht="15.0" customHeight="1">
      <c r="A1533" s="224" t="s">
        <v>9300</v>
      </c>
      <c r="B1533" s="224" t="s">
        <v>147</v>
      </c>
      <c r="C1533" s="82" t="s">
        <v>11950</v>
      </c>
      <c r="D1533" s="83" t="s">
        <v>10305</v>
      </c>
      <c r="E1533" s="83" t="s">
        <v>11951</v>
      </c>
      <c r="F1533" s="274">
        <v>10.67</v>
      </c>
      <c r="G1533" s="473" t="s">
        <v>5626</v>
      </c>
    </row>
    <row r="1534" ht="15.0" customHeight="1">
      <c r="A1534" s="224" t="s">
        <v>9300</v>
      </c>
      <c r="B1534" s="224" t="s">
        <v>147</v>
      </c>
      <c r="C1534" s="82" t="s">
        <v>11952</v>
      </c>
      <c r="D1534" s="83" t="s">
        <v>10305</v>
      </c>
      <c r="E1534" s="83" t="s">
        <v>11953</v>
      </c>
      <c r="F1534" s="274">
        <v>15.34</v>
      </c>
      <c r="G1534" s="473" t="s">
        <v>5626</v>
      </c>
    </row>
    <row r="1535" ht="15.0" customHeight="1">
      <c r="A1535" s="224" t="s">
        <v>9300</v>
      </c>
      <c r="B1535" s="224" t="s">
        <v>147</v>
      </c>
      <c r="C1535" s="82" t="s">
        <v>11954</v>
      </c>
      <c r="D1535" s="83" t="s">
        <v>10305</v>
      </c>
      <c r="E1535" s="83" t="s">
        <v>11955</v>
      </c>
      <c r="F1535" s="274">
        <v>10.0</v>
      </c>
      <c r="G1535" s="473" t="s">
        <v>5626</v>
      </c>
    </row>
    <row r="1536" ht="15.0" customHeight="1">
      <c r="A1536" s="224" t="s">
        <v>9300</v>
      </c>
      <c r="B1536" s="224" t="s">
        <v>147</v>
      </c>
      <c r="C1536" s="82" t="s">
        <v>11956</v>
      </c>
      <c r="D1536" s="83" t="s">
        <v>11485</v>
      </c>
      <c r="E1536" s="83" t="s">
        <v>11957</v>
      </c>
      <c r="F1536" s="274">
        <v>13.05</v>
      </c>
      <c r="G1536" s="473" t="s">
        <v>5626</v>
      </c>
    </row>
    <row r="1537" ht="15.0" customHeight="1">
      <c r="A1537" s="224" t="s">
        <v>9300</v>
      </c>
      <c r="B1537" s="224" t="s">
        <v>147</v>
      </c>
      <c r="C1537" s="82" t="s">
        <v>11958</v>
      </c>
      <c r="D1537" s="83" t="s">
        <v>10952</v>
      </c>
      <c r="E1537" s="83" t="s">
        <v>11959</v>
      </c>
      <c r="F1537" s="274">
        <v>25.34</v>
      </c>
      <c r="G1537" s="473" t="s">
        <v>5626</v>
      </c>
    </row>
    <row r="1538" ht="15.0" customHeight="1">
      <c r="A1538" s="224" t="s">
        <v>1211</v>
      </c>
      <c r="B1538" s="224" t="s">
        <v>147</v>
      </c>
      <c r="C1538" s="82" t="s">
        <v>11960</v>
      </c>
      <c r="D1538" s="83" t="s">
        <v>10046</v>
      </c>
      <c r="E1538" s="83" t="s">
        <v>11961</v>
      </c>
      <c r="F1538" s="274">
        <v>7.65</v>
      </c>
      <c r="G1538" s="473" t="s">
        <v>168</v>
      </c>
    </row>
    <row r="1539" ht="15.0" customHeight="1">
      <c r="A1539" s="224" t="s">
        <v>1211</v>
      </c>
      <c r="B1539" s="224" t="s">
        <v>147</v>
      </c>
      <c r="C1539" s="82" t="s">
        <v>11962</v>
      </c>
      <c r="D1539" s="83" t="s">
        <v>10046</v>
      </c>
      <c r="E1539" s="83" t="s">
        <v>11963</v>
      </c>
      <c r="F1539" s="274">
        <v>5.67</v>
      </c>
      <c r="G1539" s="473" t="s">
        <v>168</v>
      </c>
    </row>
    <row r="1540" ht="15.0" customHeight="1">
      <c r="A1540" s="224" t="s">
        <v>1211</v>
      </c>
      <c r="B1540" s="224" t="s">
        <v>147</v>
      </c>
      <c r="C1540" s="82" t="s">
        <v>11964</v>
      </c>
      <c r="D1540" s="83" t="s">
        <v>10046</v>
      </c>
      <c r="E1540" s="83" t="s">
        <v>11963</v>
      </c>
      <c r="F1540" s="274">
        <v>5.67</v>
      </c>
      <c r="G1540" s="473" t="s">
        <v>168</v>
      </c>
    </row>
    <row r="1541" ht="15.0" customHeight="1">
      <c r="A1541" s="224" t="s">
        <v>1211</v>
      </c>
      <c r="B1541" s="224" t="s">
        <v>147</v>
      </c>
      <c r="C1541" s="82" t="s">
        <v>11965</v>
      </c>
      <c r="D1541" s="83" t="s">
        <v>10046</v>
      </c>
      <c r="E1541" s="83" t="s">
        <v>11966</v>
      </c>
      <c r="F1541" s="274">
        <v>10.8</v>
      </c>
      <c r="G1541" s="473" t="s">
        <v>168</v>
      </c>
    </row>
    <row r="1542" ht="15.0" customHeight="1">
      <c r="A1542" s="224" t="s">
        <v>1211</v>
      </c>
      <c r="B1542" s="224" t="s">
        <v>147</v>
      </c>
      <c r="C1542" s="82" t="s">
        <v>11967</v>
      </c>
      <c r="D1542" s="83" t="s">
        <v>10046</v>
      </c>
      <c r="E1542" s="83" t="s">
        <v>11968</v>
      </c>
      <c r="F1542" s="274">
        <v>8.0</v>
      </c>
      <c r="G1542" s="473" t="s">
        <v>168</v>
      </c>
    </row>
    <row r="1543" ht="15.0" customHeight="1">
      <c r="A1543" s="224" t="s">
        <v>1211</v>
      </c>
      <c r="B1543" s="224" t="s">
        <v>147</v>
      </c>
      <c r="C1543" s="82" t="s">
        <v>11969</v>
      </c>
      <c r="D1543" s="83" t="s">
        <v>10046</v>
      </c>
      <c r="E1543" s="83" t="s">
        <v>11968</v>
      </c>
      <c r="F1543" s="274">
        <v>8.0</v>
      </c>
      <c r="G1543" s="473" t="s">
        <v>168</v>
      </c>
    </row>
    <row r="1544" ht="15.0" customHeight="1">
      <c r="A1544" s="224" t="s">
        <v>1211</v>
      </c>
      <c r="B1544" s="224" t="s">
        <v>147</v>
      </c>
      <c r="C1544" s="82" t="s">
        <v>11970</v>
      </c>
      <c r="D1544" s="83" t="s">
        <v>10046</v>
      </c>
      <c r="E1544" s="83" t="s">
        <v>11971</v>
      </c>
      <c r="F1544" s="274">
        <v>6.0</v>
      </c>
      <c r="G1544" s="473" t="s">
        <v>168</v>
      </c>
    </row>
    <row r="1545" ht="15.0" customHeight="1">
      <c r="A1545" s="224" t="s">
        <v>1211</v>
      </c>
      <c r="B1545" s="224" t="s">
        <v>147</v>
      </c>
      <c r="C1545" s="82" t="s">
        <v>11972</v>
      </c>
      <c r="D1545" s="83" t="s">
        <v>10046</v>
      </c>
      <c r="E1545" s="83" t="s">
        <v>11973</v>
      </c>
      <c r="F1545" s="274">
        <v>6.0</v>
      </c>
      <c r="G1545" s="473" t="s">
        <v>168</v>
      </c>
    </row>
    <row r="1546" ht="15.0" customHeight="1">
      <c r="A1546" s="224" t="s">
        <v>1211</v>
      </c>
      <c r="B1546" s="224" t="s">
        <v>147</v>
      </c>
      <c r="C1546" s="82" t="s">
        <v>11974</v>
      </c>
      <c r="D1546" s="83" t="s">
        <v>10046</v>
      </c>
      <c r="E1546" s="83" t="s">
        <v>11966</v>
      </c>
      <c r="F1546" s="274">
        <v>10.8</v>
      </c>
      <c r="G1546" s="473" t="s">
        <v>168</v>
      </c>
    </row>
    <row r="1547" ht="15.0" customHeight="1">
      <c r="A1547" s="224" t="s">
        <v>1211</v>
      </c>
      <c r="B1547" s="224" t="s">
        <v>147</v>
      </c>
      <c r="C1547" s="82" t="s">
        <v>11975</v>
      </c>
      <c r="D1547" s="83" t="s">
        <v>10046</v>
      </c>
      <c r="E1547" s="83" t="s">
        <v>11968</v>
      </c>
      <c r="F1547" s="274">
        <v>8.0</v>
      </c>
      <c r="G1547" s="473" t="s">
        <v>168</v>
      </c>
    </row>
    <row r="1548" ht="15.0" customHeight="1">
      <c r="A1548" s="224" t="s">
        <v>1211</v>
      </c>
      <c r="B1548" s="224" t="s">
        <v>147</v>
      </c>
      <c r="C1548" s="82" t="s">
        <v>11976</v>
      </c>
      <c r="D1548" s="83" t="s">
        <v>10046</v>
      </c>
      <c r="E1548" s="83" t="s">
        <v>11968</v>
      </c>
      <c r="F1548" s="274">
        <v>8.0</v>
      </c>
      <c r="G1548" s="473" t="s">
        <v>168</v>
      </c>
    </row>
    <row r="1549" ht="15.0" customHeight="1">
      <c r="A1549" s="224" t="s">
        <v>1211</v>
      </c>
      <c r="B1549" s="224" t="s">
        <v>147</v>
      </c>
      <c r="C1549" s="82" t="s">
        <v>11977</v>
      </c>
      <c r="D1549" s="83" t="s">
        <v>10046</v>
      </c>
      <c r="E1549" s="83" t="s">
        <v>11968</v>
      </c>
      <c r="F1549" s="274">
        <v>8.0</v>
      </c>
      <c r="G1549" s="473" t="s">
        <v>168</v>
      </c>
    </row>
    <row r="1550" ht="15.0" customHeight="1">
      <c r="A1550" s="224" t="s">
        <v>1211</v>
      </c>
      <c r="B1550" s="224" t="s">
        <v>147</v>
      </c>
      <c r="C1550" s="82" t="s">
        <v>11978</v>
      </c>
      <c r="D1550" s="83" t="s">
        <v>8485</v>
      </c>
      <c r="E1550" s="83" t="s">
        <v>11979</v>
      </c>
      <c r="F1550" s="274" t="s">
        <v>11980</v>
      </c>
      <c r="G1550" s="473" t="s">
        <v>168</v>
      </c>
    </row>
    <row r="1551" ht="15.0" customHeight="1">
      <c r="A1551" s="224" t="s">
        <v>1211</v>
      </c>
      <c r="B1551" s="224" t="s">
        <v>147</v>
      </c>
      <c r="C1551" s="82" t="s">
        <v>11981</v>
      </c>
      <c r="D1551" s="83" t="s">
        <v>8485</v>
      </c>
      <c r="E1551" s="83" t="s">
        <v>11982</v>
      </c>
      <c r="F1551" s="274">
        <v>16.66</v>
      </c>
      <c r="G1551" s="473" t="s">
        <v>168</v>
      </c>
    </row>
    <row r="1552" ht="15.0" customHeight="1">
      <c r="A1552" s="224" t="s">
        <v>9302</v>
      </c>
      <c r="B1552" s="224" t="s">
        <v>147</v>
      </c>
      <c r="C1552" s="82" t="s">
        <v>11983</v>
      </c>
      <c r="D1552" s="83" t="s">
        <v>10046</v>
      </c>
      <c r="E1552" s="83" t="s">
        <v>11984</v>
      </c>
      <c r="F1552" s="274">
        <v>7.2</v>
      </c>
      <c r="G1552" s="473" t="s">
        <v>170</v>
      </c>
    </row>
    <row r="1553" ht="15.0" customHeight="1">
      <c r="A1553" s="224" t="s">
        <v>9302</v>
      </c>
      <c r="B1553" s="224" t="s">
        <v>147</v>
      </c>
      <c r="C1553" s="82" t="s">
        <v>11985</v>
      </c>
      <c r="D1553" s="83" t="s">
        <v>10046</v>
      </c>
      <c r="E1553" s="83" t="s">
        <v>11986</v>
      </c>
      <c r="F1553" s="274">
        <v>5.34</v>
      </c>
      <c r="G1553" s="473" t="s">
        <v>170</v>
      </c>
    </row>
    <row r="1554" ht="15.0" customHeight="1">
      <c r="A1554" s="224" t="s">
        <v>9302</v>
      </c>
      <c r="B1554" s="224" t="s">
        <v>147</v>
      </c>
      <c r="C1554" s="82" t="s">
        <v>11987</v>
      </c>
      <c r="D1554" s="83" t="s">
        <v>10046</v>
      </c>
      <c r="E1554" s="83" t="s">
        <v>11986</v>
      </c>
      <c r="F1554" s="274">
        <v>5.34</v>
      </c>
      <c r="G1554" s="473" t="s">
        <v>170</v>
      </c>
    </row>
    <row r="1555" ht="15.0" customHeight="1">
      <c r="A1555" s="224" t="s">
        <v>9302</v>
      </c>
      <c r="B1555" s="224" t="s">
        <v>147</v>
      </c>
      <c r="C1555" s="82" t="s">
        <v>11988</v>
      </c>
      <c r="D1555" s="83" t="s">
        <v>10046</v>
      </c>
      <c r="E1555" s="83" t="s">
        <v>11989</v>
      </c>
      <c r="F1555" s="274">
        <v>10.8</v>
      </c>
      <c r="G1555" s="473" t="s">
        <v>170</v>
      </c>
    </row>
    <row r="1556" ht="15.0" customHeight="1">
      <c r="A1556" s="224" t="s">
        <v>9302</v>
      </c>
      <c r="B1556" s="224" t="s">
        <v>147</v>
      </c>
      <c r="C1556" s="82" t="s">
        <v>11990</v>
      </c>
      <c r="D1556" s="83" t="s">
        <v>10046</v>
      </c>
      <c r="E1556" s="83" t="s">
        <v>11991</v>
      </c>
      <c r="F1556" s="274">
        <v>8.0</v>
      </c>
      <c r="G1556" s="473" t="s">
        <v>170</v>
      </c>
    </row>
    <row r="1557" ht="15.0" customHeight="1">
      <c r="A1557" s="224" t="s">
        <v>9302</v>
      </c>
      <c r="B1557" s="224" t="s">
        <v>147</v>
      </c>
      <c r="C1557" s="82" t="s">
        <v>11992</v>
      </c>
      <c r="D1557" s="83" t="s">
        <v>10046</v>
      </c>
      <c r="E1557" s="83" t="s">
        <v>11991</v>
      </c>
      <c r="F1557" s="274">
        <v>8.0</v>
      </c>
      <c r="G1557" s="473" t="s">
        <v>170</v>
      </c>
    </row>
    <row r="1558" ht="15.0" customHeight="1">
      <c r="A1558" s="224" t="s">
        <v>9302</v>
      </c>
      <c r="B1558" s="224" t="s">
        <v>147</v>
      </c>
      <c r="C1558" s="82" t="s">
        <v>11993</v>
      </c>
      <c r="D1558" s="83" t="s">
        <v>10046</v>
      </c>
      <c r="E1558" s="83" t="s">
        <v>11989</v>
      </c>
      <c r="F1558" s="274">
        <v>10.8</v>
      </c>
      <c r="G1558" s="473" t="s">
        <v>170</v>
      </c>
    </row>
    <row r="1559" ht="15.0" customHeight="1">
      <c r="A1559" s="224" t="s">
        <v>9302</v>
      </c>
      <c r="B1559" s="224" t="s">
        <v>147</v>
      </c>
      <c r="C1559" s="82" t="s">
        <v>11994</v>
      </c>
      <c r="D1559" s="83" t="s">
        <v>10046</v>
      </c>
      <c r="E1559" s="83" t="s">
        <v>11991</v>
      </c>
      <c r="F1559" s="274">
        <v>8.0</v>
      </c>
      <c r="G1559" s="473" t="s">
        <v>170</v>
      </c>
    </row>
    <row r="1560" ht="15.0" customHeight="1">
      <c r="A1560" s="224" t="s">
        <v>9302</v>
      </c>
      <c r="B1560" s="224" t="s">
        <v>147</v>
      </c>
      <c r="C1560" s="82" t="s">
        <v>11995</v>
      </c>
      <c r="D1560" s="83" t="s">
        <v>10046</v>
      </c>
      <c r="E1560" s="83" t="s">
        <v>11996</v>
      </c>
      <c r="F1560" s="274">
        <v>5.85</v>
      </c>
      <c r="G1560" s="473" t="s">
        <v>170</v>
      </c>
    </row>
    <row r="1561" ht="15.0" customHeight="1">
      <c r="A1561" s="224" t="s">
        <v>9302</v>
      </c>
      <c r="B1561" s="224" t="s">
        <v>147</v>
      </c>
      <c r="C1561" s="82" t="s">
        <v>11997</v>
      </c>
      <c r="D1561" s="83" t="s">
        <v>10046</v>
      </c>
      <c r="E1561" s="83" t="s">
        <v>11998</v>
      </c>
      <c r="F1561" s="274">
        <v>4.34</v>
      </c>
      <c r="G1561" s="473" t="s">
        <v>170</v>
      </c>
    </row>
    <row r="1562" ht="15.0" customHeight="1">
      <c r="A1562" s="224" t="s">
        <v>9302</v>
      </c>
      <c r="B1562" s="224" t="s">
        <v>147</v>
      </c>
      <c r="C1562" s="82" t="s">
        <v>11999</v>
      </c>
      <c r="D1562" s="83" t="s">
        <v>10046</v>
      </c>
      <c r="E1562" s="83">
        <v>4.333333333333333</v>
      </c>
      <c r="F1562" s="274">
        <v>4.34</v>
      </c>
      <c r="G1562" s="473" t="s">
        <v>170</v>
      </c>
    </row>
    <row r="1563" ht="15.0" customHeight="1">
      <c r="A1563" s="224" t="s">
        <v>9302</v>
      </c>
      <c r="B1563" s="224" t="s">
        <v>147</v>
      </c>
      <c r="C1563" s="82" t="s">
        <v>12000</v>
      </c>
      <c r="D1563" s="83" t="s">
        <v>10309</v>
      </c>
      <c r="E1563" s="83">
        <v>9.0</v>
      </c>
      <c r="F1563" s="274">
        <v>9.0</v>
      </c>
      <c r="G1563" s="473" t="s">
        <v>170</v>
      </c>
    </row>
    <row r="1564" ht="15.0" customHeight="1">
      <c r="A1564" s="224" t="s">
        <v>9302</v>
      </c>
      <c r="B1564" s="224" t="s">
        <v>147</v>
      </c>
      <c r="C1564" s="82" t="s">
        <v>12001</v>
      </c>
      <c r="D1564" s="83" t="s">
        <v>10309</v>
      </c>
      <c r="E1564" s="83" t="s">
        <v>12002</v>
      </c>
      <c r="F1564" s="274">
        <v>6.08</v>
      </c>
      <c r="G1564" s="473" t="s">
        <v>170</v>
      </c>
    </row>
    <row r="1565" ht="15.0" customHeight="1">
      <c r="A1565" s="224" t="s">
        <v>9302</v>
      </c>
      <c r="B1565" s="224" t="s">
        <v>147</v>
      </c>
      <c r="C1565" s="82" t="s">
        <v>12003</v>
      </c>
      <c r="D1565" s="83" t="s">
        <v>10309</v>
      </c>
      <c r="E1565" s="83">
        <v>7.333333333333333</v>
      </c>
      <c r="F1565" s="274">
        <v>7.34</v>
      </c>
      <c r="G1565" s="473" t="s">
        <v>170</v>
      </c>
    </row>
    <row r="1566" ht="15.0" customHeight="1">
      <c r="A1566" s="224" t="s">
        <v>9302</v>
      </c>
      <c r="B1566" s="224" t="s">
        <v>147</v>
      </c>
      <c r="C1566" s="82" t="s">
        <v>12004</v>
      </c>
      <c r="D1566" s="83" t="s">
        <v>10309</v>
      </c>
      <c r="E1566" s="83" t="s">
        <v>12005</v>
      </c>
      <c r="F1566" s="274">
        <v>4.95</v>
      </c>
      <c r="G1566" s="473" t="s">
        <v>170</v>
      </c>
    </row>
    <row r="1567" ht="15.0" customHeight="1">
      <c r="A1567" s="224" t="s">
        <v>9302</v>
      </c>
      <c r="B1567" s="224" t="s">
        <v>147</v>
      </c>
      <c r="C1567" s="82" t="s">
        <v>12006</v>
      </c>
      <c r="D1567" s="83" t="s">
        <v>10309</v>
      </c>
      <c r="E1567" s="83">
        <v>45599.0</v>
      </c>
      <c r="F1567" s="274">
        <v>3.67</v>
      </c>
      <c r="G1567" s="473" t="s">
        <v>170</v>
      </c>
    </row>
    <row r="1568" ht="15.0" customHeight="1">
      <c r="A1568" s="224" t="s">
        <v>9302</v>
      </c>
      <c r="B1568" s="224" t="s">
        <v>147</v>
      </c>
      <c r="C1568" s="82" t="s">
        <v>12007</v>
      </c>
      <c r="D1568" s="83" t="s">
        <v>10309</v>
      </c>
      <c r="E1568" s="83" t="s">
        <v>12008</v>
      </c>
      <c r="F1568" s="274">
        <v>2.48</v>
      </c>
      <c r="G1568" s="473" t="s">
        <v>170</v>
      </c>
    </row>
    <row r="1569" ht="15.0" customHeight="1">
      <c r="A1569" s="224" t="s">
        <v>8891</v>
      </c>
      <c r="B1569" s="224" t="s">
        <v>147</v>
      </c>
      <c r="C1569" s="82" t="s">
        <v>12009</v>
      </c>
      <c r="D1569" s="83" t="s">
        <v>10305</v>
      </c>
      <c r="E1569" s="83" t="s">
        <v>12010</v>
      </c>
      <c r="F1569" s="274">
        <v>109.45</v>
      </c>
      <c r="G1569" s="473" t="s">
        <v>171</v>
      </c>
    </row>
    <row r="1570" ht="15.0" customHeight="1">
      <c r="A1570" s="224" t="s">
        <v>8891</v>
      </c>
      <c r="B1570" s="224" t="s">
        <v>147</v>
      </c>
      <c r="C1570" s="82" t="s">
        <v>12011</v>
      </c>
      <c r="D1570" s="83" t="s">
        <v>10305</v>
      </c>
      <c r="E1570" s="83" t="s">
        <v>12012</v>
      </c>
      <c r="F1570" s="274">
        <v>61.333333333333336</v>
      </c>
      <c r="G1570" s="473" t="s">
        <v>171</v>
      </c>
    </row>
    <row r="1571" ht="15.0" customHeight="1">
      <c r="A1571" s="224" t="s">
        <v>8891</v>
      </c>
      <c r="B1571" s="224" t="s">
        <v>147</v>
      </c>
      <c r="C1571" s="82" t="s">
        <v>11873</v>
      </c>
      <c r="D1571" s="83" t="s">
        <v>10305</v>
      </c>
      <c r="E1571" s="83" t="s">
        <v>12013</v>
      </c>
      <c r="F1571" s="274">
        <v>22.0</v>
      </c>
      <c r="G1571" s="473" t="s">
        <v>171</v>
      </c>
    </row>
    <row r="1572" ht="15.0" customHeight="1">
      <c r="A1572" s="224" t="s">
        <v>8409</v>
      </c>
      <c r="B1572" s="224" t="s">
        <v>147</v>
      </c>
      <c r="C1572" s="82" t="s">
        <v>12014</v>
      </c>
      <c r="D1572" s="83" t="s">
        <v>10046</v>
      </c>
      <c r="E1572" s="83">
        <v>8.0</v>
      </c>
      <c r="F1572" s="274">
        <v>8.0</v>
      </c>
      <c r="G1572" s="473" t="s">
        <v>5077</v>
      </c>
    </row>
    <row r="1573" ht="15.0" customHeight="1">
      <c r="A1573" s="224" t="s">
        <v>8409</v>
      </c>
      <c r="B1573" s="224" t="s">
        <v>147</v>
      </c>
      <c r="C1573" s="82" t="s">
        <v>12015</v>
      </c>
      <c r="D1573" s="83" t="s">
        <v>10046</v>
      </c>
      <c r="E1573" s="83">
        <v>8.0</v>
      </c>
      <c r="F1573" s="274">
        <v>8.0</v>
      </c>
      <c r="G1573" s="473" t="s">
        <v>5077</v>
      </c>
    </row>
    <row r="1574" ht="15.0" customHeight="1">
      <c r="A1574" s="224" t="s">
        <v>8409</v>
      </c>
      <c r="B1574" s="224" t="s">
        <v>147</v>
      </c>
      <c r="C1574" s="82" t="s">
        <v>12016</v>
      </c>
      <c r="D1574" s="83" t="s">
        <v>10046</v>
      </c>
      <c r="E1574" s="83">
        <v>2.0</v>
      </c>
      <c r="F1574" s="274">
        <v>2.0</v>
      </c>
      <c r="G1574" s="473" t="s">
        <v>5077</v>
      </c>
    </row>
    <row r="1575" ht="15.0" customHeight="1">
      <c r="A1575" s="224" t="s">
        <v>8409</v>
      </c>
      <c r="B1575" s="224" t="s">
        <v>147</v>
      </c>
      <c r="C1575" s="82" t="s">
        <v>12017</v>
      </c>
      <c r="D1575" s="83" t="s">
        <v>10046</v>
      </c>
      <c r="E1575" s="83">
        <v>1.0</v>
      </c>
      <c r="F1575" s="274">
        <v>1.0</v>
      </c>
      <c r="G1575" s="473" t="s">
        <v>5077</v>
      </c>
    </row>
    <row r="1576" ht="15.0" customHeight="1">
      <c r="A1576" s="224" t="s">
        <v>8409</v>
      </c>
      <c r="B1576" s="224" t="s">
        <v>147</v>
      </c>
      <c r="C1576" s="82" t="s">
        <v>12018</v>
      </c>
      <c r="D1576" s="83" t="s">
        <v>10046</v>
      </c>
      <c r="E1576" s="83">
        <v>19.0</v>
      </c>
      <c r="F1576" s="274">
        <v>19.0</v>
      </c>
      <c r="G1576" s="473" t="s">
        <v>5077</v>
      </c>
    </row>
    <row r="1577" ht="15.0" customHeight="1">
      <c r="A1577" s="224" t="s">
        <v>8409</v>
      </c>
      <c r="B1577" s="224" t="s">
        <v>147</v>
      </c>
      <c r="C1577" s="82" t="s">
        <v>12019</v>
      </c>
      <c r="D1577" s="83" t="s">
        <v>10046</v>
      </c>
      <c r="E1577" s="83">
        <v>19.0</v>
      </c>
      <c r="F1577" s="274">
        <v>19.0</v>
      </c>
      <c r="G1577" s="473" t="s">
        <v>5077</v>
      </c>
    </row>
    <row r="1578" ht="15.0" customHeight="1">
      <c r="A1578" s="224" t="s">
        <v>8409</v>
      </c>
      <c r="B1578" s="224" t="s">
        <v>147</v>
      </c>
      <c r="C1578" s="82" t="s">
        <v>12020</v>
      </c>
      <c r="D1578" s="83" t="s">
        <v>10046</v>
      </c>
      <c r="E1578" s="83">
        <v>4.0</v>
      </c>
      <c r="F1578" s="274">
        <v>4.0</v>
      </c>
      <c r="G1578" s="473" t="s">
        <v>5077</v>
      </c>
    </row>
    <row r="1579" ht="15.0" customHeight="1">
      <c r="A1579" s="224" t="s">
        <v>8409</v>
      </c>
      <c r="B1579" s="224" t="s">
        <v>147</v>
      </c>
      <c r="C1579" s="82" t="s">
        <v>12021</v>
      </c>
      <c r="D1579" s="83" t="s">
        <v>10046</v>
      </c>
      <c r="E1579" s="83">
        <v>2.0</v>
      </c>
      <c r="F1579" s="274">
        <v>2.0</v>
      </c>
      <c r="G1579" s="473" t="s">
        <v>5077</v>
      </c>
    </row>
    <row r="1580" ht="15.0" customHeight="1">
      <c r="A1580" s="224" t="s">
        <v>8409</v>
      </c>
      <c r="B1580" s="224" t="s">
        <v>147</v>
      </c>
      <c r="C1580" s="82" t="s">
        <v>12022</v>
      </c>
      <c r="D1580" s="83" t="s">
        <v>10046</v>
      </c>
      <c r="E1580" s="83">
        <v>11.0</v>
      </c>
      <c r="F1580" s="274">
        <v>11.0</v>
      </c>
      <c r="G1580" s="473" t="s">
        <v>5077</v>
      </c>
    </row>
    <row r="1581" ht="15.0" customHeight="1">
      <c r="A1581" s="224" t="s">
        <v>8409</v>
      </c>
      <c r="B1581" s="224" t="s">
        <v>147</v>
      </c>
      <c r="C1581" s="82" t="s">
        <v>12023</v>
      </c>
      <c r="D1581" s="83" t="s">
        <v>10046</v>
      </c>
      <c r="E1581" s="83">
        <v>11.0</v>
      </c>
      <c r="F1581" s="274">
        <v>11.0</v>
      </c>
      <c r="G1581" s="473" t="s">
        <v>5077</v>
      </c>
    </row>
    <row r="1582" ht="15.0" customHeight="1">
      <c r="A1582" s="224" t="s">
        <v>8409</v>
      </c>
      <c r="B1582" s="224" t="s">
        <v>147</v>
      </c>
      <c r="C1582" s="82" t="s">
        <v>12024</v>
      </c>
      <c r="D1582" s="83" t="s">
        <v>10046</v>
      </c>
      <c r="E1582" s="83">
        <v>2.0</v>
      </c>
      <c r="F1582" s="274">
        <v>2.0</v>
      </c>
      <c r="G1582" s="473" t="s">
        <v>5077</v>
      </c>
    </row>
    <row r="1583" ht="15.0" customHeight="1">
      <c r="A1583" s="224" t="s">
        <v>8409</v>
      </c>
      <c r="B1583" s="224" t="s">
        <v>147</v>
      </c>
      <c r="C1583" s="82" t="s">
        <v>12025</v>
      </c>
      <c r="D1583" s="83" t="s">
        <v>10046</v>
      </c>
      <c r="E1583" s="83">
        <v>1.0</v>
      </c>
      <c r="F1583" s="274">
        <v>1.0</v>
      </c>
      <c r="G1583" s="473" t="s">
        <v>5077</v>
      </c>
    </row>
    <row r="1584" ht="15.0" customHeight="1">
      <c r="A1584" s="224" t="s">
        <v>8409</v>
      </c>
      <c r="B1584" s="224" t="s">
        <v>147</v>
      </c>
      <c r="C1584" s="82" t="s">
        <v>12026</v>
      </c>
      <c r="D1584" s="83" t="s">
        <v>10046</v>
      </c>
      <c r="E1584" s="83">
        <v>10.0</v>
      </c>
      <c r="F1584" s="274">
        <v>10.0</v>
      </c>
      <c r="G1584" s="473" t="s">
        <v>5077</v>
      </c>
    </row>
    <row r="1585" ht="15.0" customHeight="1">
      <c r="A1585" s="224" t="s">
        <v>8409</v>
      </c>
      <c r="B1585" s="224" t="s">
        <v>147</v>
      </c>
      <c r="C1585" s="82" t="s">
        <v>12027</v>
      </c>
      <c r="D1585" s="83" t="s">
        <v>10046</v>
      </c>
      <c r="E1585" s="83">
        <v>10.0</v>
      </c>
      <c r="F1585" s="274">
        <v>10.0</v>
      </c>
      <c r="G1585" s="473" t="s">
        <v>5077</v>
      </c>
    </row>
    <row r="1586" ht="15.0" customHeight="1">
      <c r="A1586" s="224" t="s">
        <v>8409</v>
      </c>
      <c r="B1586" s="224" t="s">
        <v>147</v>
      </c>
      <c r="C1586" s="82" t="s">
        <v>12028</v>
      </c>
      <c r="D1586" s="83" t="s">
        <v>10046</v>
      </c>
      <c r="E1586" s="83">
        <v>2.0</v>
      </c>
      <c r="F1586" s="274">
        <v>2.0</v>
      </c>
      <c r="G1586" s="473" t="s">
        <v>5077</v>
      </c>
    </row>
    <row r="1587" ht="15.0" customHeight="1">
      <c r="A1587" s="224" t="s">
        <v>8409</v>
      </c>
      <c r="B1587" s="224" t="s">
        <v>147</v>
      </c>
      <c r="C1587" s="82" t="s">
        <v>12029</v>
      </c>
      <c r="D1587" s="83" t="s">
        <v>10046</v>
      </c>
      <c r="E1587" s="83">
        <v>1.0</v>
      </c>
      <c r="F1587" s="274">
        <v>1.0</v>
      </c>
      <c r="G1587" s="473" t="s">
        <v>5077</v>
      </c>
    </row>
    <row r="1588" ht="15.0" customHeight="1">
      <c r="A1588" s="224" t="s">
        <v>8409</v>
      </c>
      <c r="B1588" s="224" t="s">
        <v>147</v>
      </c>
      <c r="C1588" s="82" t="s">
        <v>12030</v>
      </c>
      <c r="D1588" s="83" t="s">
        <v>12031</v>
      </c>
      <c r="E1588" s="83">
        <v>9.0</v>
      </c>
      <c r="F1588" s="274">
        <v>18.0</v>
      </c>
      <c r="G1588" s="473" t="s">
        <v>5077</v>
      </c>
    </row>
    <row r="1589" ht="15.0" customHeight="1">
      <c r="A1589" s="224" t="s">
        <v>8409</v>
      </c>
      <c r="B1589" s="224" t="s">
        <v>147</v>
      </c>
      <c r="C1589" s="82" t="s">
        <v>12032</v>
      </c>
      <c r="D1589" s="83" t="s">
        <v>12031</v>
      </c>
      <c r="E1589" s="83">
        <v>1.0</v>
      </c>
      <c r="F1589" s="274">
        <v>2.0</v>
      </c>
      <c r="G1589" s="473" t="s">
        <v>5077</v>
      </c>
    </row>
    <row r="1590" ht="15.0" customHeight="1">
      <c r="A1590" s="224" t="s">
        <v>8409</v>
      </c>
      <c r="B1590" s="224" t="s">
        <v>147</v>
      </c>
      <c r="C1590" s="82" t="s">
        <v>12033</v>
      </c>
      <c r="D1590" s="83" t="s">
        <v>12034</v>
      </c>
      <c r="E1590" s="83">
        <v>7.0</v>
      </c>
      <c r="F1590" s="274">
        <v>14.0</v>
      </c>
      <c r="G1590" s="473" t="s">
        <v>5077</v>
      </c>
    </row>
    <row r="1591" ht="15.0" customHeight="1">
      <c r="A1591" s="224" t="s">
        <v>8409</v>
      </c>
      <c r="B1591" s="224" t="s">
        <v>147</v>
      </c>
      <c r="C1591" s="82" t="s">
        <v>12035</v>
      </c>
      <c r="D1591" s="83" t="s">
        <v>12034</v>
      </c>
      <c r="E1591" s="83">
        <v>5.0</v>
      </c>
      <c r="F1591" s="274">
        <v>10.0</v>
      </c>
      <c r="G1591" s="473" t="s">
        <v>5077</v>
      </c>
    </row>
    <row r="1592" ht="15.0" customHeight="1">
      <c r="A1592" s="224" t="s">
        <v>5101</v>
      </c>
      <c r="B1592" s="224" t="s">
        <v>147</v>
      </c>
      <c r="C1592" s="82" t="s">
        <v>12036</v>
      </c>
      <c r="D1592" s="83" t="s">
        <v>10305</v>
      </c>
      <c r="E1592" s="92">
        <v>7.650000000000001</v>
      </c>
      <c r="F1592" s="274">
        <v>7.650000000000001</v>
      </c>
      <c r="G1592" s="473" t="s">
        <v>5101</v>
      </c>
    </row>
    <row r="1593" ht="15.0" customHeight="1">
      <c r="A1593" s="224" t="s">
        <v>5101</v>
      </c>
      <c r="B1593" s="224" t="s">
        <v>147</v>
      </c>
      <c r="C1593" s="82" t="s">
        <v>12037</v>
      </c>
      <c r="D1593" s="83" t="s">
        <v>10305</v>
      </c>
      <c r="E1593" s="92">
        <v>5.666666666666667</v>
      </c>
      <c r="F1593" s="274">
        <v>5.666666666666667</v>
      </c>
      <c r="G1593" s="473" t="s">
        <v>5101</v>
      </c>
    </row>
    <row r="1594" ht="15.0" customHeight="1">
      <c r="A1594" s="224" t="s">
        <v>5101</v>
      </c>
      <c r="B1594" s="224" t="s">
        <v>147</v>
      </c>
      <c r="C1594" s="82" t="s">
        <v>12038</v>
      </c>
      <c r="D1594" s="83" t="s">
        <v>10305</v>
      </c>
      <c r="E1594" s="92">
        <v>5.666666666666667</v>
      </c>
      <c r="F1594" s="274">
        <v>5.666666666666667</v>
      </c>
      <c r="G1594" s="473" t="s">
        <v>5101</v>
      </c>
    </row>
    <row r="1595" ht="15.0" customHeight="1">
      <c r="A1595" s="224" t="s">
        <v>5101</v>
      </c>
      <c r="B1595" s="224" t="s">
        <v>147</v>
      </c>
      <c r="C1595" s="82" t="s">
        <v>12039</v>
      </c>
      <c r="D1595" s="83" t="s">
        <v>10305</v>
      </c>
      <c r="E1595" s="92">
        <v>8.1</v>
      </c>
      <c r="F1595" s="274">
        <v>8.1</v>
      </c>
      <c r="G1595" s="473" t="s">
        <v>5101</v>
      </c>
    </row>
    <row r="1596" ht="15.0" customHeight="1">
      <c r="A1596" s="224" t="s">
        <v>5101</v>
      </c>
      <c r="B1596" s="224" t="s">
        <v>147</v>
      </c>
      <c r="C1596" s="82" t="s">
        <v>12040</v>
      </c>
      <c r="D1596" s="83" t="s">
        <v>10305</v>
      </c>
      <c r="E1596" s="92">
        <v>6.0</v>
      </c>
      <c r="F1596" s="274">
        <v>6.0</v>
      </c>
      <c r="G1596" s="473" t="s">
        <v>5101</v>
      </c>
    </row>
    <row r="1597" ht="15.0" customHeight="1">
      <c r="A1597" s="224" t="s">
        <v>5101</v>
      </c>
      <c r="B1597" s="224" t="s">
        <v>147</v>
      </c>
      <c r="C1597" s="82" t="s">
        <v>12041</v>
      </c>
      <c r="D1597" s="83" t="s">
        <v>10305</v>
      </c>
      <c r="E1597" s="92">
        <v>39.15</v>
      </c>
      <c r="F1597" s="274">
        <v>39.15</v>
      </c>
      <c r="G1597" s="473" t="s">
        <v>5101</v>
      </c>
    </row>
    <row r="1598" ht="13.5" customHeight="1">
      <c r="A1598" s="224" t="s">
        <v>5101</v>
      </c>
      <c r="B1598" s="224" t="s">
        <v>147</v>
      </c>
      <c r="C1598" s="82" t="s">
        <v>12042</v>
      </c>
      <c r="D1598" s="83" t="s">
        <v>10305</v>
      </c>
      <c r="E1598" s="92">
        <v>29.0</v>
      </c>
      <c r="F1598" s="274">
        <v>29.0</v>
      </c>
      <c r="G1598" s="473" t="s">
        <v>5101</v>
      </c>
    </row>
    <row r="1599" ht="15.75" customHeight="1">
      <c r="A1599" s="224" t="s">
        <v>5101</v>
      </c>
      <c r="B1599" s="224" t="s">
        <v>147</v>
      </c>
      <c r="C1599" s="82" t="s">
        <v>12043</v>
      </c>
      <c r="D1599" s="83" t="s">
        <v>10305</v>
      </c>
      <c r="E1599" s="92">
        <v>29.0</v>
      </c>
      <c r="F1599" s="274">
        <v>29.0</v>
      </c>
      <c r="G1599" s="473" t="s">
        <v>5101</v>
      </c>
    </row>
    <row r="1600" ht="15.75" customHeight="1">
      <c r="A1600" s="224" t="s">
        <v>5101</v>
      </c>
      <c r="B1600" s="224" t="s">
        <v>147</v>
      </c>
      <c r="C1600" s="82" t="s">
        <v>12044</v>
      </c>
      <c r="D1600" s="83" t="s">
        <v>10305</v>
      </c>
      <c r="E1600" s="92">
        <v>8.0</v>
      </c>
      <c r="F1600" s="274">
        <v>8.0</v>
      </c>
      <c r="G1600" s="473" t="s">
        <v>5101</v>
      </c>
    </row>
    <row r="1601" ht="15.0" customHeight="1">
      <c r="A1601" s="224" t="s">
        <v>9307</v>
      </c>
      <c r="B1601" s="224" t="s">
        <v>147</v>
      </c>
      <c r="C1601" s="82" t="s">
        <v>12045</v>
      </c>
      <c r="D1601" s="83" t="s">
        <v>10305</v>
      </c>
      <c r="E1601" s="83" t="s">
        <v>12046</v>
      </c>
      <c r="F1601" s="274">
        <v>56.33</v>
      </c>
      <c r="G1601" s="473" t="s">
        <v>5108</v>
      </c>
    </row>
    <row r="1602" ht="15.0" customHeight="1">
      <c r="A1602" s="224" t="s">
        <v>9307</v>
      </c>
      <c r="B1602" s="224" t="s">
        <v>147</v>
      </c>
      <c r="C1602" s="82" t="s">
        <v>12047</v>
      </c>
      <c r="D1602" s="83" t="s">
        <v>10305</v>
      </c>
      <c r="E1602" s="92" t="s">
        <v>12048</v>
      </c>
      <c r="F1602" s="274">
        <v>56.0</v>
      </c>
      <c r="G1602" s="473" t="s">
        <v>5108</v>
      </c>
    </row>
    <row r="1603" ht="15.0" customHeight="1">
      <c r="A1603" s="224" t="s">
        <v>9307</v>
      </c>
      <c r="B1603" s="224" t="s">
        <v>147</v>
      </c>
      <c r="C1603" s="82" t="s">
        <v>12049</v>
      </c>
      <c r="D1603" s="83" t="s">
        <v>10305</v>
      </c>
      <c r="E1603" s="92" t="s">
        <v>12050</v>
      </c>
      <c r="F1603" s="274">
        <v>5.0</v>
      </c>
      <c r="G1603" s="473" t="s">
        <v>5108</v>
      </c>
    </row>
    <row r="1604" ht="15.0" customHeight="1">
      <c r="A1604" s="224" t="s">
        <v>9308</v>
      </c>
      <c r="B1604" s="224" t="s">
        <v>147</v>
      </c>
      <c r="C1604" s="82" t="s">
        <v>12051</v>
      </c>
      <c r="D1604" s="83" t="s">
        <v>10305</v>
      </c>
      <c r="E1604" s="92" t="s">
        <v>12052</v>
      </c>
      <c r="F1604" s="274">
        <v>73.0</v>
      </c>
      <c r="G1604" s="473" t="s">
        <v>5654</v>
      </c>
    </row>
    <row r="1605" ht="15.0" customHeight="1">
      <c r="A1605" s="224" t="s">
        <v>9308</v>
      </c>
      <c r="B1605" s="224" t="s">
        <v>147</v>
      </c>
      <c r="C1605" s="82" t="s">
        <v>12053</v>
      </c>
      <c r="D1605" s="83" t="s">
        <v>10305</v>
      </c>
      <c r="E1605" s="92" t="s">
        <v>12054</v>
      </c>
      <c r="F1605" s="274">
        <v>30.0</v>
      </c>
      <c r="G1605" s="473" t="s">
        <v>5654</v>
      </c>
    </row>
    <row r="1606" ht="15.0" customHeight="1">
      <c r="A1606" s="224" t="s">
        <v>9309</v>
      </c>
      <c r="B1606" s="224" t="s">
        <v>147</v>
      </c>
      <c r="C1606" s="82" t="s">
        <v>12055</v>
      </c>
      <c r="D1606" s="83" t="s">
        <v>10305</v>
      </c>
      <c r="E1606" s="92" t="s">
        <v>12056</v>
      </c>
      <c r="F1606" s="274">
        <v>37.5</v>
      </c>
      <c r="G1606" s="473" t="s">
        <v>179</v>
      </c>
    </row>
    <row r="1607" ht="15.0" customHeight="1">
      <c r="A1607" s="224" t="s">
        <v>9309</v>
      </c>
      <c r="B1607" s="224" t="s">
        <v>147</v>
      </c>
      <c r="C1607" s="82" t="s">
        <v>12057</v>
      </c>
      <c r="D1607" s="83" t="s">
        <v>10305</v>
      </c>
      <c r="E1607" s="92" t="s">
        <v>12058</v>
      </c>
      <c r="F1607" s="274">
        <v>18.0</v>
      </c>
      <c r="G1607" s="473" t="s">
        <v>179</v>
      </c>
    </row>
    <row r="1608" ht="15.0" customHeight="1">
      <c r="A1608" s="224" t="s">
        <v>9309</v>
      </c>
      <c r="B1608" s="224" t="s">
        <v>147</v>
      </c>
      <c r="C1608" s="82" t="s">
        <v>12059</v>
      </c>
      <c r="D1608" s="83"/>
      <c r="E1608" s="92" t="s">
        <v>12056</v>
      </c>
      <c r="F1608" s="274">
        <v>37.5</v>
      </c>
      <c r="G1608" s="473" t="s">
        <v>179</v>
      </c>
    </row>
    <row r="1609" ht="15.0" customHeight="1">
      <c r="A1609" s="224" t="s">
        <v>9309</v>
      </c>
      <c r="B1609" s="224" t="s">
        <v>147</v>
      </c>
      <c r="C1609" s="82" t="s">
        <v>12060</v>
      </c>
      <c r="D1609" s="83"/>
      <c r="E1609" s="92">
        <v>30.0</v>
      </c>
      <c r="F1609" s="274">
        <v>30.0</v>
      </c>
      <c r="G1609" s="473" t="s">
        <v>179</v>
      </c>
    </row>
    <row r="1610" ht="15.0" customHeight="1">
      <c r="A1610" s="224" t="s">
        <v>9310</v>
      </c>
      <c r="B1610" s="224" t="s">
        <v>147</v>
      </c>
      <c r="C1610" s="82" t="s">
        <v>12061</v>
      </c>
      <c r="D1610" s="83" t="s">
        <v>10309</v>
      </c>
      <c r="E1610" s="83" t="s">
        <v>12062</v>
      </c>
      <c r="F1610" s="274">
        <v>6.08</v>
      </c>
      <c r="G1610" s="473" t="s">
        <v>180</v>
      </c>
    </row>
    <row r="1611" ht="15.0" customHeight="1">
      <c r="A1611" s="224" t="s">
        <v>9310</v>
      </c>
      <c r="B1611" s="224" t="s">
        <v>147</v>
      </c>
      <c r="C1611" s="82" t="s">
        <v>12063</v>
      </c>
      <c r="D1611" s="83" t="s">
        <v>10305</v>
      </c>
      <c r="E1611" s="92" t="s">
        <v>12064</v>
      </c>
      <c r="F1611" s="274">
        <v>9.0</v>
      </c>
      <c r="G1611" s="473" t="s">
        <v>180</v>
      </c>
    </row>
    <row r="1612" ht="15.0" customHeight="1">
      <c r="A1612" s="224" t="s">
        <v>9310</v>
      </c>
      <c r="B1612" s="224" t="s">
        <v>147</v>
      </c>
      <c r="C1612" s="82" t="s">
        <v>12065</v>
      </c>
      <c r="D1612" s="83" t="s">
        <v>10309</v>
      </c>
      <c r="E1612" s="92" t="s">
        <v>12066</v>
      </c>
      <c r="F1612" s="274">
        <v>22.05</v>
      </c>
      <c r="G1612" s="473" t="s">
        <v>180</v>
      </c>
    </row>
    <row r="1613" ht="15.0" customHeight="1">
      <c r="A1613" s="224" t="s">
        <v>9310</v>
      </c>
      <c r="B1613" s="224" t="s">
        <v>147</v>
      </c>
      <c r="C1613" s="82" t="s">
        <v>12067</v>
      </c>
      <c r="D1613" s="83" t="s">
        <v>10305</v>
      </c>
      <c r="E1613" s="92" t="s">
        <v>12068</v>
      </c>
      <c r="F1613" s="274">
        <v>32.66</v>
      </c>
      <c r="G1613" s="473" t="s">
        <v>180</v>
      </c>
    </row>
    <row r="1614" ht="15.0" customHeight="1">
      <c r="A1614" s="224" t="s">
        <v>9310</v>
      </c>
      <c r="B1614" s="224" t="s">
        <v>147</v>
      </c>
      <c r="C1614" s="82" t="s">
        <v>12069</v>
      </c>
      <c r="D1614" s="83" t="s">
        <v>10309</v>
      </c>
      <c r="E1614" s="92" t="s">
        <v>12070</v>
      </c>
      <c r="F1614" s="274">
        <v>6.75</v>
      </c>
      <c r="G1614" s="473" t="s">
        <v>180</v>
      </c>
    </row>
    <row r="1615" ht="15.0" customHeight="1">
      <c r="A1615" s="224" t="s">
        <v>9310</v>
      </c>
      <c r="B1615" s="224" t="s">
        <v>147</v>
      </c>
      <c r="C1615" s="82" t="s">
        <v>12071</v>
      </c>
      <c r="D1615" s="83" t="s">
        <v>10305</v>
      </c>
      <c r="E1615" s="92" t="s">
        <v>12072</v>
      </c>
      <c r="F1615" s="274">
        <v>10.0</v>
      </c>
      <c r="G1615" s="473" t="s">
        <v>180</v>
      </c>
    </row>
    <row r="1616" ht="15.0" customHeight="1">
      <c r="A1616" s="224" t="s">
        <v>9310</v>
      </c>
      <c r="B1616" s="224" t="s">
        <v>147</v>
      </c>
      <c r="C1616" s="82" t="s">
        <v>12073</v>
      </c>
      <c r="D1616" s="83" t="s">
        <v>10072</v>
      </c>
      <c r="E1616" s="92" t="s">
        <v>12074</v>
      </c>
      <c r="F1616" s="274">
        <v>5.4</v>
      </c>
      <c r="G1616" s="473" t="s">
        <v>180</v>
      </c>
    </row>
    <row r="1617" ht="15.0" customHeight="1">
      <c r="A1617" s="224" t="s">
        <v>9310</v>
      </c>
      <c r="B1617" s="224" t="s">
        <v>147</v>
      </c>
      <c r="C1617" s="82" t="s">
        <v>12075</v>
      </c>
      <c r="D1617" s="83" t="s">
        <v>10046</v>
      </c>
      <c r="E1617" s="92" t="s">
        <v>12076</v>
      </c>
      <c r="F1617" s="274">
        <v>8.0</v>
      </c>
      <c r="G1617" s="473" t="s">
        <v>180</v>
      </c>
    </row>
    <row r="1618" ht="15.0" customHeight="1">
      <c r="A1618" s="197" t="s">
        <v>9310</v>
      </c>
      <c r="B1618" s="197" t="s">
        <v>147</v>
      </c>
      <c r="C1618" s="347" t="s">
        <v>12077</v>
      </c>
      <c r="D1618" s="540" t="s">
        <v>12078</v>
      </c>
      <c r="E1618" s="498" t="s">
        <v>8491</v>
      </c>
      <c r="F1618" s="498">
        <v>60.0</v>
      </c>
      <c r="G1618" s="473" t="s">
        <v>180</v>
      </c>
    </row>
    <row r="1619" ht="15.0" customHeight="1">
      <c r="A1619" s="224" t="s">
        <v>8898</v>
      </c>
      <c r="B1619" s="224" t="s">
        <v>147</v>
      </c>
      <c r="C1619" s="82" t="s">
        <v>12079</v>
      </c>
      <c r="D1619" s="83" t="s">
        <v>10046</v>
      </c>
      <c r="E1619" s="92" t="s">
        <v>12080</v>
      </c>
      <c r="F1619" s="274">
        <v>7.2</v>
      </c>
      <c r="G1619" s="473" t="s">
        <v>8902</v>
      </c>
    </row>
    <row r="1620" ht="15.0" customHeight="1">
      <c r="A1620" s="224" t="s">
        <v>8898</v>
      </c>
      <c r="B1620" s="224" t="s">
        <v>147</v>
      </c>
      <c r="C1620" s="82" t="s">
        <v>12081</v>
      </c>
      <c r="D1620" s="83" t="s">
        <v>10046</v>
      </c>
      <c r="E1620" s="92" t="s">
        <v>12082</v>
      </c>
      <c r="F1620" s="274">
        <v>5.33</v>
      </c>
      <c r="G1620" s="473" t="s">
        <v>8902</v>
      </c>
    </row>
    <row r="1621" ht="15.0" customHeight="1">
      <c r="A1621" s="224" t="s">
        <v>8898</v>
      </c>
      <c r="B1621" s="224" t="s">
        <v>147</v>
      </c>
      <c r="C1621" s="82" t="s">
        <v>12083</v>
      </c>
      <c r="D1621" s="83" t="s">
        <v>10046</v>
      </c>
      <c r="E1621" s="92" t="s">
        <v>12082</v>
      </c>
      <c r="F1621" s="274">
        <v>5.33</v>
      </c>
      <c r="G1621" s="473" t="s">
        <v>8902</v>
      </c>
    </row>
    <row r="1622" ht="15.0" customHeight="1">
      <c r="A1622" s="224" t="s">
        <v>8898</v>
      </c>
      <c r="B1622" s="224" t="s">
        <v>147</v>
      </c>
      <c r="C1622" s="82" t="s">
        <v>12084</v>
      </c>
      <c r="D1622" s="83" t="s">
        <v>10046</v>
      </c>
      <c r="E1622" s="92" t="s">
        <v>12085</v>
      </c>
      <c r="F1622" s="274">
        <v>10.08</v>
      </c>
      <c r="G1622" s="473" t="s">
        <v>8902</v>
      </c>
    </row>
    <row r="1623" ht="15.0" customHeight="1">
      <c r="A1623" s="224" t="s">
        <v>8898</v>
      </c>
      <c r="B1623" s="224" t="s">
        <v>147</v>
      </c>
      <c r="C1623" s="82" t="s">
        <v>12086</v>
      </c>
      <c r="D1623" s="83" t="s">
        <v>10046</v>
      </c>
      <c r="E1623" s="92" t="s">
        <v>12087</v>
      </c>
      <c r="F1623" s="274">
        <v>8.0</v>
      </c>
      <c r="G1623" s="473" t="s">
        <v>8902</v>
      </c>
    </row>
    <row r="1624" ht="15.0" customHeight="1">
      <c r="A1624" s="224" t="s">
        <v>8898</v>
      </c>
      <c r="B1624" s="224" t="s">
        <v>147</v>
      </c>
      <c r="C1624" s="82" t="s">
        <v>12088</v>
      </c>
      <c r="D1624" s="83" t="s">
        <v>10046</v>
      </c>
      <c r="E1624" s="92" t="s">
        <v>12087</v>
      </c>
      <c r="F1624" s="274">
        <v>8.0</v>
      </c>
      <c r="G1624" s="473" t="s">
        <v>8902</v>
      </c>
    </row>
    <row r="1625" ht="15.0" customHeight="1">
      <c r="A1625" s="224" t="s">
        <v>8898</v>
      </c>
      <c r="B1625" s="224" t="s">
        <v>147</v>
      </c>
      <c r="C1625" s="82" t="s">
        <v>12089</v>
      </c>
      <c r="D1625" s="83" t="s">
        <v>10046</v>
      </c>
      <c r="E1625" s="92" t="s">
        <v>12090</v>
      </c>
      <c r="F1625" s="274">
        <v>8.1</v>
      </c>
      <c r="G1625" s="473" t="s">
        <v>8902</v>
      </c>
    </row>
    <row r="1626" ht="15.0" customHeight="1">
      <c r="A1626" s="224" t="s">
        <v>8898</v>
      </c>
      <c r="B1626" s="224" t="s">
        <v>147</v>
      </c>
      <c r="C1626" s="82" t="s">
        <v>12091</v>
      </c>
      <c r="D1626" s="83" t="s">
        <v>10046</v>
      </c>
      <c r="E1626" s="92" t="s">
        <v>12092</v>
      </c>
      <c r="F1626" s="274">
        <v>6.0</v>
      </c>
      <c r="G1626" s="473" t="s">
        <v>8902</v>
      </c>
    </row>
    <row r="1627" ht="15.0" customHeight="1">
      <c r="A1627" s="224" t="s">
        <v>8898</v>
      </c>
      <c r="B1627" s="224" t="s">
        <v>147</v>
      </c>
      <c r="C1627" s="82" t="s">
        <v>12089</v>
      </c>
      <c r="D1627" s="83" t="s">
        <v>10046</v>
      </c>
      <c r="E1627" s="92" t="s">
        <v>12090</v>
      </c>
      <c r="F1627" s="274">
        <v>8.1</v>
      </c>
      <c r="G1627" s="473" t="s">
        <v>8902</v>
      </c>
    </row>
    <row r="1628" ht="15.0" customHeight="1">
      <c r="A1628" s="224" t="s">
        <v>8898</v>
      </c>
      <c r="B1628" s="224" t="s">
        <v>147</v>
      </c>
      <c r="C1628" s="82" t="s">
        <v>12091</v>
      </c>
      <c r="D1628" s="83" t="s">
        <v>10046</v>
      </c>
      <c r="E1628" s="92" t="s">
        <v>12092</v>
      </c>
      <c r="F1628" s="274">
        <v>6.0</v>
      </c>
      <c r="G1628" s="473" t="s">
        <v>8902</v>
      </c>
    </row>
    <row r="1629" ht="15.0" customHeight="1">
      <c r="A1629" s="224" t="s">
        <v>8898</v>
      </c>
      <c r="B1629" s="224" t="s">
        <v>147</v>
      </c>
      <c r="C1629" s="82" t="s">
        <v>12093</v>
      </c>
      <c r="D1629" s="83" t="s">
        <v>10046</v>
      </c>
      <c r="E1629" s="92" t="s">
        <v>12094</v>
      </c>
      <c r="F1629" s="274">
        <v>7.65</v>
      </c>
      <c r="G1629" s="473" t="s">
        <v>8902</v>
      </c>
    </row>
    <row r="1630" ht="15.0" customHeight="1">
      <c r="A1630" s="224" t="s">
        <v>8898</v>
      </c>
      <c r="B1630" s="224" t="s">
        <v>147</v>
      </c>
      <c r="C1630" s="82" t="s">
        <v>12095</v>
      </c>
      <c r="D1630" s="83" t="s">
        <v>10046</v>
      </c>
      <c r="E1630" s="92" t="s">
        <v>12096</v>
      </c>
      <c r="F1630" s="274">
        <v>5.67</v>
      </c>
      <c r="G1630" s="473" t="s">
        <v>8902</v>
      </c>
    </row>
    <row r="1631" ht="15.0" customHeight="1">
      <c r="A1631" s="224" t="s">
        <v>8898</v>
      </c>
      <c r="B1631" s="224" t="s">
        <v>147</v>
      </c>
      <c r="C1631" s="82" t="s">
        <v>12097</v>
      </c>
      <c r="D1631" s="83" t="s">
        <v>10046</v>
      </c>
      <c r="E1631" s="92" t="s">
        <v>12098</v>
      </c>
      <c r="F1631" s="274">
        <v>12.15</v>
      </c>
      <c r="G1631" s="473" t="s">
        <v>8902</v>
      </c>
    </row>
    <row r="1632" ht="15.0" customHeight="1">
      <c r="A1632" s="224" t="s">
        <v>8898</v>
      </c>
      <c r="B1632" s="224" t="s">
        <v>147</v>
      </c>
      <c r="C1632" s="82" t="s">
        <v>12099</v>
      </c>
      <c r="D1632" s="83" t="s">
        <v>10046</v>
      </c>
      <c r="E1632" s="92" t="s">
        <v>12090</v>
      </c>
      <c r="F1632" s="274">
        <v>8.1</v>
      </c>
      <c r="G1632" s="473" t="s">
        <v>8902</v>
      </c>
    </row>
    <row r="1633" ht="15.0" customHeight="1">
      <c r="A1633" s="224" t="s">
        <v>8898</v>
      </c>
      <c r="B1633" s="224" t="s">
        <v>147</v>
      </c>
      <c r="C1633" s="82" t="s">
        <v>12100</v>
      </c>
      <c r="D1633" s="83" t="s">
        <v>8485</v>
      </c>
      <c r="E1633" s="92" t="s">
        <v>12101</v>
      </c>
      <c r="F1633" s="274">
        <v>9.0</v>
      </c>
      <c r="G1633" s="473" t="s">
        <v>8902</v>
      </c>
    </row>
    <row r="1634" ht="15.0" customHeight="1">
      <c r="A1634" s="224" t="s">
        <v>9311</v>
      </c>
      <c r="B1634" s="430" t="s">
        <v>147</v>
      </c>
      <c r="C1634" s="82" t="s">
        <v>12102</v>
      </c>
      <c r="D1634" s="83" t="s">
        <v>10046</v>
      </c>
      <c r="E1634" s="83" t="s">
        <v>12103</v>
      </c>
      <c r="F1634" s="274">
        <v>18.0</v>
      </c>
      <c r="G1634" s="473" t="s">
        <v>9312</v>
      </c>
    </row>
    <row r="1635" ht="15.0" customHeight="1">
      <c r="A1635" s="224" t="s">
        <v>9311</v>
      </c>
      <c r="B1635" s="224" t="s">
        <v>147</v>
      </c>
      <c r="C1635" s="82" t="s">
        <v>12104</v>
      </c>
      <c r="D1635" s="83" t="s">
        <v>10046</v>
      </c>
      <c r="E1635" s="92" t="s">
        <v>12105</v>
      </c>
      <c r="F1635" s="274">
        <v>99.0</v>
      </c>
      <c r="G1635" s="473" t="s">
        <v>9312</v>
      </c>
    </row>
    <row r="1636" ht="15.0" customHeight="1">
      <c r="A1636" s="224" t="s">
        <v>9311</v>
      </c>
      <c r="B1636" s="224" t="s">
        <v>147</v>
      </c>
      <c r="C1636" s="82" t="s">
        <v>12106</v>
      </c>
      <c r="D1636" s="83" t="s">
        <v>10046</v>
      </c>
      <c r="E1636" s="92" t="s">
        <v>12107</v>
      </c>
      <c r="F1636" s="274">
        <v>73.0</v>
      </c>
      <c r="G1636" s="473" t="s">
        <v>9312</v>
      </c>
    </row>
    <row r="1637" ht="15.0" customHeight="1">
      <c r="A1637" s="224" t="s">
        <v>9313</v>
      </c>
      <c r="B1637" s="224" t="s">
        <v>147</v>
      </c>
      <c r="C1637" s="82" t="s">
        <v>12108</v>
      </c>
      <c r="D1637" s="83" t="s">
        <v>10305</v>
      </c>
      <c r="E1637" s="92">
        <v>-5.333333333333333</v>
      </c>
      <c r="F1637" s="274">
        <v>5.33</v>
      </c>
      <c r="G1637" s="473" t="s">
        <v>174</v>
      </c>
    </row>
    <row r="1638" ht="15.0" customHeight="1">
      <c r="A1638" s="224" t="s">
        <v>9313</v>
      </c>
      <c r="B1638" s="224" t="s">
        <v>147</v>
      </c>
      <c r="C1638" s="82" t="s">
        <v>12109</v>
      </c>
      <c r="D1638" s="83" t="s">
        <v>10305</v>
      </c>
      <c r="E1638" s="92">
        <v>-5.0</v>
      </c>
      <c r="F1638" s="274">
        <v>5.0</v>
      </c>
      <c r="G1638" s="473" t="s">
        <v>174</v>
      </c>
    </row>
    <row r="1639" ht="15.0" customHeight="1">
      <c r="A1639" s="224" t="s">
        <v>9313</v>
      </c>
      <c r="B1639" s="224" t="s">
        <v>147</v>
      </c>
      <c r="C1639" s="82" t="s">
        <v>12110</v>
      </c>
      <c r="D1639" s="83" t="s">
        <v>10305</v>
      </c>
      <c r="E1639" s="92">
        <v>-11.0</v>
      </c>
      <c r="F1639" s="274">
        <v>8.0</v>
      </c>
      <c r="G1639" s="473" t="s">
        <v>174</v>
      </c>
    </row>
    <row r="1640" ht="15.0" customHeight="1">
      <c r="A1640" s="224" t="s">
        <v>9313</v>
      </c>
      <c r="B1640" s="224" t="s">
        <v>147</v>
      </c>
      <c r="C1640" s="82" t="s">
        <v>12111</v>
      </c>
      <c r="D1640" s="83" t="s">
        <v>10305</v>
      </c>
      <c r="E1640" s="92">
        <v>-8.333333333333334</v>
      </c>
      <c r="F1640" s="274">
        <v>8.33</v>
      </c>
      <c r="G1640" s="473" t="s">
        <v>174</v>
      </c>
    </row>
    <row r="1641" ht="15.0" customHeight="1">
      <c r="A1641" s="224" t="s">
        <v>9313</v>
      </c>
      <c r="B1641" s="224" t="s">
        <v>147</v>
      </c>
      <c r="C1641" s="82" t="s">
        <v>12112</v>
      </c>
      <c r="D1641" s="83" t="s">
        <v>8507</v>
      </c>
      <c r="E1641" s="92" t="s">
        <v>12113</v>
      </c>
      <c r="F1641" s="274">
        <v>16.6</v>
      </c>
      <c r="G1641" s="473" t="s">
        <v>174</v>
      </c>
    </row>
    <row r="1642" ht="15.0" customHeight="1">
      <c r="A1642" s="224" t="s">
        <v>9313</v>
      </c>
      <c r="B1642" s="224" t="s">
        <v>147</v>
      </c>
      <c r="C1642" s="82" t="s">
        <v>12114</v>
      </c>
      <c r="D1642" s="83" t="s">
        <v>8507</v>
      </c>
      <c r="E1642" s="92" t="s">
        <v>12115</v>
      </c>
      <c r="F1642" s="274">
        <v>10.0</v>
      </c>
      <c r="G1642" s="473" t="s">
        <v>174</v>
      </c>
    </row>
    <row r="1643" ht="15.75" customHeight="1">
      <c r="A1643" s="110"/>
      <c r="B1643" s="285"/>
      <c r="C1643" s="285"/>
      <c r="D1643" s="476"/>
      <c r="E1643" s="476"/>
      <c r="F1643" s="476">
        <f>SUM(F16:F1642)</f>
        <v>15231.58412</v>
      </c>
    </row>
    <row r="1644" ht="15.75" customHeight="1">
      <c r="A1644" s="104"/>
      <c r="B1644" s="104"/>
      <c r="C1644" s="61"/>
      <c r="D1644" s="61"/>
      <c r="E1644" s="61"/>
      <c r="F1644" s="61"/>
      <c r="G1644" s="1"/>
      <c r="H1644" s="1"/>
      <c r="I1644" s="1"/>
    </row>
    <row r="1645" ht="15.75" customHeight="1">
      <c r="A1645" s="144" t="s">
        <v>1169</v>
      </c>
      <c r="B1645" s="103"/>
      <c r="C1645" s="103"/>
      <c r="D1645" s="103"/>
      <c r="E1645" s="103"/>
      <c r="F1645" s="103"/>
      <c r="G1645" s="103"/>
      <c r="H1645" s="103"/>
      <c r="I1645" s="103"/>
      <c r="J1645" s="104"/>
      <c r="K1645" s="104"/>
      <c r="L1645" s="104"/>
      <c r="M1645" s="104"/>
      <c r="N1645" s="104"/>
      <c r="O1645" s="104"/>
      <c r="P1645" s="104"/>
      <c r="Q1645" s="104"/>
      <c r="R1645" s="104"/>
      <c r="S1645" s="104"/>
      <c r="T1645" s="104"/>
      <c r="U1645" s="104"/>
      <c r="V1645" s="104"/>
      <c r="W1645" s="104"/>
      <c r="X1645" s="104"/>
      <c r="Y1645" s="104"/>
      <c r="Z1645" s="104"/>
    </row>
  </sheetData>
  <mergeCells count="12">
    <mergeCell ref="A10:F10"/>
    <mergeCell ref="A11:F11"/>
    <mergeCell ref="A12:F12"/>
    <mergeCell ref="A13:F13"/>
    <mergeCell ref="A1645:I1645"/>
    <mergeCell ref="A2:F2"/>
    <mergeCell ref="A4:F4"/>
    <mergeCell ref="A5:F5"/>
    <mergeCell ref="A6:F6"/>
    <mergeCell ref="A7:F7"/>
    <mergeCell ref="A8:F8"/>
    <mergeCell ref="A9:F9"/>
  </mergeCells>
  <printOptions/>
  <pageMargins bottom="0.75" footer="0.0" header="0.0" left="0.7" right="0.7" top="0.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3" width="23.71"/>
    <col customWidth="1" min="14" max="16" width="9.14"/>
    <col customWidth="1" min="17" max="22" width="8.0"/>
  </cols>
  <sheetData>
    <row r="1">
      <c r="A1" s="104"/>
      <c r="B1" s="61"/>
      <c r="C1" s="61"/>
      <c r="D1" s="61"/>
      <c r="E1" s="1"/>
      <c r="F1" s="1"/>
      <c r="G1" s="1"/>
      <c r="H1" s="1"/>
      <c r="I1" s="1"/>
      <c r="J1" s="1"/>
      <c r="K1" s="1"/>
      <c r="L1" s="1"/>
      <c r="M1" s="1"/>
      <c r="N1" s="1"/>
      <c r="O1" s="1"/>
      <c r="P1" s="1"/>
    </row>
    <row r="2" ht="15.75" customHeight="1">
      <c r="A2" s="105" t="s">
        <v>1170</v>
      </c>
      <c r="B2" s="64"/>
      <c r="C2" s="64"/>
      <c r="D2" s="64"/>
      <c r="E2" s="64"/>
      <c r="F2" s="64"/>
      <c r="G2" s="64"/>
      <c r="H2" s="64"/>
      <c r="I2" s="64"/>
      <c r="J2" s="64"/>
      <c r="K2" s="64"/>
      <c r="L2" s="65"/>
      <c r="M2" s="106"/>
      <c r="N2" s="106"/>
      <c r="O2" s="106"/>
      <c r="P2" s="106"/>
      <c r="Q2" s="107"/>
      <c r="R2" s="107"/>
      <c r="S2" s="107"/>
      <c r="T2" s="107"/>
      <c r="U2" s="107"/>
      <c r="V2" s="107"/>
    </row>
    <row r="3">
      <c r="A3" s="107"/>
      <c r="B3" s="107"/>
      <c r="C3" s="107"/>
      <c r="D3" s="107"/>
      <c r="E3" s="107"/>
      <c r="F3" s="107"/>
      <c r="G3" s="107"/>
      <c r="H3" s="107"/>
      <c r="I3" s="107"/>
      <c r="J3" s="107"/>
      <c r="K3" s="107"/>
      <c r="L3" s="107"/>
      <c r="M3" s="106"/>
      <c r="N3" s="106"/>
      <c r="O3" s="106"/>
      <c r="P3" s="106"/>
      <c r="Q3" s="107"/>
      <c r="R3" s="107"/>
      <c r="S3" s="107"/>
      <c r="T3" s="107"/>
      <c r="U3" s="107"/>
      <c r="V3" s="107"/>
    </row>
    <row r="4" ht="40.5" customHeight="1">
      <c r="A4" s="108" t="s">
        <v>1171</v>
      </c>
      <c r="B4" s="64"/>
      <c r="C4" s="64"/>
      <c r="D4" s="64"/>
      <c r="E4" s="64"/>
      <c r="F4" s="64"/>
      <c r="G4" s="64"/>
      <c r="H4" s="64"/>
      <c r="I4" s="64"/>
      <c r="J4" s="64"/>
      <c r="K4" s="64"/>
      <c r="L4" s="65"/>
      <c r="M4" s="106"/>
      <c r="N4" s="106"/>
      <c r="O4" s="106"/>
      <c r="P4" s="106"/>
      <c r="Q4" s="107"/>
      <c r="R4" s="107"/>
      <c r="S4" s="107"/>
      <c r="T4" s="107"/>
      <c r="U4" s="107"/>
      <c r="V4" s="107"/>
    </row>
    <row r="5" ht="36.75" customHeight="1">
      <c r="A5" s="108" t="s">
        <v>1172</v>
      </c>
      <c r="B5" s="64"/>
      <c r="C5" s="64"/>
      <c r="D5" s="64"/>
      <c r="E5" s="64"/>
      <c r="F5" s="64"/>
      <c r="G5" s="64"/>
      <c r="H5" s="64"/>
      <c r="I5" s="64"/>
      <c r="J5" s="64"/>
      <c r="K5" s="64"/>
      <c r="L5" s="65"/>
      <c r="M5" s="106"/>
      <c r="N5" s="106"/>
      <c r="O5" s="106"/>
      <c r="P5" s="106"/>
      <c r="Q5" s="107"/>
      <c r="R5" s="107"/>
      <c r="S5" s="107"/>
      <c r="T5" s="107"/>
      <c r="U5" s="107"/>
      <c r="V5" s="107"/>
    </row>
    <row r="6" ht="27.75" customHeight="1">
      <c r="A6" s="108" t="s">
        <v>1173</v>
      </c>
      <c r="B6" s="64"/>
      <c r="C6" s="64"/>
      <c r="D6" s="64"/>
      <c r="E6" s="64"/>
      <c r="F6" s="64"/>
      <c r="G6" s="64"/>
      <c r="H6" s="64"/>
      <c r="I6" s="64"/>
      <c r="J6" s="64"/>
      <c r="K6" s="64"/>
      <c r="L6" s="65"/>
      <c r="M6" s="106"/>
      <c r="N6" s="106"/>
      <c r="O6" s="106"/>
      <c r="P6" s="106"/>
      <c r="Q6" s="107"/>
      <c r="R6" s="107"/>
      <c r="S6" s="107"/>
      <c r="T6" s="107"/>
      <c r="U6" s="107"/>
      <c r="V6" s="107"/>
    </row>
    <row r="7" ht="28.5" customHeight="1">
      <c r="A7" s="108" t="s">
        <v>1174</v>
      </c>
      <c r="B7" s="64"/>
      <c r="C7" s="64"/>
      <c r="D7" s="64"/>
      <c r="E7" s="64"/>
      <c r="F7" s="64"/>
      <c r="G7" s="64"/>
      <c r="H7" s="64"/>
      <c r="I7" s="64"/>
      <c r="J7" s="64"/>
      <c r="K7" s="64"/>
      <c r="L7" s="65"/>
      <c r="M7" s="106"/>
      <c r="N7" s="106"/>
      <c r="O7" s="106"/>
      <c r="P7" s="106"/>
      <c r="Q7" s="107"/>
      <c r="R7" s="107"/>
      <c r="S7" s="107"/>
      <c r="T7" s="107"/>
      <c r="U7" s="107"/>
      <c r="V7" s="107"/>
    </row>
    <row r="8">
      <c r="A8" s="108" t="s">
        <v>1175</v>
      </c>
      <c r="B8" s="64"/>
      <c r="C8" s="64"/>
      <c r="D8" s="64"/>
      <c r="E8" s="64"/>
      <c r="F8" s="64"/>
      <c r="G8" s="64"/>
      <c r="H8" s="64"/>
      <c r="I8" s="64"/>
      <c r="J8" s="64"/>
      <c r="K8" s="64"/>
      <c r="L8" s="65"/>
      <c r="M8" s="106"/>
      <c r="N8" s="106"/>
      <c r="O8" s="106"/>
      <c r="P8" s="106"/>
      <c r="Q8" s="107"/>
      <c r="R8" s="107"/>
      <c r="S8" s="107"/>
      <c r="T8" s="107"/>
      <c r="U8" s="107"/>
      <c r="V8" s="107"/>
    </row>
    <row r="9" ht="101.25" customHeight="1">
      <c r="A9" s="67" t="s">
        <v>1176</v>
      </c>
      <c r="B9" s="64"/>
      <c r="C9" s="64"/>
      <c r="D9" s="64"/>
      <c r="E9" s="64"/>
      <c r="F9" s="64"/>
      <c r="G9" s="64"/>
      <c r="H9" s="64"/>
      <c r="I9" s="64"/>
      <c r="J9" s="64"/>
      <c r="K9" s="64"/>
      <c r="L9" s="65"/>
      <c r="M9" s="106"/>
      <c r="N9" s="106"/>
      <c r="O9" s="106"/>
      <c r="P9" s="106"/>
      <c r="Q9" s="107"/>
      <c r="R9" s="107"/>
      <c r="S9" s="107"/>
      <c r="T9" s="107"/>
      <c r="U9" s="107"/>
      <c r="V9" s="107"/>
    </row>
    <row r="10">
      <c r="A10" s="109"/>
      <c r="B10" s="110"/>
      <c r="C10" s="110"/>
      <c r="D10" s="110"/>
      <c r="E10" s="109"/>
      <c r="F10" s="109"/>
      <c r="G10" s="109"/>
      <c r="H10" s="109"/>
      <c r="I10" s="109"/>
      <c r="J10" s="109"/>
      <c r="K10" s="109"/>
      <c r="L10" s="109"/>
      <c r="M10" s="106"/>
      <c r="N10" s="106"/>
      <c r="O10" s="106"/>
      <c r="P10" s="106"/>
      <c r="Q10" s="107"/>
      <c r="R10" s="107"/>
      <c r="S10" s="107"/>
      <c r="T10" s="107"/>
      <c r="U10" s="107"/>
      <c r="V10" s="107"/>
    </row>
    <row r="11" ht="82.5" customHeight="1">
      <c r="A11" s="111" t="s">
        <v>201</v>
      </c>
      <c r="B11" s="111" t="s">
        <v>202</v>
      </c>
      <c r="C11" s="112" t="s">
        <v>1177</v>
      </c>
      <c r="D11" s="112" t="s">
        <v>1178</v>
      </c>
      <c r="E11" s="111" t="s">
        <v>1179</v>
      </c>
      <c r="F11" s="112" t="s">
        <v>1180</v>
      </c>
      <c r="G11" s="112" t="s">
        <v>212</v>
      </c>
      <c r="H11" s="112" t="s">
        <v>1181</v>
      </c>
      <c r="I11" s="112" t="s">
        <v>215</v>
      </c>
      <c r="J11" s="112" t="s">
        <v>216</v>
      </c>
      <c r="K11" s="111" t="s">
        <v>217</v>
      </c>
      <c r="L11" s="111" t="s">
        <v>221</v>
      </c>
      <c r="M11" s="113" t="s">
        <v>222</v>
      </c>
      <c r="N11" s="114"/>
      <c r="O11" s="114"/>
      <c r="P11" s="114"/>
      <c r="Q11" s="115"/>
      <c r="R11" s="115"/>
      <c r="S11" s="115"/>
      <c r="T11" s="115"/>
      <c r="U11" s="115"/>
      <c r="V11" s="115"/>
    </row>
    <row r="12" ht="15.0" customHeight="1">
      <c r="A12" s="116" t="s">
        <v>1182</v>
      </c>
      <c r="B12" s="116" t="s">
        <v>147</v>
      </c>
      <c r="C12" s="117" t="s">
        <v>1183</v>
      </c>
      <c r="D12" s="116" t="s">
        <v>1184</v>
      </c>
      <c r="E12" s="117" t="s">
        <v>1185</v>
      </c>
      <c r="F12" s="118" t="s">
        <v>1186</v>
      </c>
      <c r="G12" s="119">
        <v>2023.0</v>
      </c>
      <c r="H12" s="119">
        <v>3.0</v>
      </c>
      <c r="I12" s="120">
        <v>1.0</v>
      </c>
      <c r="J12" s="120">
        <v>3.0</v>
      </c>
      <c r="K12" s="120">
        <v>170.0</v>
      </c>
      <c r="L12" s="121">
        <v>56.67</v>
      </c>
      <c r="M12" s="1" t="s">
        <v>1120</v>
      </c>
      <c r="N12" s="1"/>
      <c r="O12" s="1"/>
      <c r="P12" s="1"/>
    </row>
    <row r="13" ht="15.0" customHeight="1">
      <c r="A13" s="122" t="s">
        <v>185</v>
      </c>
      <c r="L13" s="122">
        <f>SUM(L11:L12)</f>
        <v>56.67</v>
      </c>
    </row>
    <row r="15" ht="15.0" customHeight="1">
      <c r="A15" s="123" t="s">
        <v>1169</v>
      </c>
      <c r="B15" s="103"/>
      <c r="C15" s="103"/>
      <c r="D15" s="103"/>
      <c r="E15" s="103"/>
      <c r="F15" s="103"/>
      <c r="G15" s="103"/>
      <c r="H15"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15:H15"/>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8.57"/>
    <col customWidth="1" min="7" max="8" width="13.71"/>
    <col customWidth="1" min="9" max="25" width="8.0"/>
  </cols>
  <sheetData>
    <row r="1">
      <c r="A1" s="104"/>
      <c r="B1" s="104"/>
      <c r="C1" s="61"/>
      <c r="D1" s="61"/>
      <c r="E1" s="61"/>
      <c r="F1" s="264"/>
      <c r="G1" s="1"/>
      <c r="H1" s="1"/>
    </row>
    <row r="2" ht="15.75" customHeight="1">
      <c r="A2" s="541" t="s">
        <v>12116</v>
      </c>
      <c r="B2" s="64"/>
      <c r="C2" s="64"/>
      <c r="D2" s="64"/>
      <c r="E2" s="65"/>
      <c r="F2" s="542"/>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542"/>
      <c r="G3" s="474"/>
      <c r="H3" s="474"/>
      <c r="I3" s="107"/>
      <c r="J3" s="107"/>
      <c r="K3" s="107"/>
      <c r="L3" s="107"/>
      <c r="M3" s="107"/>
      <c r="N3" s="107"/>
      <c r="O3" s="107"/>
      <c r="P3" s="107"/>
      <c r="Q3" s="107"/>
      <c r="R3" s="107"/>
      <c r="S3" s="107"/>
      <c r="T3" s="107"/>
      <c r="U3" s="107"/>
      <c r="V3" s="107"/>
      <c r="W3" s="107"/>
      <c r="X3" s="107"/>
      <c r="Y3" s="107"/>
    </row>
    <row r="4" ht="16.5" customHeight="1">
      <c r="A4" s="226" t="s">
        <v>12117</v>
      </c>
      <c r="B4" s="64"/>
      <c r="C4" s="64"/>
      <c r="D4" s="64"/>
      <c r="E4" s="65"/>
      <c r="F4" s="542"/>
      <c r="G4" s="474"/>
      <c r="H4" s="474"/>
      <c r="I4" s="107"/>
      <c r="J4" s="107"/>
      <c r="K4" s="107"/>
      <c r="L4" s="107"/>
      <c r="M4" s="107"/>
      <c r="N4" s="107"/>
      <c r="O4" s="107"/>
      <c r="P4" s="107"/>
      <c r="Q4" s="107"/>
      <c r="R4" s="107"/>
      <c r="S4" s="107"/>
      <c r="T4" s="107"/>
      <c r="U4" s="107"/>
      <c r="V4" s="107"/>
      <c r="W4" s="107"/>
      <c r="X4" s="107"/>
      <c r="Y4" s="107"/>
    </row>
    <row r="5" ht="132.75" customHeight="1">
      <c r="A5" s="477" t="s">
        <v>12118</v>
      </c>
      <c r="B5" s="64"/>
      <c r="C5" s="64"/>
      <c r="D5" s="64"/>
      <c r="E5" s="65"/>
      <c r="F5" s="542"/>
      <c r="G5" s="474"/>
      <c r="H5" s="474"/>
      <c r="I5" s="107"/>
      <c r="J5" s="107"/>
      <c r="K5" s="107"/>
      <c r="L5" s="107"/>
      <c r="M5" s="107"/>
      <c r="N5" s="107"/>
      <c r="O5" s="107"/>
      <c r="P5" s="107"/>
      <c r="Q5" s="107"/>
      <c r="R5" s="107"/>
      <c r="S5" s="107"/>
      <c r="T5" s="107"/>
      <c r="U5" s="107"/>
      <c r="V5" s="107"/>
      <c r="W5" s="107"/>
      <c r="X5" s="107"/>
      <c r="Y5" s="107"/>
    </row>
    <row r="6">
      <c r="A6" s="109"/>
      <c r="B6" s="109"/>
      <c r="C6" s="110"/>
      <c r="D6" s="110"/>
      <c r="E6" s="110"/>
      <c r="F6" s="109"/>
      <c r="G6" s="109"/>
      <c r="H6" s="109"/>
      <c r="I6" s="107"/>
      <c r="J6" s="107"/>
      <c r="K6" s="107"/>
      <c r="L6" s="107"/>
      <c r="M6" s="107"/>
      <c r="N6" s="107"/>
      <c r="O6" s="107"/>
      <c r="P6" s="107"/>
      <c r="Q6" s="107"/>
      <c r="R6" s="107"/>
      <c r="S6" s="107"/>
      <c r="T6" s="107"/>
      <c r="U6" s="107"/>
      <c r="V6" s="107"/>
      <c r="W6" s="107"/>
      <c r="X6" s="107"/>
      <c r="Y6" s="107"/>
    </row>
    <row r="7" ht="61.5" customHeight="1">
      <c r="A7" s="228" t="s">
        <v>5174</v>
      </c>
      <c r="B7" s="132" t="s">
        <v>8</v>
      </c>
      <c r="C7" s="132" t="s">
        <v>12119</v>
      </c>
      <c r="D7" s="131" t="s">
        <v>217</v>
      </c>
      <c r="E7" s="131" t="s">
        <v>221</v>
      </c>
      <c r="F7" s="543" t="s">
        <v>222</v>
      </c>
      <c r="I7" s="107"/>
      <c r="J7" s="107"/>
      <c r="K7" s="107"/>
      <c r="L7" s="107"/>
      <c r="M7" s="107"/>
      <c r="N7" s="107"/>
      <c r="O7" s="107"/>
      <c r="P7" s="107"/>
      <c r="Q7" s="107"/>
      <c r="R7" s="107"/>
      <c r="S7" s="107"/>
      <c r="T7" s="107"/>
      <c r="U7" s="107"/>
      <c r="V7" s="107"/>
      <c r="W7" s="107"/>
      <c r="X7" s="107"/>
      <c r="Y7" s="107"/>
    </row>
    <row r="8" ht="15.0" customHeight="1">
      <c r="A8" s="82" t="s">
        <v>61</v>
      </c>
      <c r="B8" s="326" t="s">
        <v>52</v>
      </c>
      <c r="C8" s="82" t="s">
        <v>12120</v>
      </c>
      <c r="D8" s="493">
        <v>20.0</v>
      </c>
      <c r="E8" s="92">
        <v>20.0</v>
      </c>
      <c r="F8" s="281" t="s">
        <v>61</v>
      </c>
    </row>
    <row r="9" ht="15.0" customHeight="1">
      <c r="A9" s="82" t="s">
        <v>61</v>
      </c>
      <c r="B9" s="326" t="s">
        <v>52</v>
      </c>
      <c r="C9" s="82" t="s">
        <v>12121</v>
      </c>
      <c r="D9" s="493">
        <v>30.0</v>
      </c>
      <c r="E9" s="92">
        <v>30.0</v>
      </c>
      <c r="F9" s="281" t="s">
        <v>61</v>
      </c>
    </row>
    <row r="10" ht="15.0" customHeight="1">
      <c r="A10" s="82" t="s">
        <v>61</v>
      </c>
      <c r="B10" s="326" t="s">
        <v>52</v>
      </c>
      <c r="C10" s="82" t="s">
        <v>12122</v>
      </c>
      <c r="D10" s="493">
        <v>30.0</v>
      </c>
      <c r="E10" s="92">
        <v>30.0</v>
      </c>
      <c r="F10" s="281" t="s">
        <v>61</v>
      </c>
    </row>
    <row r="11" ht="15.0" customHeight="1">
      <c r="A11" s="352" t="s">
        <v>61</v>
      </c>
      <c r="B11" s="422" t="s">
        <v>52</v>
      </c>
      <c r="C11" s="82" t="s">
        <v>12123</v>
      </c>
      <c r="D11" s="493">
        <v>60.0</v>
      </c>
      <c r="E11" s="92">
        <v>60.0</v>
      </c>
      <c r="F11" s="281" t="s">
        <v>61</v>
      </c>
    </row>
    <row r="12" ht="15.0" customHeight="1">
      <c r="A12" s="82" t="s">
        <v>79</v>
      </c>
      <c r="B12" s="326" t="s">
        <v>52</v>
      </c>
      <c r="C12" s="82" t="s">
        <v>12124</v>
      </c>
      <c r="D12" s="493">
        <v>30.0</v>
      </c>
      <c r="E12" s="92">
        <v>30.0</v>
      </c>
      <c r="F12" s="281" t="s">
        <v>79</v>
      </c>
    </row>
    <row r="13" ht="15.0" customHeight="1">
      <c r="A13" s="82" t="s">
        <v>7526</v>
      </c>
      <c r="B13" s="326" t="s">
        <v>52</v>
      </c>
      <c r="C13" s="82" t="s">
        <v>12125</v>
      </c>
      <c r="D13" s="493">
        <v>60.0</v>
      </c>
      <c r="E13" s="92">
        <v>60.0</v>
      </c>
      <c r="F13" s="281" t="s">
        <v>51</v>
      </c>
    </row>
    <row r="14" ht="15.0" customHeight="1">
      <c r="A14" s="82" t="s">
        <v>7526</v>
      </c>
      <c r="B14" s="326" t="s">
        <v>52</v>
      </c>
      <c r="C14" s="82" t="s">
        <v>12126</v>
      </c>
      <c r="D14" s="493">
        <v>60.0</v>
      </c>
      <c r="E14" s="92">
        <v>60.0</v>
      </c>
      <c r="F14" s="281" t="s">
        <v>51</v>
      </c>
    </row>
    <row r="15" ht="15.0" customHeight="1">
      <c r="A15" s="82" t="s">
        <v>7526</v>
      </c>
      <c r="B15" s="326" t="s">
        <v>52</v>
      </c>
      <c r="C15" s="82" t="s">
        <v>12127</v>
      </c>
      <c r="D15" s="493">
        <v>80.0</v>
      </c>
      <c r="E15" s="92">
        <v>80.0</v>
      </c>
      <c r="F15" s="281" t="s">
        <v>51</v>
      </c>
    </row>
    <row r="16" ht="15.0" customHeight="1">
      <c r="A16" s="82" t="s">
        <v>7526</v>
      </c>
      <c r="B16" s="326" t="s">
        <v>52</v>
      </c>
      <c r="C16" s="82" t="s">
        <v>12128</v>
      </c>
      <c r="D16" s="493">
        <v>40.0</v>
      </c>
      <c r="E16" s="92">
        <v>40.0</v>
      </c>
      <c r="F16" s="281" t="s">
        <v>51</v>
      </c>
    </row>
    <row r="17" ht="15.0" customHeight="1">
      <c r="A17" s="82" t="s">
        <v>7526</v>
      </c>
      <c r="B17" s="326" t="s">
        <v>52</v>
      </c>
      <c r="C17" s="82" t="s">
        <v>12129</v>
      </c>
      <c r="D17" s="493">
        <v>30.0</v>
      </c>
      <c r="E17" s="92">
        <v>30.0</v>
      </c>
      <c r="F17" s="281" t="s">
        <v>51</v>
      </c>
    </row>
    <row r="18" ht="15.0" customHeight="1">
      <c r="A18" s="82" t="s">
        <v>7526</v>
      </c>
      <c r="B18" s="326" t="s">
        <v>52</v>
      </c>
      <c r="C18" s="82" t="s">
        <v>12130</v>
      </c>
      <c r="D18" s="493">
        <v>60.0</v>
      </c>
      <c r="E18" s="92">
        <v>60.0</v>
      </c>
      <c r="F18" s="281" t="s">
        <v>51</v>
      </c>
    </row>
    <row r="19" ht="15.0" customHeight="1">
      <c r="A19" s="82" t="s">
        <v>7526</v>
      </c>
      <c r="B19" s="326" t="s">
        <v>52</v>
      </c>
      <c r="C19" s="82" t="s">
        <v>12131</v>
      </c>
      <c r="D19" s="493">
        <v>30.0</v>
      </c>
      <c r="E19" s="92">
        <v>30.0</v>
      </c>
      <c r="F19" s="281" t="s">
        <v>51</v>
      </c>
    </row>
    <row r="20" ht="15.0" customHeight="1">
      <c r="A20" s="82" t="s">
        <v>7526</v>
      </c>
      <c r="B20" s="326" t="s">
        <v>52</v>
      </c>
      <c r="C20" s="82" t="s">
        <v>12132</v>
      </c>
      <c r="D20" s="493">
        <v>30.0</v>
      </c>
      <c r="E20" s="92">
        <v>30.0</v>
      </c>
      <c r="F20" s="281" t="s">
        <v>51</v>
      </c>
    </row>
    <row r="21" ht="15.0" customHeight="1">
      <c r="A21" s="82" t="s">
        <v>7526</v>
      </c>
      <c r="B21" s="326" t="s">
        <v>52</v>
      </c>
      <c r="C21" s="82" t="s">
        <v>12133</v>
      </c>
      <c r="D21" s="493">
        <v>20.0</v>
      </c>
      <c r="E21" s="92">
        <v>20.0</v>
      </c>
      <c r="F21" s="281" t="s">
        <v>51</v>
      </c>
    </row>
    <row r="22" ht="15.0" customHeight="1">
      <c r="A22" s="82" t="s">
        <v>7526</v>
      </c>
      <c r="B22" s="326" t="s">
        <v>52</v>
      </c>
      <c r="C22" s="82" t="s">
        <v>12134</v>
      </c>
      <c r="D22" s="493">
        <v>20.0</v>
      </c>
      <c r="E22" s="92">
        <v>20.0</v>
      </c>
      <c r="F22" s="281" t="s">
        <v>51</v>
      </c>
    </row>
    <row r="23" ht="15.0" customHeight="1">
      <c r="A23" s="82" t="s">
        <v>73</v>
      </c>
      <c r="B23" s="326" t="s">
        <v>52</v>
      </c>
      <c r="C23" s="82" t="s">
        <v>12135</v>
      </c>
      <c r="D23" s="493">
        <v>30.0</v>
      </c>
      <c r="E23" s="92">
        <v>30.0</v>
      </c>
      <c r="F23" s="281" t="s">
        <v>73</v>
      </c>
    </row>
    <row r="24" ht="15.0" customHeight="1">
      <c r="A24" s="82" t="s">
        <v>73</v>
      </c>
      <c r="B24" s="326" t="s">
        <v>52</v>
      </c>
      <c r="C24" s="82" t="s">
        <v>12136</v>
      </c>
      <c r="D24" s="493">
        <v>20.0</v>
      </c>
      <c r="E24" s="92">
        <v>20.0</v>
      </c>
      <c r="F24" s="281" t="s">
        <v>73</v>
      </c>
    </row>
    <row r="25" ht="15.0" customHeight="1">
      <c r="A25" s="82" t="s">
        <v>73</v>
      </c>
      <c r="B25" s="326" t="s">
        <v>52</v>
      </c>
      <c r="C25" s="82" t="s">
        <v>12137</v>
      </c>
      <c r="D25" s="493">
        <v>20.0</v>
      </c>
      <c r="E25" s="92">
        <v>20.0</v>
      </c>
      <c r="F25" s="281" t="s">
        <v>73</v>
      </c>
    </row>
    <row r="26" ht="15.0" customHeight="1">
      <c r="A26" s="82" t="s">
        <v>73</v>
      </c>
      <c r="B26" s="326" t="s">
        <v>52</v>
      </c>
      <c r="C26" s="82" t="s">
        <v>12138</v>
      </c>
      <c r="D26" s="493">
        <v>30.0</v>
      </c>
      <c r="E26" s="92">
        <v>30.0</v>
      </c>
      <c r="F26" s="281" t="s">
        <v>73</v>
      </c>
    </row>
    <row r="27" ht="15.0" customHeight="1">
      <c r="A27" s="100" t="s">
        <v>58</v>
      </c>
      <c r="B27" s="544" t="s">
        <v>52</v>
      </c>
      <c r="C27" s="100" t="s">
        <v>12139</v>
      </c>
      <c r="D27" s="545">
        <v>60.0</v>
      </c>
      <c r="E27" s="151">
        <f t="shared" ref="E27:E28" si="1">D27</f>
        <v>60</v>
      </c>
      <c r="F27" s="281" t="s">
        <v>58</v>
      </c>
    </row>
    <row r="28" ht="15.0" customHeight="1">
      <c r="A28" s="100" t="s">
        <v>58</v>
      </c>
      <c r="B28" s="544" t="s">
        <v>52</v>
      </c>
      <c r="C28" s="100" t="s">
        <v>12140</v>
      </c>
      <c r="D28" s="545">
        <v>80.0</v>
      </c>
      <c r="E28" s="151">
        <f t="shared" si="1"/>
        <v>80</v>
      </c>
      <c r="F28" s="281" t="s">
        <v>58</v>
      </c>
    </row>
    <row r="29" ht="15.0" customHeight="1">
      <c r="A29" s="100" t="s">
        <v>58</v>
      </c>
      <c r="B29" s="544" t="s">
        <v>52</v>
      </c>
      <c r="C29" s="100" t="s">
        <v>12141</v>
      </c>
      <c r="D29" s="545">
        <v>40.0</v>
      </c>
      <c r="E29" s="151">
        <v>40.0</v>
      </c>
      <c r="F29" s="281" t="s">
        <v>58</v>
      </c>
    </row>
    <row r="30" ht="15.0" customHeight="1">
      <c r="A30" s="100" t="s">
        <v>58</v>
      </c>
      <c r="B30" s="544" t="s">
        <v>52</v>
      </c>
      <c r="C30" s="100" t="s">
        <v>12142</v>
      </c>
      <c r="D30" s="545">
        <v>30.0</v>
      </c>
      <c r="E30" s="151">
        <v>30.0</v>
      </c>
      <c r="F30" s="281" t="s">
        <v>58</v>
      </c>
    </row>
    <row r="31" ht="15.0" customHeight="1">
      <c r="A31" s="100" t="s">
        <v>58</v>
      </c>
      <c r="B31" s="544" t="s">
        <v>52</v>
      </c>
      <c r="C31" s="100" t="s">
        <v>12143</v>
      </c>
      <c r="D31" s="545">
        <v>30.0</v>
      </c>
      <c r="E31" s="151">
        <v>30.0</v>
      </c>
      <c r="F31" s="281" t="s">
        <v>58</v>
      </c>
    </row>
    <row r="32" ht="15.0" customHeight="1">
      <c r="A32" s="100" t="s">
        <v>58</v>
      </c>
      <c r="B32" s="544" t="s">
        <v>52</v>
      </c>
      <c r="C32" s="100" t="s">
        <v>12144</v>
      </c>
      <c r="D32" s="545">
        <v>40.0</v>
      </c>
      <c r="E32" s="151">
        <v>40.0</v>
      </c>
      <c r="F32" s="281" t="s">
        <v>58</v>
      </c>
    </row>
    <row r="33" ht="15.0" customHeight="1">
      <c r="A33" s="100" t="s">
        <v>58</v>
      </c>
      <c r="B33" s="544" t="s">
        <v>52</v>
      </c>
      <c r="C33" s="100" t="s">
        <v>12145</v>
      </c>
      <c r="D33" s="545">
        <v>30.0</v>
      </c>
      <c r="E33" s="151">
        <v>30.0</v>
      </c>
      <c r="F33" s="281" t="s">
        <v>58</v>
      </c>
    </row>
    <row r="34" ht="15.0" customHeight="1">
      <c r="A34" s="82" t="s">
        <v>75</v>
      </c>
      <c r="B34" s="326" t="s">
        <v>52</v>
      </c>
      <c r="C34" s="82" t="s">
        <v>12146</v>
      </c>
      <c r="D34" s="493">
        <v>30.0</v>
      </c>
      <c r="E34" s="92">
        <v>30.0</v>
      </c>
      <c r="F34" s="281" t="s">
        <v>75</v>
      </c>
    </row>
    <row r="35" ht="15.0" customHeight="1">
      <c r="A35" s="82" t="s">
        <v>1764</v>
      </c>
      <c r="B35" s="326" t="s">
        <v>52</v>
      </c>
      <c r="C35" s="82" t="s">
        <v>12146</v>
      </c>
      <c r="D35" s="493">
        <v>30.0</v>
      </c>
      <c r="E35" s="92">
        <f>D35</f>
        <v>30</v>
      </c>
      <c r="F35" s="281" t="s">
        <v>1764</v>
      </c>
    </row>
    <row r="36" ht="15.0" customHeight="1">
      <c r="A36" s="82" t="s">
        <v>9205</v>
      </c>
      <c r="B36" s="326" t="s">
        <v>52</v>
      </c>
      <c r="C36" s="82" t="s">
        <v>12147</v>
      </c>
      <c r="D36" s="493">
        <v>30.0</v>
      </c>
      <c r="E36" s="92">
        <v>30.0</v>
      </c>
      <c r="F36" s="281" t="s">
        <v>71</v>
      </c>
    </row>
    <row r="37" ht="15.0" customHeight="1">
      <c r="A37" s="82" t="s">
        <v>9207</v>
      </c>
      <c r="B37" s="326" t="s">
        <v>52</v>
      </c>
      <c r="C37" s="82" t="s">
        <v>12148</v>
      </c>
      <c r="D37" s="463">
        <v>30.0</v>
      </c>
      <c r="E37" s="92">
        <v>30.0</v>
      </c>
      <c r="F37" s="281" t="s">
        <v>296</v>
      </c>
    </row>
    <row r="38" ht="15.75" customHeight="1">
      <c r="A38" s="82" t="s">
        <v>7653</v>
      </c>
      <c r="B38" s="326" t="s">
        <v>52</v>
      </c>
      <c r="C38" s="148" t="s">
        <v>12149</v>
      </c>
      <c r="D38" s="493">
        <v>30.0</v>
      </c>
      <c r="E38" s="92">
        <v>30.0</v>
      </c>
      <c r="F38" s="281" t="s">
        <v>90</v>
      </c>
    </row>
    <row r="39" ht="15.0" customHeight="1">
      <c r="A39" s="82" t="s">
        <v>7653</v>
      </c>
      <c r="B39" s="326" t="s">
        <v>52</v>
      </c>
      <c r="C39" s="82" t="s">
        <v>12150</v>
      </c>
      <c r="D39" s="493">
        <v>20.0</v>
      </c>
      <c r="E39" s="92">
        <f>D39</f>
        <v>20</v>
      </c>
      <c r="F39" s="281" t="s">
        <v>90</v>
      </c>
    </row>
    <row r="40" ht="15.0" customHeight="1">
      <c r="A40" s="82" t="s">
        <v>54</v>
      </c>
      <c r="B40" s="326" t="s">
        <v>52</v>
      </c>
      <c r="C40" s="82" t="s">
        <v>12151</v>
      </c>
      <c r="D40" s="493">
        <v>30.0</v>
      </c>
      <c r="E40" s="92">
        <v>30.0</v>
      </c>
      <c r="F40" s="281" t="s">
        <v>54</v>
      </c>
    </row>
    <row r="41" ht="15.0" customHeight="1">
      <c r="A41" s="100" t="s">
        <v>92</v>
      </c>
      <c r="B41" s="544" t="s">
        <v>52</v>
      </c>
      <c r="C41" s="100" t="s">
        <v>12152</v>
      </c>
      <c r="D41" s="545">
        <v>80.0</v>
      </c>
      <c r="E41" s="151">
        <v>80.0</v>
      </c>
      <c r="F41" s="281" t="s">
        <v>92</v>
      </c>
    </row>
    <row r="42" ht="15.0" customHeight="1">
      <c r="A42" s="82" t="s">
        <v>92</v>
      </c>
      <c r="B42" s="326" t="s">
        <v>52</v>
      </c>
      <c r="C42" s="82" t="s">
        <v>12153</v>
      </c>
      <c r="D42" s="493">
        <v>30.0</v>
      </c>
      <c r="E42" s="92">
        <v>30.0</v>
      </c>
      <c r="F42" s="281" t="s">
        <v>92</v>
      </c>
    </row>
    <row r="43" ht="15.0" customHeight="1">
      <c r="A43" s="82" t="s">
        <v>8503</v>
      </c>
      <c r="B43" s="326" t="s">
        <v>52</v>
      </c>
      <c r="C43" s="82" t="s">
        <v>12154</v>
      </c>
      <c r="D43" s="493">
        <v>30.0</v>
      </c>
      <c r="E43" s="92">
        <v>30.0</v>
      </c>
      <c r="F43" s="281" t="s">
        <v>72</v>
      </c>
    </row>
    <row r="44" ht="15.0" customHeight="1">
      <c r="A44" s="82" t="s">
        <v>9211</v>
      </c>
      <c r="B44" s="326" t="s">
        <v>52</v>
      </c>
      <c r="C44" s="82" t="s">
        <v>12125</v>
      </c>
      <c r="D44" s="493">
        <v>60.0</v>
      </c>
      <c r="E44" s="92">
        <v>60.0</v>
      </c>
      <c r="F44" s="281" t="s">
        <v>76</v>
      </c>
    </row>
    <row r="45" ht="15.0" customHeight="1">
      <c r="A45" s="82" t="s">
        <v>9211</v>
      </c>
      <c r="B45" s="326" t="s">
        <v>52</v>
      </c>
      <c r="C45" s="82" t="s">
        <v>12126</v>
      </c>
      <c r="D45" s="493">
        <v>60.0</v>
      </c>
      <c r="E45" s="92">
        <v>60.0</v>
      </c>
      <c r="F45" s="281" t="s">
        <v>76</v>
      </c>
    </row>
    <row r="46" ht="15.0" customHeight="1">
      <c r="A46" s="82" t="s">
        <v>9211</v>
      </c>
      <c r="B46" s="326" t="s">
        <v>52</v>
      </c>
      <c r="C46" s="82" t="s">
        <v>12155</v>
      </c>
      <c r="D46" s="493">
        <v>30.0</v>
      </c>
      <c r="E46" s="92">
        <v>30.0</v>
      </c>
      <c r="F46" s="281" t="s">
        <v>76</v>
      </c>
    </row>
    <row r="47" ht="15.0" customHeight="1">
      <c r="A47" s="82" t="s">
        <v>9211</v>
      </c>
      <c r="B47" s="326" t="s">
        <v>52</v>
      </c>
      <c r="C47" s="82" t="s">
        <v>12156</v>
      </c>
      <c r="D47" s="493">
        <v>30.0</v>
      </c>
      <c r="E47" s="92">
        <v>30.0</v>
      </c>
      <c r="F47" s="281" t="s">
        <v>76</v>
      </c>
    </row>
    <row r="48" ht="15.0" customHeight="1">
      <c r="A48" s="82" t="s">
        <v>9211</v>
      </c>
      <c r="B48" s="326" t="s">
        <v>52</v>
      </c>
      <c r="C48" s="82" t="s">
        <v>12157</v>
      </c>
      <c r="D48" s="493">
        <v>30.0</v>
      </c>
      <c r="E48" s="92">
        <v>30.0</v>
      </c>
      <c r="F48" s="281" t="s">
        <v>76</v>
      </c>
    </row>
    <row r="49" ht="15.0" customHeight="1">
      <c r="A49" s="82" t="s">
        <v>9211</v>
      </c>
      <c r="B49" s="326" t="s">
        <v>52</v>
      </c>
      <c r="C49" s="82" t="s">
        <v>12158</v>
      </c>
      <c r="D49" s="493">
        <v>20.0</v>
      </c>
      <c r="E49" s="92">
        <v>20.0</v>
      </c>
      <c r="F49" s="281" t="s">
        <v>76</v>
      </c>
    </row>
    <row r="50" ht="15.0" customHeight="1">
      <c r="A50" s="82" t="s">
        <v>57</v>
      </c>
      <c r="B50" s="326" t="s">
        <v>52</v>
      </c>
      <c r="C50" s="82" t="s">
        <v>12159</v>
      </c>
      <c r="D50" s="493">
        <v>30.0</v>
      </c>
      <c r="E50" s="92">
        <v>30.0</v>
      </c>
      <c r="F50" s="281" t="s">
        <v>57</v>
      </c>
    </row>
    <row r="51" ht="15.0" customHeight="1">
      <c r="A51" s="82" t="s">
        <v>7659</v>
      </c>
      <c r="B51" s="326" t="s">
        <v>52</v>
      </c>
      <c r="C51" s="82" t="s">
        <v>12160</v>
      </c>
      <c r="D51" s="493">
        <v>40.0</v>
      </c>
      <c r="E51" s="92">
        <f t="shared" ref="E51:E58" si="2">D51</f>
        <v>40</v>
      </c>
      <c r="F51" s="281" t="s">
        <v>60</v>
      </c>
    </row>
    <row r="52" ht="15.0" customHeight="1">
      <c r="A52" s="82" t="s">
        <v>7659</v>
      </c>
      <c r="B52" s="326" t="s">
        <v>52</v>
      </c>
      <c r="C52" s="82" t="s">
        <v>12161</v>
      </c>
      <c r="D52" s="493">
        <v>40.0</v>
      </c>
      <c r="E52" s="92">
        <f t="shared" si="2"/>
        <v>40</v>
      </c>
      <c r="F52" s="281" t="s">
        <v>60</v>
      </c>
    </row>
    <row r="53" ht="15.0" customHeight="1">
      <c r="A53" s="82" t="s">
        <v>7659</v>
      </c>
      <c r="B53" s="326" t="s">
        <v>52</v>
      </c>
      <c r="C53" s="82" t="s">
        <v>12162</v>
      </c>
      <c r="D53" s="493">
        <v>40.0</v>
      </c>
      <c r="E53" s="92">
        <f t="shared" si="2"/>
        <v>40</v>
      </c>
      <c r="F53" s="281" t="s">
        <v>60</v>
      </c>
    </row>
    <row r="54" ht="15.0" customHeight="1">
      <c r="A54" s="82" t="s">
        <v>7659</v>
      </c>
      <c r="B54" s="326" t="s">
        <v>52</v>
      </c>
      <c r="C54" s="82" t="s">
        <v>12125</v>
      </c>
      <c r="D54" s="493">
        <v>60.0</v>
      </c>
      <c r="E54" s="92">
        <f t="shared" si="2"/>
        <v>60</v>
      </c>
      <c r="F54" s="281" t="s">
        <v>60</v>
      </c>
    </row>
    <row r="55" ht="15.0" customHeight="1">
      <c r="A55" s="82" t="s">
        <v>7659</v>
      </c>
      <c r="B55" s="326" t="s">
        <v>52</v>
      </c>
      <c r="C55" s="82" t="s">
        <v>12126</v>
      </c>
      <c r="D55" s="493">
        <v>60.0</v>
      </c>
      <c r="E55" s="92">
        <f t="shared" si="2"/>
        <v>60</v>
      </c>
      <c r="F55" s="281" t="s">
        <v>60</v>
      </c>
    </row>
    <row r="56" ht="15.0" customHeight="1">
      <c r="A56" s="82" t="s">
        <v>7659</v>
      </c>
      <c r="B56" s="326" t="s">
        <v>52</v>
      </c>
      <c r="C56" s="82" t="s">
        <v>12163</v>
      </c>
      <c r="D56" s="493">
        <v>80.0</v>
      </c>
      <c r="E56" s="92">
        <f t="shared" si="2"/>
        <v>80</v>
      </c>
      <c r="F56" s="281" t="s">
        <v>60</v>
      </c>
    </row>
    <row r="57" ht="15.0" customHeight="1">
      <c r="A57" s="82" t="s">
        <v>7659</v>
      </c>
      <c r="B57" s="326" t="s">
        <v>52</v>
      </c>
      <c r="C57" s="82" t="s">
        <v>12164</v>
      </c>
      <c r="D57" s="493">
        <v>80.0</v>
      </c>
      <c r="E57" s="92">
        <f t="shared" si="2"/>
        <v>80</v>
      </c>
      <c r="F57" s="281" t="s">
        <v>60</v>
      </c>
    </row>
    <row r="58" ht="15.0" customHeight="1">
      <c r="A58" s="82" t="s">
        <v>7659</v>
      </c>
      <c r="B58" s="326" t="s">
        <v>52</v>
      </c>
      <c r="C58" s="82" t="s">
        <v>12165</v>
      </c>
      <c r="D58" s="493">
        <v>100.0</v>
      </c>
      <c r="E58" s="92">
        <f t="shared" si="2"/>
        <v>100</v>
      </c>
      <c r="F58" s="281" t="s">
        <v>60</v>
      </c>
    </row>
    <row r="59" ht="15.0" customHeight="1">
      <c r="A59" s="82" t="s">
        <v>7659</v>
      </c>
      <c r="B59" s="326" t="s">
        <v>52</v>
      </c>
      <c r="C59" s="82" t="s">
        <v>12166</v>
      </c>
      <c r="D59" s="493">
        <v>400.0</v>
      </c>
      <c r="E59" s="92">
        <v>400.0</v>
      </c>
      <c r="F59" s="281" t="s">
        <v>60</v>
      </c>
    </row>
    <row r="60" ht="15.0" customHeight="1">
      <c r="A60" s="82" t="s">
        <v>7659</v>
      </c>
      <c r="B60" s="326" t="s">
        <v>52</v>
      </c>
      <c r="C60" s="82" t="s">
        <v>12167</v>
      </c>
      <c r="D60" s="493">
        <v>30.0</v>
      </c>
      <c r="E60" s="92">
        <f t="shared" ref="E60:E74" si="3">D60</f>
        <v>30</v>
      </c>
      <c r="F60" s="281" t="s">
        <v>60</v>
      </c>
    </row>
    <row r="61" ht="15.0" customHeight="1">
      <c r="A61" s="82" t="s">
        <v>7659</v>
      </c>
      <c r="B61" s="326" t="s">
        <v>52</v>
      </c>
      <c r="C61" s="82" t="s">
        <v>12168</v>
      </c>
      <c r="D61" s="493">
        <v>30.0</v>
      </c>
      <c r="E61" s="92">
        <f t="shared" si="3"/>
        <v>30</v>
      </c>
      <c r="F61" s="281" t="s">
        <v>60</v>
      </c>
    </row>
    <row r="62" ht="15.0" customHeight="1">
      <c r="A62" s="82" t="s">
        <v>7659</v>
      </c>
      <c r="B62" s="326" t="s">
        <v>52</v>
      </c>
      <c r="C62" s="82" t="s">
        <v>12169</v>
      </c>
      <c r="D62" s="493">
        <v>30.0</v>
      </c>
      <c r="E62" s="92">
        <f t="shared" si="3"/>
        <v>30</v>
      </c>
      <c r="F62" s="281" t="s">
        <v>60</v>
      </c>
    </row>
    <row r="63" ht="15.0" customHeight="1">
      <c r="A63" s="82" t="s">
        <v>7659</v>
      </c>
      <c r="B63" s="326" t="s">
        <v>52</v>
      </c>
      <c r="C63" s="82" t="s">
        <v>12170</v>
      </c>
      <c r="D63" s="493">
        <v>30.0</v>
      </c>
      <c r="E63" s="92">
        <f t="shared" si="3"/>
        <v>30</v>
      </c>
      <c r="F63" s="281" t="s">
        <v>60</v>
      </c>
    </row>
    <row r="64" ht="15.0" customHeight="1">
      <c r="A64" s="82" t="s">
        <v>7659</v>
      </c>
      <c r="B64" s="326" t="s">
        <v>52</v>
      </c>
      <c r="C64" s="82" t="s">
        <v>12171</v>
      </c>
      <c r="D64" s="493">
        <v>30.0</v>
      </c>
      <c r="E64" s="92">
        <f t="shared" si="3"/>
        <v>30</v>
      </c>
      <c r="F64" s="281" t="s">
        <v>60</v>
      </c>
    </row>
    <row r="65" ht="15.0" customHeight="1">
      <c r="A65" s="82" t="s">
        <v>7659</v>
      </c>
      <c r="B65" s="326" t="s">
        <v>52</v>
      </c>
      <c r="C65" s="82" t="s">
        <v>12172</v>
      </c>
      <c r="D65" s="493">
        <v>30.0</v>
      </c>
      <c r="E65" s="92">
        <f t="shared" si="3"/>
        <v>30</v>
      </c>
      <c r="F65" s="281" t="s">
        <v>60</v>
      </c>
    </row>
    <row r="66" ht="15.0" customHeight="1">
      <c r="A66" s="82" t="s">
        <v>7659</v>
      </c>
      <c r="B66" s="326" t="s">
        <v>52</v>
      </c>
      <c r="C66" s="82" t="s">
        <v>12173</v>
      </c>
      <c r="D66" s="493">
        <v>30.0</v>
      </c>
      <c r="E66" s="92">
        <f t="shared" si="3"/>
        <v>30</v>
      </c>
      <c r="F66" s="281" t="s">
        <v>60</v>
      </c>
    </row>
    <row r="67" ht="15.0" customHeight="1">
      <c r="A67" s="82" t="s">
        <v>7659</v>
      </c>
      <c r="B67" s="326" t="s">
        <v>52</v>
      </c>
      <c r="C67" s="82" t="s">
        <v>12174</v>
      </c>
      <c r="D67" s="493">
        <v>20.0</v>
      </c>
      <c r="E67" s="92">
        <f t="shared" si="3"/>
        <v>20</v>
      </c>
      <c r="F67" s="281" t="s">
        <v>60</v>
      </c>
    </row>
    <row r="68" ht="15.0" customHeight="1">
      <c r="A68" s="82" t="s">
        <v>7659</v>
      </c>
      <c r="B68" s="326" t="s">
        <v>52</v>
      </c>
      <c r="C68" s="82" t="s">
        <v>12175</v>
      </c>
      <c r="D68" s="493">
        <v>20.0</v>
      </c>
      <c r="E68" s="92">
        <f t="shared" si="3"/>
        <v>20</v>
      </c>
      <c r="F68" s="281" t="s">
        <v>60</v>
      </c>
    </row>
    <row r="69" ht="15.0" customHeight="1">
      <c r="A69" s="82" t="s">
        <v>7659</v>
      </c>
      <c r="B69" s="326" t="s">
        <v>52</v>
      </c>
      <c r="C69" s="82" t="s">
        <v>12176</v>
      </c>
      <c r="D69" s="493">
        <v>20.0</v>
      </c>
      <c r="E69" s="92">
        <f t="shared" si="3"/>
        <v>20</v>
      </c>
      <c r="F69" s="281" t="s">
        <v>60</v>
      </c>
    </row>
    <row r="70" ht="15.0" customHeight="1">
      <c r="A70" s="82" t="s">
        <v>7659</v>
      </c>
      <c r="B70" s="326" t="s">
        <v>52</v>
      </c>
      <c r="C70" s="82" t="s">
        <v>12177</v>
      </c>
      <c r="D70" s="493">
        <v>20.0</v>
      </c>
      <c r="E70" s="92">
        <f t="shared" si="3"/>
        <v>20</v>
      </c>
      <c r="F70" s="281" t="s">
        <v>60</v>
      </c>
    </row>
    <row r="71" ht="15.0" customHeight="1">
      <c r="A71" s="82" t="s">
        <v>7659</v>
      </c>
      <c r="B71" s="326" t="s">
        <v>52</v>
      </c>
      <c r="C71" s="82" t="s">
        <v>12178</v>
      </c>
      <c r="D71" s="493">
        <v>20.0</v>
      </c>
      <c r="E71" s="92">
        <f t="shared" si="3"/>
        <v>20</v>
      </c>
      <c r="F71" s="281" t="s">
        <v>60</v>
      </c>
    </row>
    <row r="72" ht="15.0" customHeight="1">
      <c r="A72" s="82" t="s">
        <v>7659</v>
      </c>
      <c r="B72" s="326" t="s">
        <v>52</v>
      </c>
      <c r="C72" s="82" t="s">
        <v>12179</v>
      </c>
      <c r="D72" s="493">
        <v>20.0</v>
      </c>
      <c r="E72" s="92">
        <f t="shared" si="3"/>
        <v>20</v>
      </c>
      <c r="F72" s="281" t="s">
        <v>60</v>
      </c>
    </row>
    <row r="73" ht="15.0" customHeight="1">
      <c r="A73" s="82" t="s">
        <v>7659</v>
      </c>
      <c r="B73" s="326" t="s">
        <v>9236</v>
      </c>
      <c r="C73" s="82" t="s">
        <v>12180</v>
      </c>
      <c r="D73" s="493">
        <v>20.0</v>
      </c>
      <c r="E73" s="92">
        <f t="shared" si="3"/>
        <v>20</v>
      </c>
      <c r="F73" s="281" t="s">
        <v>60</v>
      </c>
    </row>
    <row r="74" ht="15.0" customHeight="1">
      <c r="A74" s="82" t="s">
        <v>7659</v>
      </c>
      <c r="B74" s="326" t="s">
        <v>9238</v>
      </c>
      <c r="C74" s="82" t="s">
        <v>12181</v>
      </c>
      <c r="D74" s="493">
        <v>20.0</v>
      </c>
      <c r="E74" s="92">
        <f t="shared" si="3"/>
        <v>20</v>
      </c>
      <c r="F74" s="281" t="s">
        <v>60</v>
      </c>
    </row>
    <row r="75" ht="15.0" customHeight="1">
      <c r="A75" s="82" t="s">
        <v>7704</v>
      </c>
      <c r="B75" s="326" t="s">
        <v>52</v>
      </c>
      <c r="C75" s="82" t="s">
        <v>12122</v>
      </c>
      <c r="D75" s="493">
        <v>30.0</v>
      </c>
      <c r="E75" s="92">
        <v>30.0</v>
      </c>
      <c r="F75" s="281" t="s">
        <v>82</v>
      </c>
    </row>
    <row r="76" ht="15.0" customHeight="1">
      <c r="A76" s="82" t="s">
        <v>8522</v>
      </c>
      <c r="B76" s="326" t="s">
        <v>52</v>
      </c>
      <c r="C76" s="82" t="s">
        <v>12182</v>
      </c>
      <c r="D76" s="493">
        <v>60.0</v>
      </c>
      <c r="E76" s="92">
        <v>60.0</v>
      </c>
      <c r="F76" s="281" t="s">
        <v>80</v>
      </c>
    </row>
    <row r="77" ht="15.0" customHeight="1">
      <c r="A77" s="82" t="s">
        <v>8522</v>
      </c>
      <c r="B77" s="326" t="s">
        <v>52</v>
      </c>
      <c r="C77" s="82" t="s">
        <v>12183</v>
      </c>
      <c r="D77" s="493">
        <v>60.0</v>
      </c>
      <c r="E77" s="92">
        <v>30.0</v>
      </c>
      <c r="F77" s="281" t="s">
        <v>80</v>
      </c>
    </row>
    <row r="78" ht="15.0" customHeight="1">
      <c r="A78" s="100" t="s">
        <v>80</v>
      </c>
      <c r="B78" s="544" t="s">
        <v>12184</v>
      </c>
      <c r="C78" s="100" t="s">
        <v>12185</v>
      </c>
      <c r="D78" s="545">
        <v>30.0</v>
      </c>
      <c r="E78" s="151">
        <v>30.0</v>
      </c>
      <c r="F78" s="281" t="s">
        <v>80</v>
      </c>
    </row>
    <row r="79" ht="15.0" customHeight="1">
      <c r="A79" s="100" t="s">
        <v>80</v>
      </c>
      <c r="B79" s="544" t="s">
        <v>12184</v>
      </c>
      <c r="C79" s="100" t="s">
        <v>12186</v>
      </c>
      <c r="D79" s="545">
        <v>30.0</v>
      </c>
      <c r="E79" s="151">
        <v>30.0</v>
      </c>
      <c r="F79" s="281" t="s">
        <v>80</v>
      </c>
    </row>
    <row r="80" ht="15.0" customHeight="1">
      <c r="A80" s="82" t="s">
        <v>67</v>
      </c>
      <c r="B80" s="326" t="s">
        <v>52</v>
      </c>
      <c r="C80" s="82" t="s">
        <v>12187</v>
      </c>
      <c r="D80" s="493">
        <v>40.0</v>
      </c>
      <c r="E80" s="92">
        <v>40.0</v>
      </c>
      <c r="F80" s="281" t="s">
        <v>67</v>
      </c>
    </row>
    <row r="81" ht="15.0" customHeight="1">
      <c r="A81" s="82" t="s">
        <v>67</v>
      </c>
      <c r="B81" s="326" t="s">
        <v>52</v>
      </c>
      <c r="C81" s="82" t="s">
        <v>12188</v>
      </c>
      <c r="D81" s="493">
        <v>20.0</v>
      </c>
      <c r="E81" s="92">
        <v>20.0</v>
      </c>
      <c r="F81" s="281" t="s">
        <v>67</v>
      </c>
    </row>
    <row r="82" ht="15.0" customHeight="1">
      <c r="A82" s="82" t="s">
        <v>67</v>
      </c>
      <c r="B82" s="326" t="s">
        <v>52</v>
      </c>
      <c r="C82" s="82" t="s">
        <v>12149</v>
      </c>
      <c r="D82" s="493">
        <v>30.0</v>
      </c>
      <c r="E82" s="92">
        <v>30.0</v>
      </c>
      <c r="F82" s="281" t="s">
        <v>67</v>
      </c>
    </row>
    <row r="83" ht="15.0" customHeight="1">
      <c r="A83" s="148" t="s">
        <v>8536</v>
      </c>
      <c r="B83" s="406" t="s">
        <v>52</v>
      </c>
      <c r="C83" s="148" t="s">
        <v>12146</v>
      </c>
      <c r="D83" s="530">
        <v>30.0</v>
      </c>
      <c r="E83" s="162">
        <v>30.0</v>
      </c>
      <c r="F83" s="281" t="s">
        <v>87</v>
      </c>
    </row>
    <row r="84" ht="15.0" customHeight="1">
      <c r="A84" s="148" t="s">
        <v>9219</v>
      </c>
      <c r="B84" s="406" t="s">
        <v>52</v>
      </c>
      <c r="C84" s="148" t="s">
        <v>12189</v>
      </c>
      <c r="D84" s="530">
        <v>80.0</v>
      </c>
      <c r="E84" s="92">
        <f t="shared" ref="E84:E90" si="4">D84</f>
        <v>80</v>
      </c>
      <c r="F84" s="281" t="s">
        <v>59</v>
      </c>
    </row>
    <row r="85" ht="15.0" customHeight="1">
      <c r="A85" s="148" t="s">
        <v>9219</v>
      </c>
      <c r="B85" s="406" t="s">
        <v>52</v>
      </c>
      <c r="C85" s="148" t="s">
        <v>12126</v>
      </c>
      <c r="D85" s="530">
        <v>60.0</v>
      </c>
      <c r="E85" s="92">
        <f t="shared" si="4"/>
        <v>60</v>
      </c>
      <c r="F85" s="281" t="s">
        <v>59</v>
      </c>
    </row>
    <row r="86" ht="15.75" customHeight="1">
      <c r="A86" s="148" t="s">
        <v>9219</v>
      </c>
      <c r="B86" s="406" t="s">
        <v>52</v>
      </c>
      <c r="C86" s="148" t="s">
        <v>12190</v>
      </c>
      <c r="D86" s="530">
        <v>30.0</v>
      </c>
      <c r="E86" s="92">
        <f t="shared" si="4"/>
        <v>30</v>
      </c>
      <c r="F86" s="281" t="s">
        <v>59</v>
      </c>
    </row>
    <row r="87" ht="15.75" customHeight="1">
      <c r="A87" s="148" t="s">
        <v>9219</v>
      </c>
      <c r="B87" s="406" t="s">
        <v>52</v>
      </c>
      <c r="C87" s="148" t="s">
        <v>12191</v>
      </c>
      <c r="D87" s="493">
        <v>30.0</v>
      </c>
      <c r="E87" s="92">
        <f t="shared" si="4"/>
        <v>30</v>
      </c>
      <c r="F87" s="281" t="s">
        <v>59</v>
      </c>
    </row>
    <row r="88" ht="15.75" customHeight="1">
      <c r="A88" s="148" t="s">
        <v>9219</v>
      </c>
      <c r="B88" s="406" t="s">
        <v>52</v>
      </c>
      <c r="C88" s="148" t="s">
        <v>12192</v>
      </c>
      <c r="D88" s="521">
        <v>20.0</v>
      </c>
      <c r="E88" s="440">
        <f t="shared" si="4"/>
        <v>20</v>
      </c>
      <c r="F88" s="281" t="s">
        <v>59</v>
      </c>
    </row>
    <row r="89" ht="15.75" customHeight="1">
      <c r="A89" s="148" t="s">
        <v>9219</v>
      </c>
      <c r="B89" s="406" t="s">
        <v>52</v>
      </c>
      <c r="C89" s="82" t="s">
        <v>12193</v>
      </c>
      <c r="D89" s="521">
        <v>20.0</v>
      </c>
      <c r="E89" s="440">
        <f t="shared" si="4"/>
        <v>20</v>
      </c>
      <c r="F89" s="281" t="s">
        <v>59</v>
      </c>
    </row>
    <row r="90" ht="15.75" customHeight="1">
      <c r="A90" s="148" t="s">
        <v>9219</v>
      </c>
      <c r="B90" s="406" t="s">
        <v>52</v>
      </c>
      <c r="C90" s="148" t="s">
        <v>12194</v>
      </c>
      <c r="D90" s="546">
        <v>20.0</v>
      </c>
      <c r="E90" s="440">
        <f t="shared" si="4"/>
        <v>20</v>
      </c>
      <c r="F90" s="281" t="s">
        <v>59</v>
      </c>
    </row>
    <row r="91" ht="15.75" customHeight="1">
      <c r="A91" s="164" t="s">
        <v>9219</v>
      </c>
      <c r="B91" s="547" t="s">
        <v>52</v>
      </c>
      <c r="C91" s="164" t="s">
        <v>12195</v>
      </c>
      <c r="D91" s="545">
        <v>100.0</v>
      </c>
      <c r="E91" s="517">
        <f>D91/4</f>
        <v>25</v>
      </c>
      <c r="F91" s="281" t="s">
        <v>59</v>
      </c>
    </row>
    <row r="92" ht="15.75" customHeight="1">
      <c r="A92" s="164" t="s">
        <v>9219</v>
      </c>
      <c r="B92" s="547" t="s">
        <v>52</v>
      </c>
      <c r="C92" s="164" t="s">
        <v>12196</v>
      </c>
      <c r="D92" s="548">
        <v>40.0</v>
      </c>
      <c r="E92" s="517">
        <f>D92</f>
        <v>40</v>
      </c>
      <c r="F92" s="281" t="s">
        <v>59</v>
      </c>
    </row>
    <row r="93" ht="15.75" customHeight="1">
      <c r="A93" s="164" t="s">
        <v>9219</v>
      </c>
      <c r="B93" s="547" t="s">
        <v>52</v>
      </c>
      <c r="C93" s="164" t="s">
        <v>12197</v>
      </c>
      <c r="D93" s="548">
        <v>40.0</v>
      </c>
      <c r="E93" s="517">
        <f t="shared" ref="E93:E94" si="5">D93/4</f>
        <v>10</v>
      </c>
      <c r="F93" s="281" t="s">
        <v>59</v>
      </c>
    </row>
    <row r="94" ht="15.75" customHeight="1">
      <c r="A94" s="164" t="s">
        <v>9219</v>
      </c>
      <c r="B94" s="547" t="s">
        <v>52</v>
      </c>
      <c r="C94" s="164" t="s">
        <v>12198</v>
      </c>
      <c r="D94" s="548">
        <v>40.0</v>
      </c>
      <c r="E94" s="517">
        <f t="shared" si="5"/>
        <v>10</v>
      </c>
      <c r="F94" s="281" t="s">
        <v>59</v>
      </c>
    </row>
    <row r="95" ht="15.0" customHeight="1">
      <c r="A95" s="82" t="s">
        <v>7730</v>
      </c>
      <c r="B95" s="326" t="s">
        <v>52</v>
      </c>
      <c r="C95" s="82" t="s">
        <v>12149</v>
      </c>
      <c r="D95" s="493">
        <v>30.0</v>
      </c>
      <c r="E95" s="92">
        <v>30.0</v>
      </c>
      <c r="F95" s="281" t="s">
        <v>91</v>
      </c>
    </row>
    <row r="96" ht="15.0" customHeight="1">
      <c r="A96" s="82" t="s">
        <v>85</v>
      </c>
      <c r="B96" s="326" t="s">
        <v>52</v>
      </c>
      <c r="C96" s="82" t="s">
        <v>12147</v>
      </c>
      <c r="D96" s="493">
        <v>30.0</v>
      </c>
      <c r="E96" s="92">
        <v>30.0</v>
      </c>
      <c r="F96" s="281" t="s">
        <v>85</v>
      </c>
    </row>
    <row r="97" ht="15.0" customHeight="1">
      <c r="A97" s="82" t="s">
        <v>10646</v>
      </c>
      <c r="B97" s="326" t="s">
        <v>52</v>
      </c>
      <c r="C97" s="82" t="s">
        <v>12126</v>
      </c>
      <c r="D97" s="493">
        <v>60.0</v>
      </c>
      <c r="E97" s="92">
        <f t="shared" ref="E97:E108" si="6">D97</f>
        <v>60</v>
      </c>
      <c r="F97" s="281" t="s">
        <v>515</v>
      </c>
    </row>
    <row r="98" ht="15.0" customHeight="1">
      <c r="A98" s="82" t="s">
        <v>10646</v>
      </c>
      <c r="B98" s="326" t="s">
        <v>52</v>
      </c>
      <c r="C98" s="82" t="s">
        <v>12125</v>
      </c>
      <c r="D98" s="493">
        <v>60.0</v>
      </c>
      <c r="E98" s="92">
        <f t="shared" si="6"/>
        <v>60</v>
      </c>
      <c r="F98" s="281" t="s">
        <v>515</v>
      </c>
    </row>
    <row r="99" ht="15.0" customHeight="1">
      <c r="A99" s="82" t="s">
        <v>10646</v>
      </c>
      <c r="B99" s="326" t="s">
        <v>52</v>
      </c>
      <c r="C99" s="82" t="s">
        <v>12146</v>
      </c>
      <c r="D99" s="493">
        <v>30.0</v>
      </c>
      <c r="E99" s="92">
        <f t="shared" si="6"/>
        <v>30</v>
      </c>
      <c r="F99" s="281" t="s">
        <v>515</v>
      </c>
    </row>
    <row r="100" ht="15.0" customHeight="1">
      <c r="A100" s="82" t="s">
        <v>10646</v>
      </c>
      <c r="B100" s="326" t="s">
        <v>52</v>
      </c>
      <c r="C100" s="82" t="s">
        <v>12199</v>
      </c>
      <c r="D100" s="493">
        <v>30.0</v>
      </c>
      <c r="E100" s="92">
        <f t="shared" si="6"/>
        <v>30</v>
      </c>
      <c r="F100" s="281" t="s">
        <v>515</v>
      </c>
    </row>
    <row r="101" ht="15.0" customHeight="1">
      <c r="A101" s="82" t="s">
        <v>10646</v>
      </c>
      <c r="B101" s="326" t="s">
        <v>52</v>
      </c>
      <c r="C101" s="82" t="s">
        <v>12168</v>
      </c>
      <c r="D101" s="493">
        <v>30.0</v>
      </c>
      <c r="E101" s="92">
        <f t="shared" si="6"/>
        <v>30</v>
      </c>
      <c r="F101" s="281" t="s">
        <v>515</v>
      </c>
    </row>
    <row r="102" ht="15.0" customHeight="1">
      <c r="A102" s="82" t="s">
        <v>10646</v>
      </c>
      <c r="B102" s="326" t="s">
        <v>52</v>
      </c>
      <c r="C102" s="82" t="s">
        <v>12173</v>
      </c>
      <c r="D102" s="493">
        <v>30.0</v>
      </c>
      <c r="E102" s="92">
        <f t="shared" si="6"/>
        <v>30</v>
      </c>
      <c r="F102" s="281" t="s">
        <v>515</v>
      </c>
    </row>
    <row r="103" ht="15.0" customHeight="1">
      <c r="A103" s="82" t="s">
        <v>10646</v>
      </c>
      <c r="B103" s="326" t="s">
        <v>52</v>
      </c>
      <c r="C103" s="82" t="s">
        <v>12150</v>
      </c>
      <c r="D103" s="493">
        <v>20.0</v>
      </c>
      <c r="E103" s="92">
        <f t="shared" si="6"/>
        <v>20</v>
      </c>
      <c r="F103" s="281" t="s">
        <v>515</v>
      </c>
    </row>
    <row r="104" ht="15.0" customHeight="1">
      <c r="A104" s="82" t="s">
        <v>10646</v>
      </c>
      <c r="B104" s="326" t="s">
        <v>52</v>
      </c>
      <c r="C104" s="82" t="s">
        <v>12174</v>
      </c>
      <c r="D104" s="493">
        <v>20.0</v>
      </c>
      <c r="E104" s="92">
        <f t="shared" si="6"/>
        <v>20</v>
      </c>
      <c r="F104" s="281" t="s">
        <v>515</v>
      </c>
    </row>
    <row r="105" ht="15.0" customHeight="1">
      <c r="A105" s="82" t="s">
        <v>10646</v>
      </c>
      <c r="B105" s="326" t="s">
        <v>52</v>
      </c>
      <c r="C105" s="82" t="s">
        <v>12200</v>
      </c>
      <c r="D105" s="493">
        <v>30.0</v>
      </c>
      <c r="E105" s="92">
        <f t="shared" si="6"/>
        <v>30</v>
      </c>
      <c r="F105" s="281" t="s">
        <v>515</v>
      </c>
    </row>
    <row r="106" ht="15.0" customHeight="1">
      <c r="A106" s="82" t="s">
        <v>10646</v>
      </c>
      <c r="B106" s="326" t="s">
        <v>52</v>
      </c>
      <c r="C106" s="82" t="s">
        <v>12201</v>
      </c>
      <c r="D106" s="493">
        <v>30.0</v>
      </c>
      <c r="E106" s="92">
        <f t="shared" si="6"/>
        <v>30</v>
      </c>
      <c r="F106" s="281" t="s">
        <v>515</v>
      </c>
    </row>
    <row r="107" ht="15.0" customHeight="1">
      <c r="A107" s="82" t="s">
        <v>10646</v>
      </c>
      <c r="B107" s="326" t="s">
        <v>52</v>
      </c>
      <c r="C107" s="82" t="s">
        <v>12202</v>
      </c>
      <c r="D107" s="493">
        <v>31.0</v>
      </c>
      <c r="E107" s="92">
        <f t="shared" si="6"/>
        <v>31</v>
      </c>
      <c r="F107" s="281" t="s">
        <v>515</v>
      </c>
    </row>
    <row r="108" ht="15.0" customHeight="1">
      <c r="A108" s="82" t="s">
        <v>8556</v>
      </c>
      <c r="B108" s="326" t="s">
        <v>52</v>
      </c>
      <c r="C108" s="82" t="s">
        <v>12203</v>
      </c>
      <c r="D108" s="493">
        <v>30.0</v>
      </c>
      <c r="E108" s="92">
        <f t="shared" si="6"/>
        <v>30</v>
      </c>
      <c r="F108" s="281" t="s">
        <v>528</v>
      </c>
    </row>
    <row r="109" ht="15.0" customHeight="1">
      <c r="A109" s="82" t="s">
        <v>8556</v>
      </c>
      <c r="B109" s="326" t="s">
        <v>52</v>
      </c>
      <c r="C109" s="82" t="s">
        <v>12204</v>
      </c>
      <c r="D109" s="493">
        <v>20.0</v>
      </c>
      <c r="E109" s="92">
        <v>20.0</v>
      </c>
      <c r="F109" s="281" t="s">
        <v>528</v>
      </c>
    </row>
    <row r="110" ht="15.0" customHeight="1">
      <c r="A110" s="82" t="s">
        <v>8558</v>
      </c>
      <c r="B110" s="326" t="s">
        <v>52</v>
      </c>
      <c r="C110" s="82" t="s">
        <v>12135</v>
      </c>
      <c r="D110" s="493">
        <v>30.0</v>
      </c>
      <c r="E110" s="92">
        <v>30.0</v>
      </c>
      <c r="F110" s="281" t="s">
        <v>533</v>
      </c>
    </row>
    <row r="111" ht="15.0" customHeight="1">
      <c r="A111" s="82" t="s">
        <v>8558</v>
      </c>
      <c r="B111" s="326" t="s">
        <v>52</v>
      </c>
      <c r="C111" s="82" t="s">
        <v>12205</v>
      </c>
      <c r="D111" s="493">
        <v>30.0</v>
      </c>
      <c r="E111" s="92">
        <v>30.0</v>
      </c>
      <c r="F111" s="281" t="s">
        <v>533</v>
      </c>
    </row>
    <row r="112" ht="15.0" customHeight="1">
      <c r="A112" s="82" t="s">
        <v>8558</v>
      </c>
      <c r="B112" s="326" t="s">
        <v>52</v>
      </c>
      <c r="C112" s="82" t="s">
        <v>12206</v>
      </c>
      <c r="D112" s="493">
        <v>30.0</v>
      </c>
      <c r="E112" s="92">
        <v>30.0</v>
      </c>
      <c r="F112" s="281" t="s">
        <v>533</v>
      </c>
    </row>
    <row r="113" ht="15.0" customHeight="1">
      <c r="A113" s="82" t="s">
        <v>8558</v>
      </c>
      <c r="B113" s="326" t="s">
        <v>52</v>
      </c>
      <c r="C113" s="82" t="s">
        <v>12207</v>
      </c>
      <c r="D113" s="493">
        <v>30.0</v>
      </c>
      <c r="E113" s="92">
        <f t="shared" ref="E113:E114" si="7">D113</f>
        <v>30</v>
      </c>
      <c r="F113" s="281" t="s">
        <v>533</v>
      </c>
    </row>
    <row r="114" ht="15.0" customHeight="1">
      <c r="A114" s="352" t="s">
        <v>8558</v>
      </c>
      <c r="B114" s="422" t="s">
        <v>52</v>
      </c>
      <c r="C114" s="352" t="s">
        <v>12208</v>
      </c>
      <c r="D114" s="503">
        <v>20.0</v>
      </c>
      <c r="E114" s="419">
        <f t="shared" si="7"/>
        <v>20</v>
      </c>
      <c r="F114" s="423" t="s">
        <v>533</v>
      </c>
    </row>
    <row r="115" ht="15.0" customHeight="1">
      <c r="A115" s="82" t="s">
        <v>8558</v>
      </c>
      <c r="B115" s="82" t="s">
        <v>52</v>
      </c>
      <c r="C115" s="82" t="s">
        <v>12209</v>
      </c>
      <c r="D115" s="82">
        <v>20.0</v>
      </c>
      <c r="E115" s="82">
        <v>20.0</v>
      </c>
      <c r="F115" s="281" t="s">
        <v>533</v>
      </c>
      <c r="G115" s="3"/>
      <c r="H115" s="3"/>
      <c r="I115" s="3"/>
      <c r="J115" s="3"/>
      <c r="K115" s="3"/>
      <c r="L115" s="3"/>
      <c r="M115" s="3"/>
      <c r="N115" s="3"/>
      <c r="O115" s="3"/>
      <c r="P115" s="3"/>
      <c r="Q115" s="3"/>
      <c r="R115" s="3"/>
      <c r="S115" s="3"/>
      <c r="T115" s="3"/>
      <c r="U115" s="3"/>
      <c r="V115" s="3"/>
      <c r="W115" s="3"/>
      <c r="X115" s="3"/>
      <c r="Y115" s="3"/>
      <c r="Z115" s="3"/>
    </row>
    <row r="116" ht="15.0" customHeight="1">
      <c r="A116" s="442" t="s">
        <v>9223</v>
      </c>
      <c r="B116" s="443" t="s">
        <v>52</v>
      </c>
      <c r="C116" s="442" t="s">
        <v>12210</v>
      </c>
      <c r="D116" s="521">
        <v>30.0</v>
      </c>
      <c r="E116" s="440">
        <v>30.0</v>
      </c>
      <c r="F116" s="445" t="s">
        <v>77</v>
      </c>
    </row>
    <row r="117" ht="15.0" customHeight="1">
      <c r="A117" s="82" t="s">
        <v>9223</v>
      </c>
      <c r="B117" s="326" t="s">
        <v>52</v>
      </c>
      <c r="C117" s="82" t="s">
        <v>12211</v>
      </c>
      <c r="D117" s="493">
        <v>40.0</v>
      </c>
      <c r="E117" s="92">
        <v>40.0</v>
      </c>
      <c r="F117" s="281" t="s">
        <v>77</v>
      </c>
    </row>
    <row r="118" ht="15.0" customHeight="1">
      <c r="A118" s="82" t="s">
        <v>9223</v>
      </c>
      <c r="B118" s="326" t="s">
        <v>52</v>
      </c>
      <c r="C118" s="82" t="s">
        <v>12212</v>
      </c>
      <c r="D118" s="493">
        <v>30.0</v>
      </c>
      <c r="E118" s="92">
        <v>30.0</v>
      </c>
      <c r="F118" s="281" t="s">
        <v>77</v>
      </c>
    </row>
    <row r="119" ht="15.0" customHeight="1">
      <c r="A119" s="82" t="s">
        <v>9224</v>
      </c>
      <c r="B119" s="326" t="s">
        <v>52</v>
      </c>
      <c r="C119" s="82" t="s">
        <v>12153</v>
      </c>
      <c r="D119" s="493">
        <v>30.0</v>
      </c>
      <c r="E119" s="92">
        <v>30.0</v>
      </c>
      <c r="F119" s="281" t="s">
        <v>542</v>
      </c>
    </row>
    <row r="120" ht="15.0" customHeight="1">
      <c r="A120" s="82" t="s">
        <v>78</v>
      </c>
      <c r="B120" s="326" t="s">
        <v>52</v>
      </c>
      <c r="C120" s="82" t="s">
        <v>12213</v>
      </c>
      <c r="D120" s="493">
        <v>30.0</v>
      </c>
      <c r="E120" s="92">
        <v>30.0</v>
      </c>
      <c r="F120" s="281" t="s">
        <v>78</v>
      </c>
    </row>
    <row r="121" ht="15.0" customHeight="1">
      <c r="A121" s="82" t="s">
        <v>74</v>
      </c>
      <c r="B121" s="326" t="s">
        <v>52</v>
      </c>
      <c r="C121" s="82" t="s">
        <v>12147</v>
      </c>
      <c r="D121" s="493">
        <v>30.0</v>
      </c>
      <c r="E121" s="92">
        <v>30.0</v>
      </c>
      <c r="F121" s="281" t="s">
        <v>74</v>
      </c>
    </row>
    <row r="122" ht="15.0" customHeight="1">
      <c r="A122" s="82" t="s">
        <v>9226</v>
      </c>
      <c r="B122" s="326" t="s">
        <v>52</v>
      </c>
      <c r="C122" s="82" t="s">
        <v>12159</v>
      </c>
      <c r="D122" s="493">
        <v>30.0</v>
      </c>
      <c r="E122" s="92">
        <v>30.0</v>
      </c>
      <c r="F122" s="281" t="s">
        <v>56</v>
      </c>
    </row>
    <row r="123" ht="15.0" customHeight="1">
      <c r="A123" s="82" t="s">
        <v>89</v>
      </c>
      <c r="B123" s="326" t="s">
        <v>52</v>
      </c>
      <c r="C123" s="82" t="s">
        <v>12214</v>
      </c>
      <c r="D123" s="493">
        <v>30.0</v>
      </c>
      <c r="E123" s="92">
        <v>30.0</v>
      </c>
      <c r="F123" s="281" t="s">
        <v>89</v>
      </c>
    </row>
    <row r="124" ht="15.0" customHeight="1">
      <c r="A124" s="82" t="s">
        <v>65</v>
      </c>
      <c r="B124" s="326" t="s">
        <v>52</v>
      </c>
      <c r="C124" s="82" t="s">
        <v>12215</v>
      </c>
      <c r="D124" s="493">
        <v>30.0</v>
      </c>
      <c r="E124" s="92">
        <v>30.0</v>
      </c>
      <c r="F124" s="281" t="s">
        <v>65</v>
      </c>
    </row>
    <row r="125" ht="15.0" customHeight="1">
      <c r="A125" s="82" t="s">
        <v>65</v>
      </c>
      <c r="B125" s="326" t="s">
        <v>52</v>
      </c>
      <c r="C125" s="82" t="s">
        <v>12146</v>
      </c>
      <c r="D125" s="493">
        <v>30.0</v>
      </c>
      <c r="E125" s="92">
        <v>30.0</v>
      </c>
      <c r="F125" s="281" t="s">
        <v>65</v>
      </c>
    </row>
    <row r="126" ht="15.0" customHeight="1">
      <c r="A126" s="82" t="s">
        <v>65</v>
      </c>
      <c r="B126" s="326" t="s">
        <v>52</v>
      </c>
      <c r="C126" s="82" t="s">
        <v>12216</v>
      </c>
      <c r="D126" s="493">
        <v>20.0</v>
      </c>
      <c r="E126" s="92">
        <v>20.0</v>
      </c>
      <c r="F126" s="281" t="s">
        <v>65</v>
      </c>
    </row>
    <row r="127" ht="15.0" customHeight="1">
      <c r="A127" s="82" t="s">
        <v>12217</v>
      </c>
      <c r="B127" s="326" t="s">
        <v>182</v>
      </c>
      <c r="C127" s="379" t="s">
        <v>12218</v>
      </c>
      <c r="D127" s="493">
        <v>40.0</v>
      </c>
      <c r="E127" s="92">
        <v>40.0</v>
      </c>
      <c r="F127" s="281" t="s">
        <v>5258</v>
      </c>
    </row>
    <row r="128" ht="15.0" customHeight="1">
      <c r="A128" s="82" t="s">
        <v>566</v>
      </c>
      <c r="B128" s="326" t="s">
        <v>182</v>
      </c>
      <c r="C128" s="82" t="s">
        <v>12219</v>
      </c>
      <c r="D128" s="493">
        <v>60.0</v>
      </c>
      <c r="E128" s="92">
        <v>60.0</v>
      </c>
      <c r="F128" s="281" t="s">
        <v>566</v>
      </c>
    </row>
    <row r="129" ht="15.0" customHeight="1">
      <c r="A129" s="82" t="s">
        <v>566</v>
      </c>
      <c r="B129" s="326" t="s">
        <v>182</v>
      </c>
      <c r="C129" s="82" t="s">
        <v>12220</v>
      </c>
      <c r="D129" s="493">
        <v>60.0</v>
      </c>
      <c r="E129" s="92">
        <v>60.0</v>
      </c>
      <c r="F129" s="281" t="s">
        <v>566</v>
      </c>
    </row>
    <row r="130" ht="15.0" customHeight="1">
      <c r="A130" s="82" t="s">
        <v>566</v>
      </c>
      <c r="B130" s="326" t="s">
        <v>182</v>
      </c>
      <c r="C130" s="82" t="s">
        <v>12221</v>
      </c>
      <c r="D130" s="493">
        <v>30.0</v>
      </c>
      <c r="E130" s="92">
        <v>30.0</v>
      </c>
      <c r="F130" s="281" t="s">
        <v>566</v>
      </c>
    </row>
    <row r="131" ht="15.0" customHeight="1">
      <c r="A131" s="82" t="s">
        <v>566</v>
      </c>
      <c r="B131" s="326" t="s">
        <v>182</v>
      </c>
      <c r="C131" s="82" t="s">
        <v>12222</v>
      </c>
      <c r="D131" s="493">
        <v>30.0</v>
      </c>
      <c r="E131" s="92">
        <v>30.0</v>
      </c>
      <c r="F131" s="281" t="s">
        <v>566</v>
      </c>
    </row>
    <row r="132" ht="15.0" customHeight="1">
      <c r="A132" s="82" t="s">
        <v>566</v>
      </c>
      <c r="B132" s="326" t="s">
        <v>182</v>
      </c>
      <c r="C132" s="82" t="s">
        <v>12223</v>
      </c>
      <c r="D132" s="493">
        <v>30.0</v>
      </c>
      <c r="E132" s="92">
        <v>30.0</v>
      </c>
      <c r="F132" s="281" t="s">
        <v>566</v>
      </c>
    </row>
    <row r="133" ht="15.0" customHeight="1">
      <c r="A133" s="82" t="s">
        <v>566</v>
      </c>
      <c r="B133" s="326" t="s">
        <v>182</v>
      </c>
      <c r="C133" s="82" t="s">
        <v>12224</v>
      </c>
      <c r="D133" s="493">
        <v>30.0</v>
      </c>
      <c r="E133" s="92">
        <v>30.0</v>
      </c>
      <c r="F133" s="281" t="s">
        <v>566</v>
      </c>
    </row>
    <row r="134" ht="15.0" customHeight="1">
      <c r="A134" s="82" t="s">
        <v>2704</v>
      </c>
      <c r="B134" s="326" t="s">
        <v>94</v>
      </c>
      <c r="C134" s="82" t="s">
        <v>12225</v>
      </c>
      <c r="D134" s="493">
        <v>60.0</v>
      </c>
      <c r="E134" s="92">
        <f t="shared" ref="E134:E142" si="8">D134</f>
        <v>60</v>
      </c>
      <c r="F134" s="281" t="s">
        <v>2704</v>
      </c>
    </row>
    <row r="135" ht="15.0" customHeight="1">
      <c r="A135" s="82" t="s">
        <v>2704</v>
      </c>
      <c r="B135" s="326" t="s">
        <v>94</v>
      </c>
      <c r="C135" s="82" t="s">
        <v>12226</v>
      </c>
      <c r="D135" s="493">
        <v>30.0</v>
      </c>
      <c r="E135" s="92">
        <f t="shared" si="8"/>
        <v>30</v>
      </c>
      <c r="F135" s="281" t="s">
        <v>2704</v>
      </c>
    </row>
    <row r="136" ht="15.0" customHeight="1">
      <c r="A136" s="82" t="s">
        <v>2704</v>
      </c>
      <c r="B136" s="326" t="s">
        <v>94</v>
      </c>
      <c r="C136" s="82" t="s">
        <v>12227</v>
      </c>
      <c r="D136" s="493">
        <v>30.0</v>
      </c>
      <c r="E136" s="92">
        <f t="shared" si="8"/>
        <v>30</v>
      </c>
      <c r="F136" s="281" t="s">
        <v>2704</v>
      </c>
    </row>
    <row r="137" ht="15.0" customHeight="1">
      <c r="A137" s="82" t="s">
        <v>2704</v>
      </c>
      <c r="B137" s="326" t="s">
        <v>94</v>
      </c>
      <c r="C137" s="82" t="s">
        <v>12228</v>
      </c>
      <c r="D137" s="493">
        <v>30.0</v>
      </c>
      <c r="E137" s="92">
        <f t="shared" si="8"/>
        <v>30</v>
      </c>
      <c r="F137" s="281" t="s">
        <v>2704</v>
      </c>
    </row>
    <row r="138" ht="15.0" customHeight="1">
      <c r="A138" s="82" t="s">
        <v>2704</v>
      </c>
      <c r="B138" s="326" t="s">
        <v>94</v>
      </c>
      <c r="C138" s="82" t="s">
        <v>12229</v>
      </c>
      <c r="D138" s="493">
        <v>30.0</v>
      </c>
      <c r="E138" s="92">
        <f t="shared" si="8"/>
        <v>30</v>
      </c>
      <c r="F138" s="281" t="s">
        <v>2704</v>
      </c>
    </row>
    <row r="139" ht="15.0" customHeight="1">
      <c r="A139" s="82" t="s">
        <v>2704</v>
      </c>
      <c r="B139" s="326" t="s">
        <v>94</v>
      </c>
      <c r="C139" s="82" t="s">
        <v>12230</v>
      </c>
      <c r="D139" s="493">
        <v>40.0</v>
      </c>
      <c r="E139" s="92">
        <f t="shared" si="8"/>
        <v>40</v>
      </c>
      <c r="F139" s="281" t="s">
        <v>2704</v>
      </c>
    </row>
    <row r="140" ht="15.0" customHeight="1">
      <c r="A140" s="82" t="s">
        <v>2704</v>
      </c>
      <c r="B140" s="326" t="s">
        <v>94</v>
      </c>
      <c r="C140" s="82" t="s">
        <v>12231</v>
      </c>
      <c r="D140" s="493">
        <v>40.0</v>
      </c>
      <c r="E140" s="92">
        <f t="shared" si="8"/>
        <v>40</v>
      </c>
      <c r="F140" s="281" t="s">
        <v>2704</v>
      </c>
    </row>
    <row r="141" ht="15.0" customHeight="1">
      <c r="A141" s="82" t="s">
        <v>2704</v>
      </c>
      <c r="B141" s="326" t="s">
        <v>94</v>
      </c>
      <c r="C141" s="82" t="s">
        <v>12147</v>
      </c>
      <c r="D141" s="493">
        <v>30.0</v>
      </c>
      <c r="E141" s="92">
        <f t="shared" si="8"/>
        <v>30</v>
      </c>
      <c r="F141" s="281" t="s">
        <v>2704</v>
      </c>
    </row>
    <row r="142" ht="15.0" customHeight="1">
      <c r="A142" s="82" t="s">
        <v>2704</v>
      </c>
      <c r="B142" s="326" t="s">
        <v>94</v>
      </c>
      <c r="C142" s="82" t="s">
        <v>12232</v>
      </c>
      <c r="D142" s="493">
        <v>30.0</v>
      </c>
      <c r="E142" s="92">
        <f t="shared" si="8"/>
        <v>30</v>
      </c>
      <c r="F142" s="281" t="s">
        <v>2704</v>
      </c>
    </row>
    <row r="143" ht="15.0" customHeight="1">
      <c r="A143" s="82" t="s">
        <v>2704</v>
      </c>
      <c r="B143" s="326" t="s">
        <v>94</v>
      </c>
      <c r="C143" s="82" t="s">
        <v>12233</v>
      </c>
      <c r="D143" s="493">
        <v>30.0</v>
      </c>
      <c r="E143" s="92">
        <v>30.0</v>
      </c>
      <c r="F143" s="281" t="s">
        <v>2704</v>
      </c>
    </row>
    <row r="144" ht="15.0" customHeight="1">
      <c r="A144" s="82" t="s">
        <v>7901</v>
      </c>
      <c r="B144" s="326" t="s">
        <v>94</v>
      </c>
      <c r="C144" s="82" t="s">
        <v>12234</v>
      </c>
      <c r="D144" s="493">
        <v>60.0</v>
      </c>
      <c r="E144" s="92">
        <v>60.0</v>
      </c>
      <c r="F144" s="281" t="s">
        <v>590</v>
      </c>
    </row>
    <row r="145" ht="15.0" customHeight="1">
      <c r="A145" s="82" t="s">
        <v>7901</v>
      </c>
      <c r="B145" s="326" t="s">
        <v>94</v>
      </c>
      <c r="C145" s="82" t="s">
        <v>12189</v>
      </c>
      <c r="D145" s="493">
        <v>80.0</v>
      </c>
      <c r="E145" s="92">
        <v>80.0</v>
      </c>
      <c r="F145" s="281" t="s">
        <v>590</v>
      </c>
    </row>
    <row r="146" ht="15.0" customHeight="1">
      <c r="A146" s="82" t="s">
        <v>8608</v>
      </c>
      <c r="B146" s="326" t="s">
        <v>94</v>
      </c>
      <c r="C146" s="82" t="s">
        <v>12235</v>
      </c>
      <c r="D146" s="493">
        <v>40.0</v>
      </c>
      <c r="E146" s="92">
        <v>40.0</v>
      </c>
      <c r="F146" s="281" t="s">
        <v>616</v>
      </c>
    </row>
    <row r="147" ht="15.0" customHeight="1">
      <c r="A147" s="82" t="s">
        <v>2853</v>
      </c>
      <c r="B147" s="326" t="s">
        <v>94</v>
      </c>
      <c r="C147" s="82" t="s">
        <v>12236</v>
      </c>
      <c r="D147" s="493">
        <v>20.0</v>
      </c>
      <c r="E147" s="92">
        <v>20.0</v>
      </c>
      <c r="F147" s="281" t="s">
        <v>2853</v>
      </c>
    </row>
    <row r="148" ht="15.0" customHeight="1">
      <c r="A148" s="82" t="s">
        <v>2853</v>
      </c>
      <c r="B148" s="326" t="s">
        <v>94</v>
      </c>
      <c r="C148" s="82" t="s">
        <v>12237</v>
      </c>
      <c r="D148" s="493">
        <v>20.0</v>
      </c>
      <c r="E148" s="92">
        <v>20.0</v>
      </c>
      <c r="F148" s="281" t="s">
        <v>2853</v>
      </c>
    </row>
    <row r="149" ht="15.0" customHeight="1">
      <c r="A149" s="82" t="s">
        <v>2853</v>
      </c>
      <c r="B149" s="326" t="s">
        <v>94</v>
      </c>
      <c r="C149" s="82" t="s">
        <v>12238</v>
      </c>
      <c r="D149" s="493">
        <v>30.0</v>
      </c>
      <c r="E149" s="92">
        <v>30.0</v>
      </c>
      <c r="F149" s="281" t="s">
        <v>2853</v>
      </c>
    </row>
    <row r="150" ht="15.0" customHeight="1">
      <c r="A150" s="82" t="s">
        <v>2853</v>
      </c>
      <c r="B150" s="326" t="s">
        <v>94</v>
      </c>
      <c r="C150" s="82" t="s">
        <v>12239</v>
      </c>
      <c r="D150" s="493">
        <v>30.0</v>
      </c>
      <c r="E150" s="92">
        <v>30.0</v>
      </c>
      <c r="F150" s="281" t="s">
        <v>2853</v>
      </c>
    </row>
    <row r="151" ht="15.0" customHeight="1">
      <c r="A151" s="82" t="s">
        <v>2853</v>
      </c>
      <c r="B151" s="326" t="s">
        <v>94</v>
      </c>
      <c r="C151" s="82" t="s">
        <v>12240</v>
      </c>
      <c r="D151" s="493">
        <v>40.0</v>
      </c>
      <c r="E151" s="92">
        <v>40.0</v>
      </c>
      <c r="F151" s="281" t="s">
        <v>2853</v>
      </c>
    </row>
    <row r="152" ht="15.0" customHeight="1">
      <c r="A152" s="82" t="s">
        <v>2853</v>
      </c>
      <c r="B152" s="326" t="s">
        <v>94</v>
      </c>
      <c r="C152" s="82" t="s">
        <v>12241</v>
      </c>
      <c r="D152" s="493">
        <v>60.0</v>
      </c>
      <c r="E152" s="92">
        <v>60.0</v>
      </c>
      <c r="F152" s="281" t="s">
        <v>2853</v>
      </c>
    </row>
    <row r="153" ht="15.0" customHeight="1">
      <c r="A153" s="82" t="s">
        <v>2853</v>
      </c>
      <c r="B153" s="326" t="s">
        <v>94</v>
      </c>
      <c r="C153" s="82" t="s">
        <v>12126</v>
      </c>
      <c r="D153" s="493">
        <v>60.0</v>
      </c>
      <c r="E153" s="92">
        <v>60.0</v>
      </c>
      <c r="F153" s="281" t="s">
        <v>2853</v>
      </c>
    </row>
    <row r="154" ht="15.0" customHeight="1">
      <c r="A154" s="82" t="s">
        <v>626</v>
      </c>
      <c r="B154" s="326" t="s">
        <v>94</v>
      </c>
      <c r="C154" s="82" t="s">
        <v>12242</v>
      </c>
      <c r="D154" s="493">
        <v>30.0</v>
      </c>
      <c r="E154" s="92">
        <v>30.0</v>
      </c>
      <c r="F154" s="281" t="s">
        <v>626</v>
      </c>
    </row>
    <row r="155" ht="15.0" customHeight="1">
      <c r="A155" s="82" t="s">
        <v>9011</v>
      </c>
      <c r="B155" s="326" t="s">
        <v>94</v>
      </c>
      <c r="C155" s="82" t="s">
        <v>12243</v>
      </c>
      <c r="D155" s="493">
        <v>30.0</v>
      </c>
      <c r="E155" s="92">
        <f>D155</f>
        <v>30</v>
      </c>
      <c r="F155" s="281" t="s">
        <v>646</v>
      </c>
    </row>
    <row r="156" ht="15.0" customHeight="1">
      <c r="A156" s="82" t="s">
        <v>9011</v>
      </c>
      <c r="B156" s="326" t="s">
        <v>94</v>
      </c>
      <c r="C156" s="82" t="s">
        <v>12244</v>
      </c>
      <c r="D156" s="493">
        <v>60.0</v>
      </c>
      <c r="E156" s="92">
        <v>60.0</v>
      </c>
      <c r="F156" s="281" t="s">
        <v>646</v>
      </c>
    </row>
    <row r="157" ht="15.0" customHeight="1">
      <c r="A157" s="82" t="s">
        <v>9011</v>
      </c>
      <c r="B157" s="326" t="s">
        <v>94</v>
      </c>
      <c r="C157" s="82" t="s">
        <v>12245</v>
      </c>
      <c r="D157" s="493">
        <v>60.0</v>
      </c>
      <c r="E157" s="92">
        <v>60.0</v>
      </c>
      <c r="F157" s="281" t="s">
        <v>646</v>
      </c>
    </row>
    <row r="158" ht="15.0" customHeight="1">
      <c r="A158" s="82" t="s">
        <v>9011</v>
      </c>
      <c r="B158" s="326" t="s">
        <v>94</v>
      </c>
      <c r="C158" s="82" t="s">
        <v>12246</v>
      </c>
      <c r="D158" s="493">
        <v>20.0</v>
      </c>
      <c r="E158" s="92">
        <v>20.0</v>
      </c>
      <c r="F158" s="281" t="s">
        <v>646</v>
      </c>
    </row>
    <row r="159" ht="15.0" customHeight="1">
      <c r="A159" s="82" t="s">
        <v>9011</v>
      </c>
      <c r="B159" s="326" t="s">
        <v>94</v>
      </c>
      <c r="C159" s="82" t="s">
        <v>12247</v>
      </c>
      <c r="D159" s="493">
        <v>20.0</v>
      </c>
      <c r="E159" s="92">
        <v>20.0</v>
      </c>
      <c r="F159" s="281" t="s">
        <v>646</v>
      </c>
    </row>
    <row r="160" ht="15.0" customHeight="1">
      <c r="A160" s="82" t="s">
        <v>9011</v>
      </c>
      <c r="B160" s="326" t="s">
        <v>94</v>
      </c>
      <c r="C160" s="82" t="s">
        <v>12248</v>
      </c>
      <c r="D160" s="493">
        <v>20.0</v>
      </c>
      <c r="E160" s="92">
        <v>20.0</v>
      </c>
      <c r="F160" s="281" t="s">
        <v>646</v>
      </c>
    </row>
    <row r="161" ht="15.0" customHeight="1">
      <c r="A161" s="82" t="s">
        <v>9011</v>
      </c>
      <c r="B161" s="326" t="s">
        <v>94</v>
      </c>
      <c r="C161" s="82" t="s">
        <v>12249</v>
      </c>
      <c r="D161" s="493">
        <v>30.0</v>
      </c>
      <c r="E161" s="92">
        <f>D161</f>
        <v>30</v>
      </c>
      <c r="F161" s="281" t="s">
        <v>646</v>
      </c>
    </row>
    <row r="162" ht="15.0" customHeight="1">
      <c r="A162" s="82" t="s">
        <v>655</v>
      </c>
      <c r="B162" s="326" t="s">
        <v>94</v>
      </c>
      <c r="C162" s="82" t="s">
        <v>12250</v>
      </c>
      <c r="D162" s="493">
        <v>20.0</v>
      </c>
      <c r="E162" s="92">
        <v>20.0</v>
      </c>
      <c r="F162" s="281" t="s">
        <v>655</v>
      </c>
    </row>
    <row r="163" ht="15.75" customHeight="1">
      <c r="A163" s="148" t="s">
        <v>3050</v>
      </c>
      <c r="B163" s="406" t="s">
        <v>94</v>
      </c>
      <c r="C163" s="148" t="s">
        <v>12251</v>
      </c>
      <c r="D163" s="530">
        <v>20.0</v>
      </c>
      <c r="E163" s="162">
        <v>20.0</v>
      </c>
      <c r="F163" s="281" t="s">
        <v>3050</v>
      </c>
    </row>
    <row r="164" ht="15.0" customHeight="1">
      <c r="A164" s="148" t="s">
        <v>3050</v>
      </c>
      <c r="B164" s="406" t="s">
        <v>94</v>
      </c>
      <c r="C164" s="148" t="s">
        <v>12252</v>
      </c>
      <c r="D164" s="530">
        <v>30.0</v>
      </c>
      <c r="E164" s="162">
        <v>30.0</v>
      </c>
      <c r="F164" s="281" t="s">
        <v>3050</v>
      </c>
    </row>
    <row r="165" ht="15.0" customHeight="1">
      <c r="A165" s="148" t="s">
        <v>3050</v>
      </c>
      <c r="B165" s="406" t="s">
        <v>94</v>
      </c>
      <c r="C165" s="148" t="s">
        <v>12253</v>
      </c>
      <c r="D165" s="530">
        <v>30.0</v>
      </c>
      <c r="E165" s="162">
        <v>30.0</v>
      </c>
      <c r="F165" s="281" t="s">
        <v>3050</v>
      </c>
    </row>
    <row r="166" ht="15.75" customHeight="1">
      <c r="A166" s="148" t="s">
        <v>3050</v>
      </c>
      <c r="B166" s="406" t="s">
        <v>94</v>
      </c>
      <c r="C166" s="148" t="s">
        <v>12254</v>
      </c>
      <c r="D166" s="549">
        <v>20.0</v>
      </c>
      <c r="E166" s="162">
        <v>20.0</v>
      </c>
      <c r="F166" s="281" t="s">
        <v>3050</v>
      </c>
    </row>
    <row r="167" ht="15.75" customHeight="1">
      <c r="A167" s="148" t="s">
        <v>3050</v>
      </c>
      <c r="B167" s="406" t="s">
        <v>94</v>
      </c>
      <c r="C167" s="148" t="s">
        <v>12255</v>
      </c>
      <c r="D167" s="530">
        <v>20.0</v>
      </c>
      <c r="E167" s="162">
        <v>20.0</v>
      </c>
      <c r="F167" s="281" t="s">
        <v>3050</v>
      </c>
    </row>
    <row r="168" ht="15.75" customHeight="1">
      <c r="A168" s="148" t="s">
        <v>3050</v>
      </c>
      <c r="B168" s="406" t="s">
        <v>94</v>
      </c>
      <c r="C168" s="148" t="s">
        <v>12256</v>
      </c>
      <c r="D168" s="530">
        <v>20.0</v>
      </c>
      <c r="E168" s="162">
        <v>20.0</v>
      </c>
      <c r="F168" s="281" t="s">
        <v>3050</v>
      </c>
    </row>
    <row r="169" ht="15.75" customHeight="1">
      <c r="A169" s="148" t="s">
        <v>3050</v>
      </c>
      <c r="B169" s="406" t="s">
        <v>94</v>
      </c>
      <c r="C169" s="148" t="s">
        <v>12257</v>
      </c>
      <c r="D169" s="530">
        <v>20.0</v>
      </c>
      <c r="E169" s="162">
        <v>20.0</v>
      </c>
      <c r="F169" s="281" t="s">
        <v>3050</v>
      </c>
    </row>
    <row r="170" ht="15.75" customHeight="1">
      <c r="A170" s="148" t="s">
        <v>3050</v>
      </c>
      <c r="B170" s="406" t="s">
        <v>94</v>
      </c>
      <c r="C170" s="148" t="s">
        <v>12258</v>
      </c>
      <c r="D170" s="530">
        <v>20.0</v>
      </c>
      <c r="E170" s="162">
        <v>20.0</v>
      </c>
      <c r="F170" s="281" t="s">
        <v>3050</v>
      </c>
    </row>
    <row r="171" ht="15.0" customHeight="1">
      <c r="A171" s="82" t="s">
        <v>7972</v>
      </c>
      <c r="B171" s="326" t="s">
        <v>94</v>
      </c>
      <c r="C171" s="82" t="s">
        <v>12259</v>
      </c>
      <c r="D171" s="493">
        <v>60.0</v>
      </c>
      <c r="E171" s="92">
        <v>60.0</v>
      </c>
      <c r="F171" s="281" t="s">
        <v>5354</v>
      </c>
    </row>
    <row r="172" ht="15.0" customHeight="1">
      <c r="A172" s="82" t="s">
        <v>7972</v>
      </c>
      <c r="B172" s="326" t="s">
        <v>94</v>
      </c>
      <c r="C172" s="82" t="s">
        <v>12260</v>
      </c>
      <c r="D172" s="493">
        <v>30.0</v>
      </c>
      <c r="E172" s="92">
        <v>30.0</v>
      </c>
      <c r="F172" s="281" t="s">
        <v>5354</v>
      </c>
    </row>
    <row r="173" ht="15.0" customHeight="1">
      <c r="A173" s="82" t="s">
        <v>8639</v>
      </c>
      <c r="B173" s="326" t="s">
        <v>94</v>
      </c>
      <c r="C173" s="82" t="s">
        <v>12261</v>
      </c>
      <c r="D173" s="493">
        <v>40.0</v>
      </c>
      <c r="E173" s="92">
        <f>D173</f>
        <v>40</v>
      </c>
      <c r="F173" s="281" t="s">
        <v>3078</v>
      </c>
    </row>
    <row r="174" ht="15.0" customHeight="1">
      <c r="A174" s="82" t="s">
        <v>3203</v>
      </c>
      <c r="B174" s="326" t="s">
        <v>182</v>
      </c>
      <c r="C174" s="82" t="s">
        <v>12262</v>
      </c>
      <c r="D174" s="493">
        <v>20.0</v>
      </c>
      <c r="E174" s="92">
        <v>20.0</v>
      </c>
      <c r="F174" s="281" t="s">
        <v>3203</v>
      </c>
    </row>
    <row r="175" ht="15.0" customHeight="1">
      <c r="A175" s="82" t="s">
        <v>3249</v>
      </c>
      <c r="B175" s="326" t="s">
        <v>94</v>
      </c>
      <c r="C175" s="82" t="s">
        <v>12263</v>
      </c>
      <c r="D175" s="493">
        <v>60.0</v>
      </c>
      <c r="E175" s="92">
        <v>60.0</v>
      </c>
      <c r="F175" s="281" t="s">
        <v>3249</v>
      </c>
    </row>
    <row r="176" ht="15.0" customHeight="1">
      <c r="A176" s="82" t="s">
        <v>3249</v>
      </c>
      <c r="B176" s="326" t="s">
        <v>94</v>
      </c>
      <c r="C176" s="82" t="s">
        <v>12189</v>
      </c>
      <c r="D176" s="493">
        <v>80.0</v>
      </c>
      <c r="E176" s="92">
        <v>80.0</v>
      </c>
      <c r="F176" s="281" t="s">
        <v>3249</v>
      </c>
    </row>
    <row r="177" ht="15.0" customHeight="1">
      <c r="A177" s="82" t="s">
        <v>852</v>
      </c>
      <c r="B177" s="326" t="s">
        <v>94</v>
      </c>
      <c r="C177" s="82" t="s">
        <v>12264</v>
      </c>
      <c r="D177" s="493">
        <v>80.0</v>
      </c>
      <c r="E177" s="92">
        <f>D177</f>
        <v>80</v>
      </c>
      <c r="F177" s="281" t="s">
        <v>852</v>
      </c>
    </row>
    <row r="178" ht="15.0" customHeight="1">
      <c r="A178" s="82" t="s">
        <v>852</v>
      </c>
      <c r="B178" s="326" t="s">
        <v>94</v>
      </c>
      <c r="C178" s="82" t="s">
        <v>12265</v>
      </c>
      <c r="D178" s="493">
        <v>20.0</v>
      </c>
      <c r="E178" s="92">
        <f>2*20</f>
        <v>40</v>
      </c>
      <c r="F178" s="281" t="s">
        <v>852</v>
      </c>
    </row>
    <row r="179" ht="15.0" customHeight="1">
      <c r="A179" s="82" t="s">
        <v>8069</v>
      </c>
      <c r="B179" s="550" t="s">
        <v>94</v>
      </c>
      <c r="C179" s="288" t="s">
        <v>12266</v>
      </c>
      <c r="D179" s="493">
        <v>40.0</v>
      </c>
      <c r="E179" s="92">
        <v>40.0</v>
      </c>
      <c r="F179" s="281" t="s">
        <v>907</v>
      </c>
    </row>
    <row r="180" ht="15.0" customHeight="1">
      <c r="A180" s="82" t="s">
        <v>8069</v>
      </c>
      <c r="B180" s="550" t="s">
        <v>94</v>
      </c>
      <c r="C180" s="82" t="s">
        <v>12267</v>
      </c>
      <c r="D180" s="493">
        <v>40.0</v>
      </c>
      <c r="E180" s="92">
        <v>40.0</v>
      </c>
      <c r="F180" s="281" t="s">
        <v>907</v>
      </c>
    </row>
    <row r="181" ht="15.0" customHeight="1">
      <c r="A181" s="82" t="s">
        <v>8069</v>
      </c>
      <c r="B181" s="550" t="s">
        <v>94</v>
      </c>
      <c r="C181" s="82" t="s">
        <v>12268</v>
      </c>
      <c r="D181" s="493">
        <v>40.0</v>
      </c>
      <c r="E181" s="92">
        <v>40.0</v>
      </c>
      <c r="F181" s="281" t="s">
        <v>907</v>
      </c>
    </row>
    <row r="182" ht="15.0" customHeight="1">
      <c r="A182" s="82" t="s">
        <v>9280</v>
      </c>
      <c r="B182" s="326" t="s">
        <v>94</v>
      </c>
      <c r="C182" s="82" t="s">
        <v>12147</v>
      </c>
      <c r="D182" s="493">
        <v>30.0</v>
      </c>
      <c r="E182" s="92">
        <v>30.0</v>
      </c>
      <c r="F182" s="281" t="s">
        <v>9280</v>
      </c>
    </row>
    <row r="183" ht="15.0" customHeight="1">
      <c r="A183" s="148" t="s">
        <v>4024</v>
      </c>
      <c r="B183" s="406" t="s">
        <v>94</v>
      </c>
      <c r="C183" s="148" t="s">
        <v>12269</v>
      </c>
      <c r="D183" s="530">
        <v>40.0</v>
      </c>
      <c r="E183" s="162">
        <v>40.0</v>
      </c>
      <c r="F183" s="281" t="s">
        <v>4024</v>
      </c>
    </row>
    <row r="184" ht="15.0" customHeight="1">
      <c r="A184" s="148" t="s">
        <v>4024</v>
      </c>
      <c r="B184" s="406" t="s">
        <v>94</v>
      </c>
      <c r="C184" s="148" t="s">
        <v>12270</v>
      </c>
      <c r="D184" s="530">
        <v>60.0</v>
      </c>
      <c r="E184" s="162">
        <v>60.0</v>
      </c>
      <c r="F184" s="281" t="s">
        <v>4024</v>
      </c>
    </row>
    <row r="185" ht="15.0" customHeight="1">
      <c r="A185" s="148" t="s">
        <v>4024</v>
      </c>
      <c r="B185" s="406" t="s">
        <v>94</v>
      </c>
      <c r="C185" s="148" t="s">
        <v>12271</v>
      </c>
      <c r="D185" s="530">
        <v>60.0</v>
      </c>
      <c r="E185" s="162">
        <v>60.0</v>
      </c>
      <c r="F185" s="281" t="s">
        <v>4024</v>
      </c>
    </row>
    <row r="186" ht="15.75" customHeight="1">
      <c r="A186" s="148" t="s">
        <v>4024</v>
      </c>
      <c r="B186" s="406" t="s">
        <v>94</v>
      </c>
      <c r="C186" s="148" t="s">
        <v>12272</v>
      </c>
      <c r="D186" s="530">
        <v>20.0</v>
      </c>
      <c r="E186" s="162">
        <v>20.0</v>
      </c>
      <c r="F186" s="281" t="s">
        <v>4024</v>
      </c>
    </row>
    <row r="187" ht="15.75" customHeight="1">
      <c r="A187" s="148" t="s">
        <v>4024</v>
      </c>
      <c r="B187" s="406" t="s">
        <v>94</v>
      </c>
      <c r="C187" s="148" t="s">
        <v>12273</v>
      </c>
      <c r="D187" s="530">
        <v>20.0</v>
      </c>
      <c r="E187" s="162">
        <v>20.0</v>
      </c>
      <c r="F187" s="281" t="s">
        <v>4024</v>
      </c>
    </row>
    <row r="188" ht="15.75" customHeight="1">
      <c r="A188" s="148" t="s">
        <v>4024</v>
      </c>
      <c r="B188" s="406" t="s">
        <v>94</v>
      </c>
      <c r="C188" s="148" t="s">
        <v>12274</v>
      </c>
      <c r="D188" s="530">
        <v>20.0</v>
      </c>
      <c r="E188" s="162">
        <v>20.0</v>
      </c>
      <c r="F188" s="281" t="s">
        <v>4024</v>
      </c>
    </row>
    <row r="189" ht="15.75" customHeight="1">
      <c r="A189" s="148" t="s">
        <v>4024</v>
      </c>
      <c r="B189" s="406" t="s">
        <v>94</v>
      </c>
      <c r="C189" s="148" t="s">
        <v>12275</v>
      </c>
      <c r="D189" s="530">
        <v>20.0</v>
      </c>
      <c r="E189" s="162">
        <v>20.0</v>
      </c>
      <c r="F189" s="281" t="s">
        <v>4024</v>
      </c>
    </row>
    <row r="190" ht="15.75" customHeight="1">
      <c r="A190" s="148" t="s">
        <v>4024</v>
      </c>
      <c r="B190" s="406" t="s">
        <v>94</v>
      </c>
      <c r="C190" s="148" t="s">
        <v>12276</v>
      </c>
      <c r="D190" s="530" t="s">
        <v>8520</v>
      </c>
      <c r="E190" s="162">
        <v>40.0</v>
      </c>
      <c r="F190" s="281" t="s">
        <v>4024</v>
      </c>
    </row>
    <row r="191" ht="15.75" customHeight="1">
      <c r="A191" s="148" t="s">
        <v>4024</v>
      </c>
      <c r="B191" s="406" t="s">
        <v>94</v>
      </c>
      <c r="C191" s="148" t="s">
        <v>12277</v>
      </c>
      <c r="D191" s="530">
        <v>20.0</v>
      </c>
      <c r="E191" s="162">
        <v>20.0</v>
      </c>
      <c r="F191" s="281" t="s">
        <v>4024</v>
      </c>
    </row>
    <row r="192" ht="15.75" customHeight="1">
      <c r="A192" s="148" t="s">
        <v>4024</v>
      </c>
      <c r="B192" s="406" t="s">
        <v>94</v>
      </c>
      <c r="C192" s="148" t="s">
        <v>12278</v>
      </c>
      <c r="D192" s="530" t="s">
        <v>12279</v>
      </c>
      <c r="E192" s="162">
        <v>40.0</v>
      </c>
      <c r="F192" s="281" t="s">
        <v>4024</v>
      </c>
    </row>
    <row r="193" ht="15.0" customHeight="1">
      <c r="A193" s="82" t="s">
        <v>4076</v>
      </c>
      <c r="B193" s="326" t="s">
        <v>94</v>
      </c>
      <c r="C193" s="82" t="s">
        <v>12280</v>
      </c>
      <c r="D193" s="493"/>
      <c r="E193" s="92">
        <v>30.0</v>
      </c>
      <c r="F193" s="281" t="s">
        <v>4076</v>
      </c>
    </row>
    <row r="194" ht="15.0" customHeight="1">
      <c r="A194" s="82" t="s">
        <v>9284</v>
      </c>
      <c r="B194" s="326" t="s">
        <v>957</v>
      </c>
      <c r="C194" s="82" t="s">
        <v>12281</v>
      </c>
      <c r="D194" s="493">
        <v>30.0</v>
      </c>
      <c r="E194" s="92">
        <v>30.0</v>
      </c>
      <c r="F194" s="281" t="s">
        <v>964</v>
      </c>
    </row>
    <row r="195" ht="15.0" customHeight="1">
      <c r="A195" s="82" t="s">
        <v>971</v>
      </c>
      <c r="B195" s="326" t="s">
        <v>182</v>
      </c>
      <c r="C195" s="82" t="s">
        <v>12131</v>
      </c>
      <c r="D195" s="493">
        <v>20.0</v>
      </c>
      <c r="E195" s="92">
        <v>20.0</v>
      </c>
      <c r="F195" s="281" t="s">
        <v>971</v>
      </c>
    </row>
    <row r="196" ht="15.0" customHeight="1">
      <c r="A196" s="82" t="s">
        <v>971</v>
      </c>
      <c r="B196" s="326" t="s">
        <v>182</v>
      </c>
      <c r="C196" s="82" t="s">
        <v>12282</v>
      </c>
      <c r="D196" s="493">
        <v>20.0</v>
      </c>
      <c r="E196" s="92">
        <v>20.0</v>
      </c>
      <c r="F196" s="281" t="s">
        <v>971</v>
      </c>
    </row>
    <row r="197" ht="15.0" customHeight="1">
      <c r="A197" s="82" t="s">
        <v>971</v>
      </c>
      <c r="B197" s="326" t="s">
        <v>182</v>
      </c>
      <c r="C197" s="82" t="s">
        <v>12283</v>
      </c>
      <c r="D197" s="493">
        <v>20.0</v>
      </c>
      <c r="E197" s="92">
        <v>20.0</v>
      </c>
      <c r="F197" s="281" t="s">
        <v>971</v>
      </c>
    </row>
    <row r="198" ht="15.0" customHeight="1">
      <c r="A198" s="288" t="s">
        <v>8241</v>
      </c>
      <c r="B198" s="551" t="s">
        <v>94</v>
      </c>
      <c r="C198" s="473" t="s">
        <v>12268</v>
      </c>
      <c r="D198" s="493">
        <v>30.0</v>
      </c>
      <c r="E198" s="92">
        <v>30.0</v>
      </c>
      <c r="F198" s="281" t="s">
        <v>1047</v>
      </c>
    </row>
    <row r="199" ht="15.0" customHeight="1">
      <c r="A199" s="288" t="s">
        <v>8241</v>
      </c>
      <c r="B199" s="552"/>
      <c r="C199" s="553"/>
      <c r="D199" s="554"/>
      <c r="E199" s="555"/>
      <c r="F199" s="281" t="s">
        <v>1047</v>
      </c>
    </row>
    <row r="200" ht="15.0" customHeight="1">
      <c r="A200" s="82" t="s">
        <v>4343</v>
      </c>
      <c r="B200" s="326" t="s">
        <v>94</v>
      </c>
      <c r="C200" s="82" t="s">
        <v>12219</v>
      </c>
      <c r="D200" s="493">
        <v>60.0</v>
      </c>
      <c r="E200" s="92">
        <f t="shared" ref="E200:E207" si="9">D200</f>
        <v>60</v>
      </c>
      <c r="F200" s="281" t="s">
        <v>4343</v>
      </c>
    </row>
    <row r="201" ht="15.0" customHeight="1">
      <c r="A201" s="82" t="s">
        <v>4343</v>
      </c>
      <c r="B201" s="326" t="s">
        <v>94</v>
      </c>
      <c r="C201" s="82" t="s">
        <v>12220</v>
      </c>
      <c r="D201" s="493">
        <v>60.0</v>
      </c>
      <c r="E201" s="92">
        <f t="shared" si="9"/>
        <v>60</v>
      </c>
      <c r="F201" s="281" t="s">
        <v>4343</v>
      </c>
    </row>
    <row r="202" ht="15.0" customHeight="1">
      <c r="A202" s="82" t="s">
        <v>4343</v>
      </c>
      <c r="B202" s="326" t="s">
        <v>94</v>
      </c>
      <c r="C202" s="82" t="s">
        <v>12284</v>
      </c>
      <c r="D202" s="493">
        <v>30.0</v>
      </c>
      <c r="E202" s="92">
        <f t="shared" si="9"/>
        <v>30</v>
      </c>
      <c r="F202" s="281" t="s">
        <v>4343</v>
      </c>
    </row>
    <row r="203" ht="15.0" customHeight="1">
      <c r="A203" s="82" t="s">
        <v>4343</v>
      </c>
      <c r="B203" s="326" t="s">
        <v>94</v>
      </c>
      <c r="C203" s="82" t="s">
        <v>12285</v>
      </c>
      <c r="D203" s="493">
        <v>30.0</v>
      </c>
      <c r="E203" s="92">
        <f t="shared" si="9"/>
        <v>30</v>
      </c>
      <c r="F203" s="281" t="s">
        <v>4343</v>
      </c>
    </row>
    <row r="204" ht="15.0" customHeight="1">
      <c r="A204" s="82" t="s">
        <v>4343</v>
      </c>
      <c r="B204" s="326" t="s">
        <v>94</v>
      </c>
      <c r="C204" s="82" t="s">
        <v>12286</v>
      </c>
      <c r="D204" s="493">
        <v>30.0</v>
      </c>
      <c r="E204" s="92">
        <f t="shared" si="9"/>
        <v>30</v>
      </c>
      <c r="F204" s="281" t="s">
        <v>4343</v>
      </c>
    </row>
    <row r="205" ht="15.0" customHeight="1">
      <c r="A205" s="82" t="s">
        <v>4343</v>
      </c>
      <c r="B205" s="326" t="s">
        <v>94</v>
      </c>
      <c r="C205" s="82" t="s">
        <v>12287</v>
      </c>
      <c r="D205" s="493">
        <v>30.0</v>
      </c>
      <c r="E205" s="92">
        <f t="shared" si="9"/>
        <v>30</v>
      </c>
      <c r="F205" s="281" t="s">
        <v>4343</v>
      </c>
    </row>
    <row r="206" ht="15.0" customHeight="1">
      <c r="A206" s="82" t="s">
        <v>4343</v>
      </c>
      <c r="B206" s="326" t="s">
        <v>94</v>
      </c>
      <c r="C206" s="82" t="s">
        <v>12288</v>
      </c>
      <c r="D206" s="493">
        <v>20.0</v>
      </c>
      <c r="E206" s="92">
        <f t="shared" si="9"/>
        <v>20</v>
      </c>
      <c r="F206" s="281" t="s">
        <v>4343</v>
      </c>
    </row>
    <row r="207" ht="15.0" customHeight="1">
      <c r="A207" s="82" t="s">
        <v>4343</v>
      </c>
      <c r="B207" s="326" t="s">
        <v>94</v>
      </c>
      <c r="C207" s="82" t="s">
        <v>12289</v>
      </c>
      <c r="D207" s="493">
        <v>20.0</v>
      </c>
      <c r="E207" s="92">
        <f t="shared" si="9"/>
        <v>20</v>
      </c>
      <c r="F207" s="281" t="s">
        <v>4343</v>
      </c>
    </row>
    <row r="208" ht="15.0" customHeight="1">
      <c r="A208" s="82" t="s">
        <v>8968</v>
      </c>
      <c r="B208" s="326" t="s">
        <v>147</v>
      </c>
      <c r="C208" s="82" t="s">
        <v>12290</v>
      </c>
      <c r="D208" s="493">
        <v>60.0</v>
      </c>
      <c r="E208" s="274">
        <v>60.0</v>
      </c>
      <c r="F208" s="282" t="s">
        <v>153</v>
      </c>
    </row>
    <row r="209" ht="15.0" customHeight="1">
      <c r="A209" s="82" t="s">
        <v>8968</v>
      </c>
      <c r="B209" s="326" t="s">
        <v>147</v>
      </c>
      <c r="C209" s="82" t="s">
        <v>12291</v>
      </c>
      <c r="D209" s="493">
        <v>20.0</v>
      </c>
      <c r="E209" s="274">
        <v>20.0</v>
      </c>
      <c r="F209" s="282" t="s">
        <v>153</v>
      </c>
    </row>
    <row r="210" ht="15.0" customHeight="1">
      <c r="A210" s="82" t="s">
        <v>8968</v>
      </c>
      <c r="B210" s="326" t="s">
        <v>147</v>
      </c>
      <c r="C210" s="82" t="s">
        <v>12227</v>
      </c>
      <c r="D210" s="493">
        <v>20.0</v>
      </c>
      <c r="E210" s="274">
        <v>20.0</v>
      </c>
      <c r="F210" s="282" t="s">
        <v>153</v>
      </c>
    </row>
    <row r="211" ht="15.0" customHeight="1">
      <c r="A211" s="82" t="s">
        <v>8968</v>
      </c>
      <c r="B211" s="326" t="s">
        <v>147</v>
      </c>
      <c r="C211" s="82" t="s">
        <v>12228</v>
      </c>
      <c r="D211" s="493">
        <v>20.0</v>
      </c>
      <c r="E211" s="274">
        <v>20.0</v>
      </c>
      <c r="F211" s="282" t="s">
        <v>153</v>
      </c>
    </row>
    <row r="212" ht="15.0" customHeight="1">
      <c r="A212" s="82" t="s">
        <v>8968</v>
      </c>
      <c r="B212" s="326" t="s">
        <v>147</v>
      </c>
      <c r="C212" s="82" t="s">
        <v>12292</v>
      </c>
      <c r="D212" s="493">
        <v>20.0</v>
      </c>
      <c r="E212" s="274">
        <v>20.0</v>
      </c>
      <c r="F212" s="282" t="s">
        <v>153</v>
      </c>
    </row>
    <row r="213" ht="15.0" customHeight="1">
      <c r="A213" s="82" t="s">
        <v>155</v>
      </c>
      <c r="B213" s="326" t="s">
        <v>147</v>
      </c>
      <c r="C213" s="82" t="s">
        <v>12293</v>
      </c>
      <c r="D213" s="493">
        <v>20.0</v>
      </c>
      <c r="E213" s="274">
        <v>20.0</v>
      </c>
      <c r="F213" s="282" t="s">
        <v>155</v>
      </c>
    </row>
    <row r="214" ht="15.0" customHeight="1">
      <c r="A214" s="82" t="s">
        <v>155</v>
      </c>
      <c r="B214" s="326" t="s">
        <v>147</v>
      </c>
      <c r="C214" s="82" t="s">
        <v>12294</v>
      </c>
      <c r="D214" s="493">
        <v>20.0</v>
      </c>
      <c r="E214" s="274">
        <v>20.0</v>
      </c>
      <c r="F214" s="282" t="s">
        <v>155</v>
      </c>
    </row>
    <row r="215" ht="15.0" customHeight="1">
      <c r="A215" s="82" t="s">
        <v>155</v>
      </c>
      <c r="B215" s="326" t="s">
        <v>147</v>
      </c>
      <c r="C215" s="82" t="s">
        <v>12147</v>
      </c>
      <c r="D215" s="493">
        <v>30.0</v>
      </c>
      <c r="E215" s="274">
        <v>30.0</v>
      </c>
      <c r="F215" s="282" t="s">
        <v>155</v>
      </c>
    </row>
    <row r="216" ht="15.0" customHeight="1">
      <c r="A216" s="82" t="s">
        <v>154</v>
      </c>
      <c r="B216" s="326" t="s">
        <v>147</v>
      </c>
      <c r="C216" s="82" t="s">
        <v>12295</v>
      </c>
      <c r="D216" s="493">
        <v>20.0</v>
      </c>
      <c r="E216" s="274">
        <v>20.0</v>
      </c>
      <c r="F216" s="282" t="s">
        <v>154</v>
      </c>
    </row>
    <row r="217" ht="15.0" customHeight="1">
      <c r="A217" s="82" t="s">
        <v>9292</v>
      </c>
      <c r="B217" s="326" t="s">
        <v>147</v>
      </c>
      <c r="C217" s="82" t="s">
        <v>12296</v>
      </c>
      <c r="D217" s="493">
        <v>40.0</v>
      </c>
      <c r="E217" s="274">
        <v>40.0</v>
      </c>
      <c r="F217" s="282" t="s">
        <v>149</v>
      </c>
    </row>
    <row r="218" ht="15.0" customHeight="1">
      <c r="A218" s="82" t="s">
        <v>9292</v>
      </c>
      <c r="B218" s="326" t="s">
        <v>147</v>
      </c>
      <c r="C218" s="82" t="s">
        <v>12147</v>
      </c>
      <c r="D218" s="493">
        <v>30.0</v>
      </c>
      <c r="E218" s="274">
        <v>30.0</v>
      </c>
      <c r="F218" s="282" t="s">
        <v>149</v>
      </c>
    </row>
    <row r="219" ht="15.0" customHeight="1">
      <c r="A219" s="82" t="s">
        <v>8317</v>
      </c>
      <c r="B219" s="326" t="s">
        <v>147</v>
      </c>
      <c r="C219" s="82" t="s">
        <v>12297</v>
      </c>
      <c r="D219" s="493">
        <v>100.0</v>
      </c>
      <c r="E219" s="274">
        <v>100.0</v>
      </c>
      <c r="F219" s="282" t="s">
        <v>150</v>
      </c>
    </row>
    <row r="220" ht="15.0" customHeight="1">
      <c r="A220" s="82" t="s">
        <v>8317</v>
      </c>
      <c r="B220" s="326" t="s">
        <v>147</v>
      </c>
      <c r="C220" s="82" t="s">
        <v>12220</v>
      </c>
      <c r="D220" s="493">
        <v>60.0</v>
      </c>
      <c r="E220" s="274">
        <v>60.0</v>
      </c>
      <c r="F220" s="282" t="s">
        <v>150</v>
      </c>
    </row>
    <row r="221" ht="15.0" customHeight="1">
      <c r="A221" s="82" t="s">
        <v>8317</v>
      </c>
      <c r="B221" s="326" t="s">
        <v>147</v>
      </c>
      <c r="C221" s="82" t="s">
        <v>12189</v>
      </c>
      <c r="D221" s="493">
        <v>80.0</v>
      </c>
      <c r="E221" s="274">
        <v>80.0</v>
      </c>
      <c r="F221" s="282" t="s">
        <v>150</v>
      </c>
    </row>
    <row r="222" ht="15.0" customHeight="1">
      <c r="A222" s="82" t="s">
        <v>8317</v>
      </c>
      <c r="B222" s="326" t="s">
        <v>147</v>
      </c>
      <c r="C222" s="82" t="s">
        <v>12160</v>
      </c>
      <c r="D222" s="493">
        <v>40.0</v>
      </c>
      <c r="E222" s="274">
        <v>40.0</v>
      </c>
      <c r="F222" s="282" t="s">
        <v>150</v>
      </c>
    </row>
    <row r="223" ht="15.0" customHeight="1">
      <c r="A223" s="82" t="s">
        <v>8317</v>
      </c>
      <c r="B223" s="326" t="s">
        <v>147</v>
      </c>
      <c r="C223" s="82" t="s">
        <v>12298</v>
      </c>
      <c r="D223" s="493">
        <v>40.0</v>
      </c>
      <c r="E223" s="274">
        <v>40.0</v>
      </c>
      <c r="F223" s="282" t="s">
        <v>150</v>
      </c>
    </row>
    <row r="224" ht="15.0" customHeight="1">
      <c r="A224" s="82" t="s">
        <v>8317</v>
      </c>
      <c r="B224" s="326" t="s">
        <v>147</v>
      </c>
      <c r="C224" s="82" t="s">
        <v>12299</v>
      </c>
      <c r="D224" s="493">
        <v>30.0</v>
      </c>
      <c r="E224" s="274">
        <v>30.0</v>
      </c>
      <c r="F224" s="282" t="s">
        <v>150</v>
      </c>
    </row>
    <row r="225" ht="15.0" customHeight="1">
      <c r="A225" s="82" t="s">
        <v>8317</v>
      </c>
      <c r="B225" s="326" t="s">
        <v>147</v>
      </c>
      <c r="C225" s="82" t="s">
        <v>12300</v>
      </c>
      <c r="D225" s="493">
        <v>30.0</v>
      </c>
      <c r="E225" s="274">
        <v>30.0</v>
      </c>
      <c r="F225" s="282" t="s">
        <v>150</v>
      </c>
    </row>
    <row r="226" ht="15.0" customHeight="1">
      <c r="A226" s="82" t="s">
        <v>8317</v>
      </c>
      <c r="B226" s="326" t="s">
        <v>147</v>
      </c>
      <c r="C226" s="82" t="s">
        <v>12147</v>
      </c>
      <c r="D226" s="493">
        <v>60.0</v>
      </c>
      <c r="E226" s="274">
        <v>60.0</v>
      </c>
      <c r="F226" s="282" t="s">
        <v>150</v>
      </c>
    </row>
    <row r="227" ht="15.0" customHeight="1">
      <c r="A227" s="82" t="s">
        <v>8317</v>
      </c>
      <c r="B227" s="326" t="s">
        <v>147</v>
      </c>
      <c r="C227" s="82" t="s">
        <v>12301</v>
      </c>
      <c r="D227" s="493">
        <v>40.0</v>
      </c>
      <c r="E227" s="274">
        <v>40.0</v>
      </c>
      <c r="F227" s="282" t="s">
        <v>150</v>
      </c>
    </row>
    <row r="228" ht="15.0" customHeight="1">
      <c r="A228" s="82" t="s">
        <v>8317</v>
      </c>
      <c r="B228" s="326" t="s">
        <v>147</v>
      </c>
      <c r="C228" s="82" t="s">
        <v>12302</v>
      </c>
      <c r="D228" s="493">
        <v>30.0</v>
      </c>
      <c r="E228" s="274">
        <v>30.0</v>
      </c>
      <c r="F228" s="282" t="s">
        <v>150</v>
      </c>
    </row>
    <row r="229" ht="15.0" customHeight="1">
      <c r="A229" s="82" t="s">
        <v>9039</v>
      </c>
      <c r="B229" s="326" t="s">
        <v>147</v>
      </c>
      <c r="C229" s="82" t="s">
        <v>12303</v>
      </c>
      <c r="D229" s="493">
        <v>20.0</v>
      </c>
      <c r="E229" s="274">
        <v>20.0</v>
      </c>
      <c r="F229" s="282" t="s">
        <v>4738</v>
      </c>
    </row>
    <row r="230" ht="15.0" customHeight="1">
      <c r="A230" s="82" t="s">
        <v>9039</v>
      </c>
      <c r="B230" s="326" t="s">
        <v>147</v>
      </c>
      <c r="C230" s="82" t="s">
        <v>12147</v>
      </c>
      <c r="D230" s="493">
        <v>30.0</v>
      </c>
      <c r="E230" s="274">
        <v>30.0</v>
      </c>
      <c r="F230" s="282" t="s">
        <v>4738</v>
      </c>
    </row>
    <row r="231" ht="15.0" customHeight="1">
      <c r="A231" s="82" t="s">
        <v>9039</v>
      </c>
      <c r="B231" s="326" t="s">
        <v>147</v>
      </c>
      <c r="C231" s="82" t="s">
        <v>12304</v>
      </c>
      <c r="D231" s="493">
        <v>30.0</v>
      </c>
      <c r="E231" s="274">
        <v>30.0</v>
      </c>
      <c r="F231" s="282" t="s">
        <v>4738</v>
      </c>
    </row>
    <row r="232" ht="15.0" customHeight="1">
      <c r="A232" s="82" t="s">
        <v>9039</v>
      </c>
      <c r="B232" s="326" t="s">
        <v>147</v>
      </c>
      <c r="C232" s="82" t="s">
        <v>12305</v>
      </c>
      <c r="D232" s="493">
        <v>30.0</v>
      </c>
      <c r="E232" s="274">
        <v>30.0</v>
      </c>
      <c r="F232" s="282" t="s">
        <v>4738</v>
      </c>
    </row>
    <row r="233" ht="15.0" customHeight="1">
      <c r="A233" s="82" t="s">
        <v>9294</v>
      </c>
      <c r="B233" s="326" t="s">
        <v>147</v>
      </c>
      <c r="C233" s="82" t="s">
        <v>12219</v>
      </c>
      <c r="D233" s="493">
        <v>60.0</v>
      </c>
      <c r="E233" s="274">
        <v>60.0</v>
      </c>
      <c r="F233" s="282" t="s">
        <v>156</v>
      </c>
    </row>
    <row r="234" ht="15.0" customHeight="1">
      <c r="A234" s="82" t="s">
        <v>9294</v>
      </c>
      <c r="B234" s="326" t="s">
        <v>147</v>
      </c>
      <c r="C234" s="82" t="s">
        <v>12220</v>
      </c>
      <c r="D234" s="493">
        <v>60.0</v>
      </c>
      <c r="E234" s="274">
        <v>60.0</v>
      </c>
      <c r="F234" s="282" t="s">
        <v>156</v>
      </c>
    </row>
    <row r="235" ht="15.0" customHeight="1">
      <c r="A235" s="82" t="s">
        <v>9294</v>
      </c>
      <c r="B235" s="326" t="s">
        <v>147</v>
      </c>
      <c r="C235" s="82" t="s">
        <v>12306</v>
      </c>
      <c r="D235" s="493">
        <v>30.0</v>
      </c>
      <c r="E235" s="274">
        <v>30.0</v>
      </c>
      <c r="F235" s="282" t="s">
        <v>156</v>
      </c>
    </row>
    <row r="236" ht="15.0" customHeight="1">
      <c r="A236" s="82" t="s">
        <v>9294</v>
      </c>
      <c r="B236" s="326" t="s">
        <v>147</v>
      </c>
      <c r="C236" s="82" t="s">
        <v>12307</v>
      </c>
      <c r="D236" s="493">
        <v>30.0</v>
      </c>
      <c r="E236" s="274">
        <v>30.0</v>
      </c>
      <c r="F236" s="282" t="s">
        <v>156</v>
      </c>
    </row>
    <row r="237" ht="15.0" customHeight="1">
      <c r="A237" s="82" t="s">
        <v>9294</v>
      </c>
      <c r="B237" s="326" t="s">
        <v>147</v>
      </c>
      <c r="C237" s="82" t="s">
        <v>12147</v>
      </c>
      <c r="D237" s="493">
        <v>30.0</v>
      </c>
      <c r="E237" s="274">
        <v>30.0</v>
      </c>
      <c r="F237" s="282" t="s">
        <v>156</v>
      </c>
    </row>
    <row r="238" ht="15.0" customHeight="1">
      <c r="A238" s="82" t="s">
        <v>9041</v>
      </c>
      <c r="B238" s="326" t="s">
        <v>147</v>
      </c>
      <c r="C238" s="82" t="s">
        <v>12219</v>
      </c>
      <c r="D238" s="493">
        <v>60.0</v>
      </c>
      <c r="E238" s="274">
        <v>60.0</v>
      </c>
      <c r="F238" s="282" t="s">
        <v>4845</v>
      </c>
    </row>
    <row r="239" ht="15.0" customHeight="1">
      <c r="A239" s="82" t="s">
        <v>9041</v>
      </c>
      <c r="B239" s="326" t="s">
        <v>147</v>
      </c>
      <c r="C239" s="82" t="s">
        <v>12220</v>
      </c>
      <c r="D239" s="493">
        <v>60.0</v>
      </c>
      <c r="E239" s="274">
        <v>60.0</v>
      </c>
      <c r="F239" s="282" t="s">
        <v>4845</v>
      </c>
    </row>
    <row r="240" ht="15.0" customHeight="1">
      <c r="A240" s="82" t="s">
        <v>9041</v>
      </c>
      <c r="B240" s="326" t="s">
        <v>147</v>
      </c>
      <c r="C240" s="82" t="s">
        <v>12308</v>
      </c>
      <c r="D240" s="493">
        <v>30.0</v>
      </c>
      <c r="E240" s="274">
        <v>30.0</v>
      </c>
      <c r="F240" s="282" t="s">
        <v>4845</v>
      </c>
    </row>
    <row r="241" ht="15.0" customHeight="1">
      <c r="A241" s="82" t="s">
        <v>9041</v>
      </c>
      <c r="B241" s="326" t="s">
        <v>147</v>
      </c>
      <c r="C241" s="82" t="s">
        <v>12206</v>
      </c>
      <c r="D241" s="493">
        <v>30.0</v>
      </c>
      <c r="E241" s="274">
        <v>30.0</v>
      </c>
      <c r="F241" s="282" t="s">
        <v>4845</v>
      </c>
    </row>
    <row r="242" ht="15.0" customHeight="1">
      <c r="A242" s="82" t="s">
        <v>9041</v>
      </c>
      <c r="B242" s="326" t="s">
        <v>147</v>
      </c>
      <c r="C242" s="82" t="s">
        <v>12147</v>
      </c>
      <c r="D242" s="493">
        <v>30.0</v>
      </c>
      <c r="E242" s="274">
        <v>30.0</v>
      </c>
      <c r="F242" s="282" t="s">
        <v>4845</v>
      </c>
    </row>
    <row r="243" ht="15.0" customHeight="1">
      <c r="A243" s="82" t="s">
        <v>8328</v>
      </c>
      <c r="B243" s="326" t="s">
        <v>147</v>
      </c>
      <c r="C243" s="82" t="s">
        <v>12309</v>
      </c>
      <c r="D243" s="493">
        <v>60.0</v>
      </c>
      <c r="E243" s="274">
        <v>60.0</v>
      </c>
      <c r="F243" s="282" t="s">
        <v>158</v>
      </c>
    </row>
    <row r="244" ht="15.0" customHeight="1">
      <c r="A244" s="82" t="s">
        <v>8328</v>
      </c>
      <c r="B244" s="326" t="s">
        <v>147</v>
      </c>
      <c r="C244" s="82" t="s">
        <v>12310</v>
      </c>
      <c r="D244" s="493">
        <v>60.0</v>
      </c>
      <c r="E244" s="274">
        <v>60.0</v>
      </c>
      <c r="F244" s="282" t="s">
        <v>158</v>
      </c>
    </row>
    <row r="245" ht="15.0" customHeight="1">
      <c r="A245" s="82" t="s">
        <v>8328</v>
      </c>
      <c r="B245" s="326" t="s">
        <v>147</v>
      </c>
      <c r="C245" s="82" t="s">
        <v>12311</v>
      </c>
      <c r="D245" s="493">
        <v>80.0</v>
      </c>
      <c r="E245" s="274">
        <v>80.0</v>
      </c>
      <c r="F245" s="282" t="s">
        <v>158</v>
      </c>
    </row>
    <row r="246" ht="15.0" customHeight="1">
      <c r="A246" s="82" t="s">
        <v>8328</v>
      </c>
      <c r="B246" s="326" t="s">
        <v>147</v>
      </c>
      <c r="C246" s="82" t="s">
        <v>12312</v>
      </c>
      <c r="D246" s="493">
        <v>40.0</v>
      </c>
      <c r="E246" s="274">
        <v>40.0</v>
      </c>
      <c r="F246" s="282" t="s">
        <v>158</v>
      </c>
    </row>
    <row r="247" ht="15.0" customHeight="1">
      <c r="A247" s="82" t="s">
        <v>8328</v>
      </c>
      <c r="B247" s="326" t="s">
        <v>147</v>
      </c>
      <c r="C247" s="82" t="s">
        <v>12313</v>
      </c>
      <c r="D247" s="493">
        <v>30.0</v>
      </c>
      <c r="E247" s="274">
        <v>30.0</v>
      </c>
      <c r="F247" s="282" t="s">
        <v>158</v>
      </c>
    </row>
    <row r="248" ht="15.0" customHeight="1">
      <c r="A248" s="82" t="s">
        <v>8328</v>
      </c>
      <c r="B248" s="326" t="s">
        <v>147</v>
      </c>
      <c r="C248" s="82" t="s">
        <v>12314</v>
      </c>
      <c r="D248" s="493">
        <v>30.0</v>
      </c>
      <c r="E248" s="274">
        <v>30.0</v>
      </c>
      <c r="F248" s="282" t="s">
        <v>158</v>
      </c>
    </row>
    <row r="249" ht="15.0" customHeight="1">
      <c r="A249" s="82" t="s">
        <v>8328</v>
      </c>
      <c r="B249" s="326" t="s">
        <v>147</v>
      </c>
      <c r="C249" s="82" t="s">
        <v>12315</v>
      </c>
      <c r="D249" s="493">
        <v>30.0</v>
      </c>
      <c r="E249" s="274">
        <v>30.0</v>
      </c>
      <c r="F249" s="282" t="s">
        <v>158</v>
      </c>
    </row>
    <row r="250" ht="15.0" customHeight="1">
      <c r="A250" s="82" t="s">
        <v>8328</v>
      </c>
      <c r="B250" s="326" t="s">
        <v>147</v>
      </c>
      <c r="C250" s="82" t="s">
        <v>12316</v>
      </c>
      <c r="D250" s="493">
        <v>20.0</v>
      </c>
      <c r="E250" s="274">
        <v>20.0</v>
      </c>
      <c r="F250" s="282" t="s">
        <v>158</v>
      </c>
    </row>
    <row r="251" ht="15.0" customHeight="1">
      <c r="A251" s="82" t="s">
        <v>1144</v>
      </c>
      <c r="B251" s="326" t="s">
        <v>147</v>
      </c>
      <c r="C251" s="82" t="s">
        <v>12317</v>
      </c>
      <c r="D251" s="493">
        <v>60.0</v>
      </c>
      <c r="E251" s="274">
        <v>60.0</v>
      </c>
      <c r="F251" s="282" t="s">
        <v>159</v>
      </c>
    </row>
    <row r="252" ht="15.0" customHeight="1">
      <c r="A252" s="82" t="s">
        <v>1144</v>
      </c>
      <c r="B252" s="326" t="s">
        <v>147</v>
      </c>
      <c r="C252" s="82" t="s">
        <v>12318</v>
      </c>
      <c r="D252" s="493">
        <v>30.0</v>
      </c>
      <c r="E252" s="274">
        <v>30.0</v>
      </c>
      <c r="F252" s="282" t="s">
        <v>159</v>
      </c>
    </row>
    <row r="253" ht="15.0" customHeight="1">
      <c r="A253" s="82" t="s">
        <v>1144</v>
      </c>
      <c r="B253" s="326" t="s">
        <v>147</v>
      </c>
      <c r="C253" s="82" t="s">
        <v>12319</v>
      </c>
      <c r="D253" s="493">
        <v>30.0</v>
      </c>
      <c r="E253" s="274">
        <v>30.0</v>
      </c>
      <c r="F253" s="282" t="s">
        <v>159</v>
      </c>
    </row>
    <row r="254" ht="15.0" customHeight="1">
      <c r="A254" s="82" t="s">
        <v>1144</v>
      </c>
      <c r="B254" s="326" t="s">
        <v>147</v>
      </c>
      <c r="C254" s="82" t="s">
        <v>12147</v>
      </c>
      <c r="D254" s="493">
        <v>30.0</v>
      </c>
      <c r="E254" s="274">
        <v>30.0</v>
      </c>
      <c r="F254" s="282" t="s">
        <v>159</v>
      </c>
    </row>
    <row r="255" ht="15.0" customHeight="1">
      <c r="A255" s="82" t="s">
        <v>1144</v>
      </c>
      <c r="B255" s="326" t="s">
        <v>147</v>
      </c>
      <c r="C255" s="82" t="s">
        <v>12320</v>
      </c>
      <c r="D255" s="493">
        <v>30.0</v>
      </c>
      <c r="E255" s="274">
        <v>30.0</v>
      </c>
      <c r="F255" s="282" t="s">
        <v>159</v>
      </c>
    </row>
    <row r="256" ht="15.0" customHeight="1">
      <c r="A256" s="82" t="s">
        <v>1144</v>
      </c>
      <c r="B256" s="326" t="s">
        <v>147</v>
      </c>
      <c r="C256" s="82" t="s">
        <v>12321</v>
      </c>
      <c r="D256" s="493">
        <v>20.0</v>
      </c>
      <c r="E256" s="274">
        <v>20.0</v>
      </c>
      <c r="F256" s="282" t="s">
        <v>159</v>
      </c>
    </row>
    <row r="257" ht="15.0" customHeight="1">
      <c r="A257" s="82" t="s">
        <v>8360</v>
      </c>
      <c r="B257" s="326" t="s">
        <v>147</v>
      </c>
      <c r="C257" s="82" t="s">
        <v>12322</v>
      </c>
      <c r="D257" s="493">
        <v>30.0</v>
      </c>
      <c r="E257" s="274">
        <v>30.0</v>
      </c>
      <c r="F257" s="282" t="s">
        <v>161</v>
      </c>
    </row>
    <row r="258" ht="15.0" customHeight="1">
      <c r="A258" s="82" t="s">
        <v>8879</v>
      </c>
      <c r="B258" s="326" t="s">
        <v>147</v>
      </c>
      <c r="C258" s="82" t="s">
        <v>12147</v>
      </c>
      <c r="D258" s="493">
        <v>30.0</v>
      </c>
      <c r="E258" s="274">
        <v>30.0</v>
      </c>
      <c r="F258" s="282" t="s">
        <v>162</v>
      </c>
    </row>
    <row r="259" ht="15.0" customHeight="1">
      <c r="A259" s="82" t="s">
        <v>9298</v>
      </c>
      <c r="B259" s="326" t="s">
        <v>147</v>
      </c>
      <c r="C259" s="82" t="s">
        <v>12323</v>
      </c>
      <c r="D259" s="493">
        <v>20.0</v>
      </c>
      <c r="E259" s="274">
        <v>20.0</v>
      </c>
      <c r="F259" s="282" t="s">
        <v>164</v>
      </c>
    </row>
    <row r="260" ht="15.0" customHeight="1">
      <c r="A260" s="82" t="s">
        <v>9298</v>
      </c>
      <c r="B260" s="326" t="s">
        <v>147</v>
      </c>
      <c r="C260" s="82" t="s">
        <v>12324</v>
      </c>
      <c r="D260" s="493">
        <v>30.0</v>
      </c>
      <c r="E260" s="274">
        <v>30.0</v>
      </c>
      <c r="F260" s="282" t="s">
        <v>164</v>
      </c>
    </row>
    <row r="261" ht="14.25" customHeight="1">
      <c r="A261" s="82" t="s">
        <v>1160</v>
      </c>
      <c r="B261" s="326" t="s">
        <v>147</v>
      </c>
      <c r="C261" s="82" t="s">
        <v>12325</v>
      </c>
      <c r="D261" s="493">
        <v>30.0</v>
      </c>
      <c r="E261" s="274">
        <v>30.0</v>
      </c>
      <c r="F261" s="282" t="s">
        <v>165</v>
      </c>
    </row>
    <row r="262" ht="15.75" customHeight="1">
      <c r="A262" s="82" t="s">
        <v>1160</v>
      </c>
      <c r="B262" s="326" t="s">
        <v>147</v>
      </c>
      <c r="C262" s="82" t="s">
        <v>12326</v>
      </c>
      <c r="D262" s="493">
        <v>20.0</v>
      </c>
      <c r="E262" s="274">
        <v>20.0</v>
      </c>
      <c r="F262" s="282" t="s">
        <v>165</v>
      </c>
    </row>
    <row r="263" ht="15.0" customHeight="1">
      <c r="A263" s="82" t="s">
        <v>9300</v>
      </c>
      <c r="B263" s="326" t="s">
        <v>147</v>
      </c>
      <c r="C263" s="82" t="s">
        <v>12327</v>
      </c>
      <c r="D263" s="493">
        <v>30.0</v>
      </c>
      <c r="E263" s="274">
        <v>30.0</v>
      </c>
      <c r="F263" s="282" t="s">
        <v>5626</v>
      </c>
    </row>
    <row r="264" ht="15.0" customHeight="1">
      <c r="A264" s="82" t="s">
        <v>1211</v>
      </c>
      <c r="B264" s="326" t="s">
        <v>147</v>
      </c>
      <c r="C264" s="82" t="s">
        <v>12328</v>
      </c>
      <c r="D264" s="493">
        <v>20.0</v>
      </c>
      <c r="E264" s="274">
        <v>20.0</v>
      </c>
      <c r="F264" s="282" t="s">
        <v>168</v>
      </c>
    </row>
    <row r="265" ht="15.0" customHeight="1">
      <c r="A265" s="82" t="s">
        <v>12329</v>
      </c>
      <c r="B265" s="326" t="s">
        <v>147</v>
      </c>
      <c r="C265" s="82" t="s">
        <v>12330</v>
      </c>
      <c r="D265" s="493">
        <v>20.0</v>
      </c>
      <c r="E265" s="274">
        <v>20.0</v>
      </c>
      <c r="F265" s="282" t="s">
        <v>168</v>
      </c>
    </row>
    <row r="266" ht="15.0" customHeight="1">
      <c r="A266" s="82" t="s">
        <v>9302</v>
      </c>
      <c r="B266" s="326" t="s">
        <v>147</v>
      </c>
      <c r="C266" s="82" t="s">
        <v>12331</v>
      </c>
      <c r="D266" s="493">
        <v>60.0</v>
      </c>
      <c r="E266" s="274">
        <v>60.0</v>
      </c>
      <c r="F266" s="282" t="s">
        <v>170</v>
      </c>
    </row>
    <row r="267" ht="15.0" customHeight="1">
      <c r="A267" s="82" t="s">
        <v>9302</v>
      </c>
      <c r="B267" s="326" t="s">
        <v>147</v>
      </c>
      <c r="C267" s="82" t="s">
        <v>12332</v>
      </c>
      <c r="D267" s="493">
        <v>30.0</v>
      </c>
      <c r="E267" s="274">
        <v>30.0</v>
      </c>
      <c r="F267" s="282" t="s">
        <v>170</v>
      </c>
    </row>
    <row r="268" ht="15.0" customHeight="1">
      <c r="A268" s="82" t="s">
        <v>9302</v>
      </c>
      <c r="B268" s="326" t="s">
        <v>147</v>
      </c>
      <c r="C268" s="82" t="s">
        <v>12333</v>
      </c>
      <c r="D268" s="493">
        <v>30.0</v>
      </c>
      <c r="E268" s="274">
        <v>30.0</v>
      </c>
      <c r="F268" s="282" t="s">
        <v>170</v>
      </c>
    </row>
    <row r="269" ht="15.0" customHeight="1">
      <c r="A269" s="82" t="s">
        <v>9302</v>
      </c>
      <c r="B269" s="326" t="s">
        <v>147</v>
      </c>
      <c r="C269" s="82" t="s">
        <v>12334</v>
      </c>
      <c r="D269" s="493">
        <v>30.0</v>
      </c>
      <c r="E269" s="274">
        <v>30.0</v>
      </c>
      <c r="F269" s="282" t="s">
        <v>170</v>
      </c>
    </row>
    <row r="270" ht="15.0" customHeight="1">
      <c r="A270" s="82" t="s">
        <v>9302</v>
      </c>
      <c r="B270" s="326" t="s">
        <v>147</v>
      </c>
      <c r="C270" s="82" t="s">
        <v>12335</v>
      </c>
      <c r="D270" s="493">
        <v>30.0</v>
      </c>
      <c r="E270" s="274">
        <v>30.0</v>
      </c>
      <c r="F270" s="282" t="s">
        <v>170</v>
      </c>
    </row>
    <row r="271" ht="15.0" customHeight="1">
      <c r="A271" s="82" t="s">
        <v>9302</v>
      </c>
      <c r="B271" s="326" t="s">
        <v>147</v>
      </c>
      <c r="C271" s="82" t="s">
        <v>12336</v>
      </c>
      <c r="D271" s="493">
        <v>30.0</v>
      </c>
      <c r="E271" s="274">
        <v>30.0</v>
      </c>
      <c r="F271" s="282" t="s">
        <v>170</v>
      </c>
    </row>
    <row r="272" ht="15.0" customHeight="1">
      <c r="A272" s="82" t="s">
        <v>9302</v>
      </c>
      <c r="B272" s="326" t="s">
        <v>147</v>
      </c>
      <c r="C272" s="82" t="s">
        <v>12337</v>
      </c>
      <c r="D272" s="493">
        <v>20.0</v>
      </c>
      <c r="E272" s="274">
        <v>20.0</v>
      </c>
      <c r="F272" s="282" t="s">
        <v>170</v>
      </c>
    </row>
    <row r="273" ht="15.0" customHeight="1">
      <c r="A273" s="82" t="s">
        <v>9302</v>
      </c>
      <c r="B273" s="326" t="s">
        <v>147</v>
      </c>
      <c r="C273" s="82" t="s">
        <v>12338</v>
      </c>
      <c r="D273" s="493">
        <v>20.0</v>
      </c>
      <c r="E273" s="274">
        <v>20.0</v>
      </c>
      <c r="F273" s="282" t="s">
        <v>170</v>
      </c>
    </row>
    <row r="274" ht="15.0" customHeight="1">
      <c r="A274" s="82" t="s">
        <v>9302</v>
      </c>
      <c r="B274" s="326" t="s">
        <v>147</v>
      </c>
      <c r="C274" s="82" t="s">
        <v>12339</v>
      </c>
      <c r="D274" s="493">
        <v>20.0</v>
      </c>
      <c r="E274" s="274">
        <v>20.0</v>
      </c>
      <c r="F274" s="282" t="s">
        <v>170</v>
      </c>
    </row>
    <row r="275" ht="15.0" customHeight="1">
      <c r="A275" s="82" t="s">
        <v>8891</v>
      </c>
      <c r="B275" s="326" t="s">
        <v>147</v>
      </c>
      <c r="C275" s="82" t="s">
        <v>12147</v>
      </c>
      <c r="D275" s="493">
        <v>30.0</v>
      </c>
      <c r="E275" s="274">
        <v>30.0</v>
      </c>
      <c r="F275" s="282" t="s">
        <v>171</v>
      </c>
    </row>
    <row r="276" ht="15.0" customHeight="1">
      <c r="A276" s="82" t="s">
        <v>8409</v>
      </c>
      <c r="B276" s="326" t="s">
        <v>147</v>
      </c>
      <c r="C276" s="82" t="s">
        <v>12340</v>
      </c>
      <c r="D276" s="493">
        <v>40.0</v>
      </c>
      <c r="E276" s="274">
        <v>40.0</v>
      </c>
      <c r="F276" s="282" t="s">
        <v>5077</v>
      </c>
    </row>
    <row r="277" ht="15.0" customHeight="1">
      <c r="A277" s="82" t="s">
        <v>8409</v>
      </c>
      <c r="B277" s="326" t="s">
        <v>147</v>
      </c>
      <c r="C277" s="82" t="s">
        <v>11825</v>
      </c>
      <c r="D277" s="493">
        <v>30.0</v>
      </c>
      <c r="E277" s="274">
        <v>30.0</v>
      </c>
      <c r="F277" s="282" t="s">
        <v>5077</v>
      </c>
    </row>
    <row r="278" ht="15.0" customHeight="1">
      <c r="A278" s="82" t="s">
        <v>8417</v>
      </c>
      <c r="B278" s="326" t="s">
        <v>147</v>
      </c>
      <c r="C278" s="82" t="s">
        <v>12341</v>
      </c>
      <c r="D278" s="493">
        <v>20.0</v>
      </c>
      <c r="E278" s="274">
        <v>20.0</v>
      </c>
      <c r="F278" s="282" t="s">
        <v>5101</v>
      </c>
    </row>
    <row r="279" ht="15.0" customHeight="1">
      <c r="A279" s="82" t="s">
        <v>8417</v>
      </c>
      <c r="B279" s="326" t="s">
        <v>147</v>
      </c>
      <c r="C279" s="82" t="s">
        <v>12326</v>
      </c>
      <c r="D279" s="493">
        <v>20.0</v>
      </c>
      <c r="E279" s="274">
        <v>20.0</v>
      </c>
      <c r="F279" s="282" t="s">
        <v>5101</v>
      </c>
    </row>
    <row r="280" ht="15.0" customHeight="1">
      <c r="A280" s="82" t="s">
        <v>8417</v>
      </c>
      <c r="B280" s="326" t="s">
        <v>147</v>
      </c>
      <c r="C280" s="82" t="s">
        <v>12186</v>
      </c>
      <c r="D280" s="493">
        <v>30.0</v>
      </c>
      <c r="E280" s="274">
        <v>30.0</v>
      </c>
      <c r="F280" s="282" t="s">
        <v>5101</v>
      </c>
    </row>
    <row r="281" ht="15.0" customHeight="1">
      <c r="A281" s="82" t="s">
        <v>9307</v>
      </c>
      <c r="B281" s="326" t="s">
        <v>147</v>
      </c>
      <c r="C281" s="82" t="s">
        <v>12147</v>
      </c>
      <c r="D281" s="493">
        <v>30.0</v>
      </c>
      <c r="E281" s="274">
        <v>30.0</v>
      </c>
      <c r="F281" s="282" t="s">
        <v>5108</v>
      </c>
    </row>
    <row r="282" ht="15.0" customHeight="1">
      <c r="A282" s="82" t="s">
        <v>9308</v>
      </c>
      <c r="B282" s="326" t="s">
        <v>147</v>
      </c>
      <c r="C282" s="82" t="s">
        <v>12342</v>
      </c>
      <c r="D282" s="493">
        <v>30.0</v>
      </c>
      <c r="E282" s="274">
        <v>30.0</v>
      </c>
      <c r="F282" s="282" t="s">
        <v>5654</v>
      </c>
    </row>
    <row r="283" ht="15.0" customHeight="1">
      <c r="A283" s="82" t="s">
        <v>9309</v>
      </c>
      <c r="B283" s="326" t="s">
        <v>147</v>
      </c>
      <c r="C283" s="82" t="s">
        <v>12343</v>
      </c>
      <c r="D283" s="493">
        <v>30.0</v>
      </c>
      <c r="E283" s="274">
        <v>30.0</v>
      </c>
      <c r="F283" s="282" t="s">
        <v>179</v>
      </c>
    </row>
    <row r="284" ht="15.75" customHeight="1">
      <c r="A284" s="82" t="s">
        <v>9310</v>
      </c>
      <c r="B284" s="326" t="s">
        <v>147</v>
      </c>
      <c r="C284" s="82" t="s">
        <v>12147</v>
      </c>
      <c r="D284" s="503">
        <v>30.0</v>
      </c>
      <c r="E284" s="504">
        <v>30.0</v>
      </c>
      <c r="F284" s="282" t="s">
        <v>180</v>
      </c>
    </row>
    <row r="285" ht="15.0" customHeight="1">
      <c r="A285" s="82" t="s">
        <v>8898</v>
      </c>
      <c r="B285" s="326" t="s">
        <v>147</v>
      </c>
      <c r="C285" s="82" t="s">
        <v>12147</v>
      </c>
      <c r="D285" s="82">
        <v>30.0</v>
      </c>
      <c r="E285" s="82">
        <v>30.0</v>
      </c>
      <c r="F285" s="282" t="s">
        <v>8902</v>
      </c>
    </row>
    <row r="286" ht="15.75" customHeight="1">
      <c r="A286" s="110"/>
      <c r="B286" s="285"/>
      <c r="C286" s="285"/>
      <c r="D286" s="476"/>
      <c r="E286" s="476">
        <f>SUM(E8:E285)</f>
        <v>10076</v>
      </c>
      <c r="F286" s="227"/>
    </row>
    <row r="287" ht="15.75" customHeight="1">
      <c r="A287" s="104"/>
      <c r="B287" s="104"/>
      <c r="C287" s="61"/>
      <c r="D287" s="61"/>
      <c r="E287" s="61"/>
      <c r="F287" s="264"/>
      <c r="G287" s="1"/>
      <c r="H287" s="1"/>
    </row>
    <row r="288" ht="15.75" customHeight="1">
      <c r="A288" s="144" t="s">
        <v>1169</v>
      </c>
      <c r="B288" s="103"/>
      <c r="C288" s="103"/>
      <c r="D288" s="103"/>
      <c r="E288" s="103"/>
      <c r="F288" s="103"/>
      <c r="G288" s="103"/>
      <c r="H288" s="103"/>
      <c r="I288" s="104"/>
      <c r="J288" s="104"/>
      <c r="K288" s="104"/>
      <c r="L288" s="104"/>
      <c r="M288" s="104"/>
      <c r="N288" s="104"/>
      <c r="O288" s="104"/>
      <c r="P288" s="104"/>
      <c r="Q288" s="104"/>
      <c r="R288" s="104"/>
      <c r="S288" s="104"/>
      <c r="T288" s="104"/>
      <c r="U288" s="104"/>
      <c r="V288" s="104"/>
      <c r="W288" s="104"/>
      <c r="X288" s="104"/>
      <c r="Y288" s="104"/>
    </row>
    <row r="289" ht="15.75" customHeight="1">
      <c r="F289" s="227"/>
    </row>
    <row r="290" ht="15.75" customHeight="1">
      <c r="F290" s="227"/>
    </row>
    <row r="291" ht="15.75" customHeight="1">
      <c r="F291" s="227"/>
    </row>
    <row r="292" ht="15.75" customHeight="1">
      <c r="F292" s="227"/>
    </row>
    <row r="293" ht="15.75" customHeight="1">
      <c r="F293" s="227"/>
    </row>
    <row r="294" ht="15.75" customHeight="1">
      <c r="F294" s="227"/>
    </row>
    <row r="295" ht="15.75" customHeight="1">
      <c r="F295" s="227"/>
    </row>
    <row r="296" ht="15.75" customHeight="1">
      <c r="F296" s="227"/>
    </row>
    <row r="297" ht="15.75" customHeight="1">
      <c r="F297" s="227"/>
    </row>
    <row r="298" ht="15.75" customHeight="1">
      <c r="F298" s="227"/>
    </row>
    <row r="299" ht="15.75" customHeight="1">
      <c r="F299" s="227"/>
    </row>
    <row r="300" ht="15.75" customHeight="1">
      <c r="F300" s="227"/>
    </row>
    <row r="301" ht="15.75" customHeight="1">
      <c r="F301" s="227"/>
    </row>
    <row r="302" ht="15.75" customHeight="1">
      <c r="F302" s="227"/>
    </row>
    <row r="303" ht="15.75" customHeight="1">
      <c r="F303" s="227"/>
    </row>
    <row r="304" ht="15.75" customHeight="1">
      <c r="F304" s="227"/>
    </row>
    <row r="305" ht="15.75" customHeight="1">
      <c r="F305" s="227"/>
    </row>
    <row r="306" ht="15.75" customHeight="1">
      <c r="F306" s="227"/>
    </row>
    <row r="307" ht="15.75" customHeight="1">
      <c r="F307" s="227"/>
    </row>
    <row r="308" ht="15.75" customHeight="1">
      <c r="F308" s="227"/>
    </row>
    <row r="309" ht="15.75" customHeight="1">
      <c r="F309" s="227"/>
    </row>
    <row r="310" ht="15.75" customHeight="1">
      <c r="F310" s="227"/>
    </row>
    <row r="311" ht="15.75" customHeight="1">
      <c r="F311" s="227"/>
    </row>
    <row r="312" ht="15.75" customHeight="1">
      <c r="F312" s="227"/>
    </row>
    <row r="313" ht="15.75" customHeight="1">
      <c r="F313" s="227"/>
    </row>
    <row r="314" ht="15.75" customHeight="1">
      <c r="F314" s="227"/>
    </row>
    <row r="315" ht="15.75" customHeight="1">
      <c r="F315" s="227"/>
    </row>
    <row r="316" ht="15.75" customHeight="1">
      <c r="F316" s="227"/>
    </row>
    <row r="317" ht="15.75" customHeight="1">
      <c r="F317" s="227"/>
    </row>
    <row r="318" ht="15.75" customHeight="1">
      <c r="F318" s="227"/>
    </row>
    <row r="319" ht="15.75" customHeight="1">
      <c r="F319" s="227"/>
    </row>
    <row r="320" ht="15.75" customHeight="1">
      <c r="F320" s="227"/>
    </row>
    <row r="321" ht="15.75" customHeight="1">
      <c r="F321" s="227"/>
    </row>
    <row r="322" ht="15.75" customHeight="1">
      <c r="F322" s="227"/>
    </row>
    <row r="323" ht="15.75" customHeight="1">
      <c r="F323" s="227"/>
    </row>
    <row r="324" ht="15.75" customHeight="1">
      <c r="F324" s="227"/>
    </row>
    <row r="325" ht="15.75" customHeight="1">
      <c r="F325" s="227"/>
    </row>
    <row r="326" ht="15.75" customHeight="1">
      <c r="F326" s="227"/>
    </row>
    <row r="327" ht="15.75" customHeight="1">
      <c r="F327" s="227"/>
    </row>
    <row r="328" ht="15.75" customHeight="1">
      <c r="F328" s="227"/>
    </row>
    <row r="329" ht="15.75" customHeight="1">
      <c r="F329" s="227"/>
    </row>
    <row r="330" ht="15.75" customHeight="1">
      <c r="F330" s="227"/>
    </row>
    <row r="331" ht="15.75" customHeight="1">
      <c r="F331" s="227"/>
    </row>
    <row r="332" ht="15.75" customHeight="1">
      <c r="F332" s="227"/>
    </row>
    <row r="333" ht="15.75" customHeight="1">
      <c r="F333" s="227"/>
    </row>
    <row r="334" ht="15.75" customHeight="1">
      <c r="F334" s="227"/>
    </row>
    <row r="335" ht="15.75" customHeight="1">
      <c r="F335" s="227"/>
    </row>
    <row r="336" ht="15.75" customHeight="1">
      <c r="F336" s="227"/>
    </row>
    <row r="337" ht="15.75" customHeight="1">
      <c r="F337" s="227"/>
    </row>
    <row r="338" ht="15.75" customHeight="1">
      <c r="F338" s="227"/>
    </row>
    <row r="339" ht="15.75" customHeight="1">
      <c r="F339" s="227"/>
    </row>
    <row r="340" ht="15.75" customHeight="1">
      <c r="F340" s="227"/>
    </row>
    <row r="341" ht="15.75" customHeight="1">
      <c r="F341" s="227"/>
    </row>
    <row r="342" ht="15.75" customHeight="1">
      <c r="F342" s="227"/>
    </row>
    <row r="343" ht="15.75" customHeight="1">
      <c r="F343" s="227"/>
    </row>
    <row r="344" ht="15.75" customHeight="1">
      <c r="F344" s="227"/>
    </row>
    <row r="345" ht="15.75" customHeight="1">
      <c r="F345" s="227"/>
    </row>
    <row r="346" ht="15.75" customHeight="1">
      <c r="F346" s="227"/>
    </row>
    <row r="347" ht="15.75" customHeight="1">
      <c r="F347" s="227"/>
    </row>
    <row r="348" ht="15.75" customHeight="1">
      <c r="F348" s="227"/>
    </row>
    <row r="349" ht="15.75" customHeight="1">
      <c r="F349" s="227"/>
    </row>
    <row r="350" ht="15.75" customHeight="1">
      <c r="F350" s="227"/>
    </row>
    <row r="351" ht="15.75" customHeight="1">
      <c r="F351" s="227"/>
    </row>
    <row r="352" ht="15.75" customHeight="1">
      <c r="F352" s="227"/>
    </row>
    <row r="353" ht="15.75" customHeight="1">
      <c r="F353" s="227"/>
    </row>
    <row r="354" ht="15.75" customHeight="1">
      <c r="F354" s="227"/>
    </row>
    <row r="355" ht="15.75" customHeight="1">
      <c r="F355" s="227"/>
    </row>
    <row r="356" ht="15.75" customHeight="1">
      <c r="F356" s="227"/>
    </row>
    <row r="357" ht="15.75" customHeight="1">
      <c r="F357" s="227"/>
    </row>
    <row r="358" ht="15.75" customHeight="1">
      <c r="F358" s="227"/>
    </row>
    <row r="359" ht="15.75" customHeight="1">
      <c r="F359" s="227"/>
    </row>
    <row r="360" ht="15.75" customHeight="1">
      <c r="F360" s="227"/>
    </row>
    <row r="361" ht="15.75" customHeight="1">
      <c r="F361" s="227"/>
    </row>
    <row r="362" ht="15.75" customHeight="1">
      <c r="F362" s="227"/>
    </row>
    <row r="363" ht="15.75" customHeight="1">
      <c r="F363" s="227"/>
    </row>
    <row r="364" ht="15.75" customHeight="1">
      <c r="F364" s="227"/>
    </row>
    <row r="365" ht="15.75" customHeight="1">
      <c r="F365" s="227"/>
    </row>
    <row r="366" ht="15.75" customHeight="1">
      <c r="F366" s="227"/>
    </row>
    <row r="367" ht="15.75" customHeight="1">
      <c r="F367" s="227"/>
    </row>
    <row r="368" ht="15.75" customHeight="1">
      <c r="F368" s="227"/>
    </row>
    <row r="369" ht="15.75" customHeight="1">
      <c r="F369" s="227"/>
    </row>
    <row r="370" ht="15.75" customHeight="1">
      <c r="F370" s="227"/>
    </row>
    <row r="371" ht="15.75" customHeight="1">
      <c r="F371" s="227"/>
    </row>
    <row r="372" ht="15.75" customHeight="1">
      <c r="F372" s="227"/>
    </row>
    <row r="373" ht="15.75" customHeight="1">
      <c r="F373" s="227"/>
    </row>
    <row r="374" ht="15.75" customHeight="1">
      <c r="F374" s="227"/>
    </row>
    <row r="375" ht="15.75" customHeight="1">
      <c r="F375" s="227"/>
    </row>
    <row r="376" ht="15.75" customHeight="1">
      <c r="F376" s="227"/>
    </row>
    <row r="377" ht="15.75" customHeight="1">
      <c r="F377" s="227"/>
    </row>
    <row r="378" ht="15.75" customHeight="1">
      <c r="F378" s="227"/>
    </row>
    <row r="379" ht="15.75" customHeight="1">
      <c r="F379" s="227"/>
    </row>
    <row r="380" ht="15.75" customHeight="1">
      <c r="F380" s="227"/>
    </row>
    <row r="381" ht="15.75" customHeight="1">
      <c r="F381" s="227"/>
    </row>
    <row r="382" ht="15.75" customHeight="1">
      <c r="F382" s="227"/>
    </row>
    <row r="383" ht="15.75" customHeight="1">
      <c r="F383" s="227"/>
    </row>
    <row r="384" ht="15.75" customHeight="1">
      <c r="F384" s="227"/>
    </row>
    <row r="385" ht="15.75" customHeight="1">
      <c r="F385" s="227"/>
    </row>
    <row r="386" ht="15.75" customHeight="1">
      <c r="F386" s="227"/>
    </row>
    <row r="387" ht="15.75" customHeight="1">
      <c r="F387" s="227"/>
    </row>
    <row r="388" ht="15.75" customHeight="1">
      <c r="F388" s="227"/>
    </row>
    <row r="389" ht="15.75" customHeight="1">
      <c r="F389" s="227"/>
    </row>
    <row r="390" ht="15.75" customHeight="1">
      <c r="F390" s="227"/>
    </row>
    <row r="391" ht="15.75" customHeight="1">
      <c r="F391" s="227"/>
    </row>
    <row r="392" ht="15.75" customHeight="1">
      <c r="F392" s="227"/>
    </row>
    <row r="393" ht="15.75" customHeight="1">
      <c r="F393" s="227"/>
    </row>
    <row r="394" ht="15.75" customHeight="1">
      <c r="F394" s="227"/>
    </row>
    <row r="395" ht="15.75" customHeight="1">
      <c r="F395" s="227"/>
    </row>
    <row r="396" ht="15.75" customHeight="1">
      <c r="F396" s="227"/>
    </row>
    <row r="397" ht="15.75" customHeight="1">
      <c r="F397" s="227"/>
    </row>
    <row r="398" ht="15.75" customHeight="1">
      <c r="F398" s="227"/>
    </row>
    <row r="399" ht="15.75" customHeight="1">
      <c r="F399" s="227"/>
    </row>
    <row r="400" ht="15.75" customHeight="1">
      <c r="F400" s="227"/>
    </row>
    <row r="401" ht="15.75" customHeight="1">
      <c r="F401" s="227"/>
    </row>
    <row r="402" ht="15.75" customHeight="1">
      <c r="F402" s="227"/>
    </row>
    <row r="403" ht="15.75" customHeight="1">
      <c r="F403" s="227"/>
    </row>
    <row r="404" ht="15.75" customHeight="1">
      <c r="F404" s="227"/>
    </row>
    <row r="405" ht="15.75" customHeight="1">
      <c r="F405" s="227"/>
    </row>
    <row r="406" ht="15.75" customHeight="1">
      <c r="F406" s="227"/>
    </row>
    <row r="407" ht="15.75" customHeight="1">
      <c r="F407" s="227"/>
    </row>
    <row r="408" ht="15.75" customHeight="1">
      <c r="F408" s="227"/>
    </row>
    <row r="409" ht="15.75" customHeight="1">
      <c r="F409" s="227"/>
    </row>
    <row r="410" ht="15.75" customHeight="1">
      <c r="F410" s="227"/>
    </row>
    <row r="411" ht="15.75" customHeight="1">
      <c r="F411" s="227"/>
    </row>
    <row r="412" ht="15.75" customHeight="1">
      <c r="F412" s="227"/>
    </row>
    <row r="413" ht="15.75" customHeight="1">
      <c r="F413" s="227"/>
    </row>
    <row r="414" ht="15.75" customHeight="1">
      <c r="F414" s="227"/>
    </row>
    <row r="415" ht="15.75" customHeight="1">
      <c r="F415" s="227"/>
    </row>
    <row r="416" ht="15.75" customHeight="1">
      <c r="F416" s="227"/>
    </row>
    <row r="417" ht="15.75" customHeight="1">
      <c r="F417" s="227"/>
    </row>
    <row r="418" ht="15.75" customHeight="1">
      <c r="F418" s="227"/>
    </row>
    <row r="419" ht="15.75" customHeight="1">
      <c r="F419" s="227"/>
    </row>
    <row r="420" ht="15.75" customHeight="1">
      <c r="F420" s="227"/>
    </row>
    <row r="421" ht="15.75" customHeight="1">
      <c r="F421" s="227"/>
    </row>
    <row r="422" ht="15.75" customHeight="1">
      <c r="F422" s="227"/>
    </row>
    <row r="423" ht="15.75" customHeight="1">
      <c r="F423" s="227"/>
    </row>
    <row r="424" ht="15.75" customHeight="1">
      <c r="F424" s="227"/>
    </row>
    <row r="425" ht="15.75" customHeight="1">
      <c r="F425" s="227"/>
    </row>
    <row r="426" ht="15.75" customHeight="1">
      <c r="F426" s="227"/>
    </row>
    <row r="427" ht="15.75" customHeight="1">
      <c r="F427" s="227"/>
    </row>
    <row r="428" ht="15.75" customHeight="1">
      <c r="F428" s="227"/>
    </row>
    <row r="429" ht="15.75" customHeight="1">
      <c r="F429" s="227"/>
    </row>
    <row r="430" ht="15.75" customHeight="1">
      <c r="F430" s="227"/>
    </row>
    <row r="431" ht="15.75" customHeight="1">
      <c r="F431" s="227"/>
    </row>
    <row r="432" ht="15.75" customHeight="1">
      <c r="F432" s="227"/>
    </row>
    <row r="433" ht="15.75" customHeight="1">
      <c r="F433" s="227"/>
    </row>
    <row r="434" ht="15.75" customHeight="1">
      <c r="F434" s="227"/>
    </row>
    <row r="435" ht="15.75" customHeight="1">
      <c r="F435" s="227"/>
    </row>
    <row r="436" ht="15.75" customHeight="1">
      <c r="F436" s="227"/>
    </row>
    <row r="437" ht="15.75" customHeight="1">
      <c r="F437" s="227"/>
    </row>
    <row r="438" ht="15.75" customHeight="1">
      <c r="F438" s="227"/>
    </row>
    <row r="439" ht="15.75" customHeight="1">
      <c r="F439" s="227"/>
    </row>
    <row r="440" ht="15.75" customHeight="1">
      <c r="F440" s="227"/>
    </row>
    <row r="441" ht="15.75" customHeight="1">
      <c r="F441" s="227"/>
    </row>
    <row r="442" ht="15.75" customHeight="1">
      <c r="F442" s="227"/>
    </row>
    <row r="443" ht="15.75" customHeight="1">
      <c r="F443" s="227"/>
    </row>
    <row r="444" ht="15.75" customHeight="1">
      <c r="F444" s="227"/>
    </row>
    <row r="445" ht="15.75" customHeight="1">
      <c r="F445" s="227"/>
    </row>
    <row r="446" ht="15.75" customHeight="1">
      <c r="F446" s="227"/>
    </row>
    <row r="447" ht="15.75" customHeight="1">
      <c r="F447" s="227"/>
    </row>
    <row r="448" ht="15.75" customHeight="1">
      <c r="F448" s="227"/>
    </row>
    <row r="449" ht="15.75" customHeight="1">
      <c r="F449" s="227"/>
    </row>
    <row r="450" ht="15.75" customHeight="1">
      <c r="F450" s="227"/>
    </row>
    <row r="451" ht="15.75" customHeight="1">
      <c r="F451" s="227"/>
    </row>
    <row r="452" ht="15.75" customHeight="1">
      <c r="F452" s="227"/>
    </row>
    <row r="453" ht="15.75" customHeight="1">
      <c r="F453" s="227"/>
    </row>
    <row r="454" ht="15.75" customHeight="1">
      <c r="F454" s="227"/>
    </row>
    <row r="455" ht="15.75" customHeight="1">
      <c r="F455" s="227"/>
    </row>
    <row r="456" ht="15.75" customHeight="1">
      <c r="F456" s="227"/>
    </row>
    <row r="457" ht="15.75" customHeight="1">
      <c r="F457" s="227"/>
    </row>
    <row r="458" ht="15.75" customHeight="1">
      <c r="F458" s="227"/>
    </row>
    <row r="459" ht="15.75" customHeight="1">
      <c r="F459" s="227"/>
    </row>
    <row r="460" ht="15.75" customHeight="1">
      <c r="F460" s="227"/>
    </row>
    <row r="461" ht="15.75" customHeight="1">
      <c r="F461" s="227"/>
    </row>
    <row r="462" ht="15.75" customHeight="1">
      <c r="F462" s="227"/>
    </row>
    <row r="463" ht="15.75" customHeight="1">
      <c r="F463" s="227"/>
    </row>
    <row r="464" ht="15.75" customHeight="1">
      <c r="F464" s="227"/>
    </row>
    <row r="465" ht="15.75" customHeight="1">
      <c r="F465" s="227"/>
    </row>
    <row r="466" ht="15.75" customHeight="1">
      <c r="F466" s="227"/>
    </row>
    <row r="467" ht="15.75" customHeight="1">
      <c r="F467" s="227"/>
    </row>
    <row r="468" ht="15.75" customHeight="1">
      <c r="F468" s="227"/>
    </row>
    <row r="469" ht="15.75" customHeight="1">
      <c r="F469" s="227"/>
    </row>
    <row r="470" ht="15.75" customHeight="1">
      <c r="F470" s="227"/>
    </row>
    <row r="471" ht="15.75" customHeight="1">
      <c r="F471" s="227"/>
    </row>
    <row r="472" ht="15.75" customHeight="1">
      <c r="F472" s="227"/>
    </row>
    <row r="473" ht="15.75" customHeight="1">
      <c r="F473" s="227"/>
    </row>
    <row r="474" ht="15.75" customHeight="1">
      <c r="F474" s="227"/>
    </row>
    <row r="475" ht="15.75" customHeight="1">
      <c r="F475" s="227"/>
    </row>
    <row r="476" ht="15.75" customHeight="1">
      <c r="F476" s="227"/>
    </row>
    <row r="477" ht="15.75" customHeight="1">
      <c r="F477" s="227"/>
    </row>
    <row r="478" ht="15.75" customHeight="1">
      <c r="F478" s="227"/>
    </row>
    <row r="479" ht="15.75" customHeight="1">
      <c r="F479" s="227"/>
    </row>
    <row r="480" ht="15.75" customHeight="1">
      <c r="F480" s="227"/>
    </row>
    <row r="481" ht="15.75" customHeight="1">
      <c r="F481" s="227"/>
    </row>
    <row r="482" ht="15.75" customHeight="1">
      <c r="F482" s="227"/>
    </row>
    <row r="483" ht="15.75" customHeight="1">
      <c r="F483" s="227"/>
    </row>
    <row r="484" ht="15.75" customHeight="1">
      <c r="F484" s="227"/>
    </row>
    <row r="485" ht="15.75" customHeight="1">
      <c r="F485" s="227"/>
    </row>
    <row r="486" ht="15.75" customHeight="1">
      <c r="F486" s="227"/>
    </row>
    <row r="487" ht="15.75" customHeight="1">
      <c r="F487" s="227"/>
    </row>
    <row r="488" ht="15.75" customHeight="1">
      <c r="F488" s="227"/>
    </row>
    <row r="489" ht="15.75" customHeight="1">
      <c r="F489" s="227"/>
    </row>
    <row r="490" ht="15.75" customHeight="1">
      <c r="F490" s="227"/>
    </row>
    <row r="491" ht="15.75" customHeight="1">
      <c r="F491" s="227"/>
    </row>
    <row r="492" ht="15.75" customHeight="1">
      <c r="F492" s="227"/>
    </row>
    <row r="493" ht="15.75" customHeight="1">
      <c r="F493" s="227"/>
    </row>
    <row r="494" ht="15.75" customHeight="1">
      <c r="F494" s="227"/>
    </row>
    <row r="495" ht="15.75" customHeight="1">
      <c r="F495" s="227"/>
    </row>
    <row r="496" ht="15.75" customHeight="1">
      <c r="F496" s="227"/>
    </row>
    <row r="497" ht="15.75" customHeight="1">
      <c r="F497" s="227"/>
    </row>
    <row r="498" ht="15.75" customHeight="1">
      <c r="F498" s="227"/>
    </row>
    <row r="499" ht="15.75" customHeight="1">
      <c r="F499" s="227"/>
    </row>
    <row r="500" ht="15.75" customHeight="1">
      <c r="F500" s="227"/>
    </row>
    <row r="501" ht="15.75" customHeight="1">
      <c r="F501" s="227"/>
    </row>
    <row r="502" ht="15.75" customHeight="1">
      <c r="F502" s="227"/>
    </row>
    <row r="503" ht="15.75" customHeight="1">
      <c r="F503" s="227"/>
    </row>
    <row r="504" ht="15.75" customHeight="1">
      <c r="F504" s="227"/>
    </row>
    <row r="505" ht="15.75" customHeight="1">
      <c r="F505" s="227"/>
    </row>
    <row r="506" ht="15.75" customHeight="1">
      <c r="F506" s="227"/>
    </row>
    <row r="507" ht="15.75" customHeight="1">
      <c r="F507" s="227"/>
    </row>
    <row r="508" ht="15.75" customHeight="1">
      <c r="F508" s="227"/>
    </row>
    <row r="509" ht="15.75" customHeight="1">
      <c r="F509" s="227"/>
    </row>
    <row r="510" ht="15.75" customHeight="1">
      <c r="F510" s="227"/>
    </row>
    <row r="511" ht="15.75" customHeight="1">
      <c r="F511" s="227"/>
    </row>
    <row r="512" ht="15.75" customHeight="1">
      <c r="F512" s="227"/>
    </row>
    <row r="513" ht="15.75" customHeight="1">
      <c r="F513" s="227"/>
    </row>
    <row r="514" ht="15.75" customHeight="1">
      <c r="F514" s="227"/>
    </row>
    <row r="515" ht="15.75" customHeight="1">
      <c r="F515" s="227"/>
    </row>
    <row r="516" ht="15.75" customHeight="1">
      <c r="F516" s="227"/>
    </row>
    <row r="517" ht="15.75" customHeight="1">
      <c r="F517" s="227"/>
    </row>
    <row r="518" ht="15.75" customHeight="1">
      <c r="F518" s="227"/>
    </row>
    <row r="519" ht="15.75" customHeight="1">
      <c r="F519" s="227"/>
    </row>
    <row r="520" ht="15.75" customHeight="1">
      <c r="F520" s="227"/>
    </row>
    <row r="521" ht="15.75" customHeight="1">
      <c r="F521" s="227"/>
    </row>
    <row r="522" ht="15.75" customHeight="1">
      <c r="F522" s="227"/>
    </row>
    <row r="523" ht="15.75" customHeight="1">
      <c r="F523" s="227"/>
    </row>
    <row r="524" ht="15.75" customHeight="1">
      <c r="F524" s="227"/>
    </row>
    <row r="525" ht="15.75" customHeight="1">
      <c r="F525" s="227"/>
    </row>
    <row r="526" ht="15.75" customHeight="1">
      <c r="F526" s="227"/>
    </row>
    <row r="527" ht="15.75" customHeight="1">
      <c r="F527" s="227"/>
    </row>
    <row r="528" ht="15.75" customHeight="1">
      <c r="F528" s="227"/>
    </row>
    <row r="529" ht="15.75" customHeight="1">
      <c r="F529" s="227"/>
    </row>
    <row r="530" ht="15.75" customHeight="1">
      <c r="F530" s="227"/>
    </row>
    <row r="531" ht="15.75" customHeight="1">
      <c r="F531" s="227"/>
    </row>
    <row r="532" ht="15.75" customHeight="1">
      <c r="F532" s="227"/>
    </row>
    <row r="533" ht="15.75" customHeight="1">
      <c r="F533" s="227"/>
    </row>
    <row r="534" ht="15.75" customHeight="1">
      <c r="F534" s="227"/>
    </row>
    <row r="535" ht="15.75" customHeight="1">
      <c r="F535" s="227"/>
    </row>
    <row r="536" ht="15.75" customHeight="1">
      <c r="F536" s="227"/>
    </row>
    <row r="537" ht="15.75" customHeight="1">
      <c r="F537" s="227"/>
    </row>
    <row r="538" ht="15.75" customHeight="1">
      <c r="F538" s="227"/>
    </row>
    <row r="539" ht="15.75" customHeight="1">
      <c r="F539" s="227"/>
    </row>
    <row r="540" ht="15.75" customHeight="1">
      <c r="F540" s="227"/>
    </row>
    <row r="541" ht="15.75" customHeight="1">
      <c r="F541" s="227"/>
    </row>
    <row r="542" ht="15.75" customHeight="1">
      <c r="F542" s="227"/>
    </row>
    <row r="543" ht="15.75" customHeight="1">
      <c r="F543" s="227"/>
    </row>
    <row r="544" ht="15.75" customHeight="1">
      <c r="F544" s="227"/>
    </row>
    <row r="545" ht="15.75" customHeight="1">
      <c r="F545" s="227"/>
    </row>
    <row r="546" ht="15.75" customHeight="1">
      <c r="F546" s="227"/>
    </row>
    <row r="547" ht="15.75" customHeight="1">
      <c r="F547" s="227"/>
    </row>
    <row r="548" ht="15.75" customHeight="1">
      <c r="F548" s="227"/>
    </row>
    <row r="549" ht="15.75" customHeight="1">
      <c r="F549" s="227"/>
    </row>
    <row r="550" ht="15.75" customHeight="1">
      <c r="F550" s="227"/>
    </row>
    <row r="551" ht="15.75" customHeight="1">
      <c r="F551" s="227"/>
    </row>
    <row r="552" ht="15.75" customHeight="1">
      <c r="F552" s="227"/>
    </row>
    <row r="553" ht="15.75" customHeight="1">
      <c r="F553" s="227"/>
    </row>
    <row r="554" ht="15.75" customHeight="1">
      <c r="F554" s="227"/>
    </row>
    <row r="555" ht="15.75" customHeight="1">
      <c r="F555" s="227"/>
    </row>
    <row r="556" ht="15.75" customHeight="1">
      <c r="F556" s="227"/>
    </row>
    <row r="557" ht="15.75" customHeight="1">
      <c r="F557" s="227"/>
    </row>
    <row r="558" ht="15.75" customHeight="1">
      <c r="F558" s="227"/>
    </row>
    <row r="559" ht="15.75" customHeight="1">
      <c r="F559" s="227"/>
    </row>
    <row r="560" ht="15.75" customHeight="1">
      <c r="F560" s="227"/>
    </row>
    <row r="561" ht="15.75" customHeight="1">
      <c r="F561" s="227"/>
    </row>
    <row r="562" ht="15.75" customHeight="1">
      <c r="F562" s="227"/>
    </row>
    <row r="563" ht="15.75" customHeight="1">
      <c r="F563" s="227"/>
    </row>
    <row r="564" ht="15.75" customHeight="1">
      <c r="F564" s="227"/>
    </row>
    <row r="565" ht="15.75" customHeight="1">
      <c r="F565" s="227"/>
    </row>
    <row r="566" ht="15.75" customHeight="1">
      <c r="F566" s="227"/>
    </row>
    <row r="567" ht="15.75" customHeight="1">
      <c r="F567" s="227"/>
    </row>
    <row r="568" ht="15.75" customHeight="1">
      <c r="F568" s="227"/>
    </row>
    <row r="569" ht="15.75" customHeight="1">
      <c r="F569" s="227"/>
    </row>
    <row r="570" ht="15.75" customHeight="1">
      <c r="F570" s="227"/>
    </row>
    <row r="571" ht="15.75" customHeight="1">
      <c r="F571" s="227"/>
    </row>
    <row r="572" ht="15.75" customHeight="1">
      <c r="F572" s="227"/>
    </row>
    <row r="573" ht="15.75" customHeight="1">
      <c r="F573" s="227"/>
    </row>
    <row r="574" ht="15.75" customHeight="1">
      <c r="F574" s="227"/>
    </row>
    <row r="575" ht="15.75" customHeight="1">
      <c r="F575" s="227"/>
    </row>
    <row r="576" ht="15.75" customHeight="1">
      <c r="F576" s="227"/>
    </row>
    <row r="577" ht="15.75" customHeight="1">
      <c r="F577" s="227"/>
    </row>
    <row r="578" ht="15.75" customHeight="1">
      <c r="F578" s="227"/>
    </row>
    <row r="579" ht="15.75" customHeight="1">
      <c r="F579" s="227"/>
    </row>
    <row r="580" ht="15.75" customHeight="1">
      <c r="F580" s="227"/>
    </row>
    <row r="581" ht="15.75" customHeight="1">
      <c r="F581" s="227"/>
    </row>
    <row r="582" ht="15.75" customHeight="1">
      <c r="F582" s="227"/>
    </row>
    <row r="583" ht="15.75" customHeight="1">
      <c r="F583" s="227"/>
    </row>
    <row r="584" ht="15.75" customHeight="1">
      <c r="F584" s="227"/>
    </row>
    <row r="585" ht="15.75" customHeight="1">
      <c r="F585" s="227"/>
    </row>
    <row r="586" ht="15.75" customHeight="1">
      <c r="F586" s="227"/>
    </row>
    <row r="587" ht="15.75" customHeight="1">
      <c r="F587" s="227"/>
    </row>
    <row r="588" ht="15.75" customHeight="1">
      <c r="F588" s="227"/>
    </row>
    <row r="589" ht="15.75" customHeight="1">
      <c r="F589" s="227"/>
    </row>
    <row r="590" ht="15.75" customHeight="1">
      <c r="F590" s="227"/>
    </row>
    <row r="591" ht="15.75" customHeight="1">
      <c r="F591" s="227"/>
    </row>
    <row r="592" ht="15.75" customHeight="1">
      <c r="F592" s="227"/>
    </row>
    <row r="593" ht="15.75" customHeight="1">
      <c r="F593" s="227"/>
    </row>
    <row r="594" ht="15.75" customHeight="1">
      <c r="F594" s="227"/>
    </row>
    <row r="595" ht="15.75" customHeight="1">
      <c r="F595" s="227"/>
    </row>
    <row r="596" ht="15.75" customHeight="1">
      <c r="F596" s="227"/>
    </row>
    <row r="597" ht="15.75" customHeight="1">
      <c r="F597" s="227"/>
    </row>
    <row r="598" ht="15.75" customHeight="1">
      <c r="F598" s="227"/>
    </row>
    <row r="599" ht="15.75" customHeight="1">
      <c r="F599" s="227"/>
    </row>
    <row r="600" ht="15.75" customHeight="1">
      <c r="F600" s="227"/>
    </row>
    <row r="601" ht="15.75" customHeight="1">
      <c r="F601" s="227"/>
    </row>
    <row r="602" ht="15.75" customHeight="1">
      <c r="F602" s="227"/>
    </row>
    <row r="603" ht="15.75" customHeight="1">
      <c r="F603" s="227"/>
    </row>
    <row r="604" ht="15.75" customHeight="1">
      <c r="F604" s="227"/>
    </row>
    <row r="605" ht="15.75" customHeight="1">
      <c r="F605" s="227"/>
    </row>
    <row r="606" ht="15.75" customHeight="1">
      <c r="F606" s="227"/>
    </row>
    <row r="607" ht="15.75" customHeight="1">
      <c r="F607" s="227"/>
    </row>
    <row r="608" ht="15.75" customHeight="1">
      <c r="F608" s="227"/>
    </row>
    <row r="609" ht="15.75" customHeight="1">
      <c r="F609" s="227"/>
    </row>
    <row r="610" ht="15.75" customHeight="1">
      <c r="F610" s="227"/>
    </row>
    <row r="611" ht="15.75" customHeight="1">
      <c r="F611" s="227"/>
    </row>
    <row r="612" ht="15.75" customHeight="1">
      <c r="F612" s="227"/>
    </row>
    <row r="613" ht="15.75" customHeight="1">
      <c r="F613" s="227"/>
    </row>
    <row r="614" ht="15.75" customHeight="1">
      <c r="F614" s="227"/>
    </row>
    <row r="615" ht="15.75" customHeight="1">
      <c r="F615" s="227"/>
    </row>
    <row r="616" ht="15.75" customHeight="1">
      <c r="F616" s="227"/>
    </row>
    <row r="617" ht="15.75" customHeight="1">
      <c r="F617" s="227"/>
    </row>
    <row r="618" ht="15.75" customHeight="1">
      <c r="F618" s="227"/>
    </row>
    <row r="619" ht="15.75" customHeight="1">
      <c r="F619" s="227"/>
    </row>
    <row r="620" ht="15.75" customHeight="1">
      <c r="F620" s="227"/>
    </row>
    <row r="621" ht="15.75" customHeight="1">
      <c r="F621" s="227"/>
    </row>
    <row r="622" ht="15.75" customHeight="1">
      <c r="F622" s="227"/>
    </row>
    <row r="623" ht="15.75" customHeight="1">
      <c r="F623" s="227"/>
    </row>
    <row r="624" ht="15.75" customHeight="1">
      <c r="F624" s="227"/>
    </row>
    <row r="625" ht="15.75" customHeight="1">
      <c r="F625" s="227"/>
    </row>
    <row r="626" ht="15.75" customHeight="1">
      <c r="F626" s="227"/>
    </row>
    <row r="627" ht="15.75" customHeight="1">
      <c r="F627" s="227"/>
    </row>
    <row r="628" ht="15.75" customHeight="1">
      <c r="F628" s="227"/>
    </row>
    <row r="629" ht="15.75" customHeight="1">
      <c r="F629" s="227"/>
    </row>
    <row r="630" ht="15.75" customHeight="1">
      <c r="F630" s="227"/>
    </row>
    <row r="631" ht="15.75" customHeight="1">
      <c r="F631" s="227"/>
    </row>
    <row r="632" ht="15.75" customHeight="1">
      <c r="F632" s="227"/>
    </row>
    <row r="633" ht="15.75" customHeight="1">
      <c r="F633" s="227"/>
    </row>
    <row r="634" ht="15.75" customHeight="1">
      <c r="F634" s="227"/>
    </row>
    <row r="635" ht="15.75" customHeight="1">
      <c r="F635" s="227"/>
    </row>
    <row r="636" ht="15.75" customHeight="1">
      <c r="F636" s="227"/>
    </row>
    <row r="637" ht="15.75" customHeight="1">
      <c r="F637" s="227"/>
    </row>
    <row r="638" ht="15.75" customHeight="1">
      <c r="F638" s="227"/>
    </row>
    <row r="639" ht="15.75" customHeight="1">
      <c r="F639" s="227"/>
    </row>
    <row r="640" ht="15.75" customHeight="1">
      <c r="F640" s="227"/>
    </row>
    <row r="641" ht="15.75" customHeight="1">
      <c r="F641" s="227"/>
    </row>
    <row r="642" ht="15.75" customHeight="1">
      <c r="F642" s="227"/>
    </row>
    <row r="643" ht="15.75" customHeight="1">
      <c r="F643" s="227"/>
    </row>
    <row r="644" ht="15.75" customHeight="1">
      <c r="F644" s="227"/>
    </row>
    <row r="645" ht="15.75" customHeight="1">
      <c r="F645" s="227"/>
    </row>
    <row r="646" ht="15.75" customHeight="1">
      <c r="F646" s="227"/>
    </row>
    <row r="647" ht="15.75" customHeight="1">
      <c r="F647" s="227"/>
    </row>
    <row r="648" ht="15.75" customHeight="1">
      <c r="F648" s="227"/>
    </row>
    <row r="649" ht="15.75" customHeight="1">
      <c r="F649" s="227"/>
    </row>
    <row r="650" ht="15.75" customHeight="1">
      <c r="F650" s="227"/>
    </row>
    <row r="651" ht="15.75" customHeight="1">
      <c r="F651" s="227"/>
    </row>
    <row r="652" ht="15.75" customHeight="1">
      <c r="F652" s="227"/>
    </row>
    <row r="653" ht="15.75" customHeight="1">
      <c r="F653" s="227"/>
    </row>
    <row r="654" ht="15.75" customHeight="1">
      <c r="F654" s="227"/>
    </row>
    <row r="655" ht="15.75" customHeight="1">
      <c r="F655" s="227"/>
    </row>
    <row r="656" ht="15.75" customHeight="1">
      <c r="F656" s="227"/>
    </row>
    <row r="657" ht="15.75" customHeight="1">
      <c r="F657" s="227"/>
    </row>
    <row r="658" ht="15.75" customHeight="1">
      <c r="F658" s="227"/>
    </row>
    <row r="659" ht="15.75" customHeight="1">
      <c r="F659" s="227"/>
    </row>
    <row r="660" ht="15.75" customHeight="1">
      <c r="F660" s="227"/>
    </row>
    <row r="661" ht="15.75" customHeight="1">
      <c r="F661" s="227"/>
    </row>
    <row r="662" ht="15.75" customHeight="1">
      <c r="F662" s="227"/>
    </row>
    <row r="663" ht="15.75" customHeight="1">
      <c r="F663" s="227"/>
    </row>
    <row r="664" ht="15.75" customHeight="1">
      <c r="F664" s="227"/>
    </row>
    <row r="665" ht="15.75" customHeight="1">
      <c r="F665" s="227"/>
    </row>
    <row r="666" ht="15.75" customHeight="1">
      <c r="F666" s="227"/>
    </row>
    <row r="667" ht="15.75" customHeight="1">
      <c r="F667" s="227"/>
    </row>
    <row r="668" ht="15.75" customHeight="1">
      <c r="F668" s="227"/>
    </row>
    <row r="669" ht="15.75" customHeight="1">
      <c r="F669" s="227"/>
    </row>
    <row r="670" ht="15.75" customHeight="1">
      <c r="F670" s="227"/>
    </row>
    <row r="671" ht="15.75" customHeight="1">
      <c r="F671" s="227"/>
    </row>
    <row r="672" ht="15.75" customHeight="1">
      <c r="F672" s="227"/>
    </row>
    <row r="673" ht="15.75" customHeight="1">
      <c r="F673" s="227"/>
    </row>
    <row r="674" ht="15.75" customHeight="1">
      <c r="F674" s="227"/>
    </row>
    <row r="675" ht="15.75" customHeight="1">
      <c r="F675" s="227"/>
    </row>
    <row r="676" ht="15.75" customHeight="1">
      <c r="F676" s="227"/>
    </row>
    <row r="677" ht="15.75" customHeight="1">
      <c r="F677" s="227"/>
    </row>
    <row r="678" ht="15.75" customHeight="1">
      <c r="F678" s="227"/>
    </row>
    <row r="679" ht="15.75" customHeight="1">
      <c r="F679" s="227"/>
    </row>
    <row r="680" ht="15.75" customHeight="1">
      <c r="F680" s="227"/>
    </row>
    <row r="681" ht="15.75" customHeight="1">
      <c r="F681" s="227"/>
    </row>
    <row r="682" ht="15.75" customHeight="1">
      <c r="F682" s="227"/>
    </row>
    <row r="683" ht="15.75" customHeight="1">
      <c r="F683" s="227"/>
    </row>
    <row r="684" ht="15.75" customHeight="1">
      <c r="F684" s="227"/>
    </row>
    <row r="685" ht="15.75" customHeight="1">
      <c r="F685" s="227"/>
    </row>
    <row r="686" ht="15.75" customHeight="1">
      <c r="F686" s="227"/>
    </row>
    <row r="687" ht="15.75" customHeight="1">
      <c r="F687" s="227"/>
    </row>
    <row r="688" ht="15.75" customHeight="1">
      <c r="F688" s="227"/>
    </row>
    <row r="689" ht="15.75" customHeight="1">
      <c r="F689" s="227"/>
    </row>
    <row r="690" ht="15.75" customHeight="1">
      <c r="F690" s="227"/>
    </row>
    <row r="691" ht="15.75" customHeight="1">
      <c r="F691" s="227"/>
    </row>
    <row r="692" ht="15.75" customHeight="1">
      <c r="F692" s="227"/>
    </row>
    <row r="693" ht="15.75" customHeight="1">
      <c r="F693" s="227"/>
    </row>
    <row r="694" ht="15.75" customHeight="1">
      <c r="F694" s="227"/>
    </row>
    <row r="695" ht="15.75" customHeight="1">
      <c r="F695" s="227"/>
    </row>
    <row r="696" ht="15.75" customHeight="1">
      <c r="F696" s="227"/>
    </row>
    <row r="697" ht="15.75" customHeight="1">
      <c r="F697" s="227"/>
    </row>
    <row r="698" ht="15.75" customHeight="1">
      <c r="F698" s="227"/>
    </row>
    <row r="699" ht="15.75" customHeight="1">
      <c r="F699" s="227"/>
    </row>
    <row r="700" ht="15.75" customHeight="1">
      <c r="F700" s="227"/>
    </row>
    <row r="701" ht="15.75" customHeight="1">
      <c r="F701" s="227"/>
    </row>
    <row r="702" ht="15.75" customHeight="1">
      <c r="F702" s="227"/>
    </row>
    <row r="703" ht="15.75" customHeight="1">
      <c r="F703" s="227"/>
    </row>
    <row r="704" ht="15.75" customHeight="1">
      <c r="F704" s="227"/>
    </row>
    <row r="705" ht="15.75" customHeight="1">
      <c r="F705" s="227"/>
    </row>
    <row r="706" ht="15.75" customHeight="1">
      <c r="F706" s="227"/>
    </row>
    <row r="707" ht="15.75" customHeight="1">
      <c r="F707" s="227"/>
    </row>
    <row r="708" ht="15.75" customHeight="1">
      <c r="F708" s="227"/>
    </row>
    <row r="709" ht="15.75" customHeight="1">
      <c r="F709" s="227"/>
    </row>
    <row r="710" ht="15.75" customHeight="1">
      <c r="F710" s="227"/>
    </row>
    <row r="711" ht="15.75" customHeight="1">
      <c r="F711" s="227"/>
    </row>
    <row r="712" ht="15.75" customHeight="1">
      <c r="F712" s="227"/>
    </row>
    <row r="713" ht="15.75" customHeight="1">
      <c r="F713" s="227"/>
    </row>
    <row r="714" ht="15.75" customHeight="1">
      <c r="F714" s="227"/>
    </row>
    <row r="715" ht="15.75" customHeight="1">
      <c r="F715" s="227"/>
    </row>
    <row r="716" ht="15.75" customHeight="1">
      <c r="F716" s="227"/>
    </row>
    <row r="717" ht="15.75" customHeight="1">
      <c r="F717" s="227"/>
    </row>
    <row r="718" ht="15.75" customHeight="1">
      <c r="F718" s="227"/>
    </row>
    <row r="719" ht="15.75" customHeight="1">
      <c r="F719" s="227"/>
    </row>
    <row r="720" ht="15.75" customHeight="1">
      <c r="F720" s="227"/>
    </row>
    <row r="721" ht="15.75" customHeight="1">
      <c r="F721" s="227"/>
    </row>
    <row r="722" ht="15.75" customHeight="1">
      <c r="F722" s="227"/>
    </row>
    <row r="723" ht="15.75" customHeight="1">
      <c r="F723" s="227"/>
    </row>
    <row r="724" ht="15.75" customHeight="1">
      <c r="F724" s="227"/>
    </row>
    <row r="725" ht="15.75" customHeight="1">
      <c r="F725" s="227"/>
    </row>
    <row r="726" ht="15.75" customHeight="1">
      <c r="F726" s="227"/>
    </row>
    <row r="727" ht="15.75" customHeight="1">
      <c r="F727" s="227"/>
    </row>
    <row r="728" ht="15.75" customHeight="1">
      <c r="F728" s="227"/>
    </row>
    <row r="729" ht="15.75" customHeight="1">
      <c r="F729" s="227"/>
    </row>
    <row r="730" ht="15.75" customHeight="1">
      <c r="F730" s="227"/>
    </row>
    <row r="731" ht="15.75" customHeight="1">
      <c r="F731" s="227"/>
    </row>
    <row r="732" ht="15.75" customHeight="1">
      <c r="F732" s="227"/>
    </row>
    <row r="733" ht="15.75" customHeight="1">
      <c r="F733" s="227"/>
    </row>
    <row r="734" ht="15.75" customHeight="1">
      <c r="F734" s="227"/>
    </row>
    <row r="735" ht="15.75" customHeight="1">
      <c r="F735" s="227"/>
    </row>
    <row r="736" ht="15.75" customHeight="1">
      <c r="F736" s="227"/>
    </row>
    <row r="737" ht="15.75" customHeight="1">
      <c r="F737" s="227"/>
    </row>
    <row r="738" ht="15.75" customHeight="1">
      <c r="F738" s="227"/>
    </row>
    <row r="739" ht="15.75" customHeight="1">
      <c r="F739" s="227"/>
    </row>
    <row r="740" ht="15.75" customHeight="1">
      <c r="F740" s="227"/>
    </row>
    <row r="741" ht="15.75" customHeight="1">
      <c r="F741" s="227"/>
    </row>
    <row r="742" ht="15.75" customHeight="1">
      <c r="F742" s="227"/>
    </row>
    <row r="743" ht="15.75" customHeight="1">
      <c r="F743" s="227"/>
    </row>
    <row r="744" ht="15.75" customHeight="1">
      <c r="F744" s="227"/>
    </row>
    <row r="745" ht="15.75" customHeight="1">
      <c r="F745" s="227"/>
    </row>
    <row r="746" ht="15.75" customHeight="1">
      <c r="F746" s="227"/>
    </row>
    <row r="747" ht="15.75" customHeight="1">
      <c r="F747" s="227"/>
    </row>
    <row r="748" ht="15.75" customHeight="1">
      <c r="F748" s="227"/>
    </row>
    <row r="749" ht="15.75" customHeight="1">
      <c r="F749" s="227"/>
    </row>
    <row r="750" ht="15.75" customHeight="1">
      <c r="F750" s="227"/>
    </row>
    <row r="751" ht="15.75" customHeight="1">
      <c r="F751" s="227"/>
    </row>
    <row r="752" ht="15.75" customHeight="1">
      <c r="F752" s="227"/>
    </row>
    <row r="753" ht="15.75" customHeight="1">
      <c r="F753" s="227"/>
    </row>
    <row r="754" ht="15.75" customHeight="1">
      <c r="F754" s="227"/>
    </row>
    <row r="755" ht="15.75" customHeight="1">
      <c r="F755" s="227"/>
    </row>
    <row r="756" ht="15.75" customHeight="1">
      <c r="F756" s="227"/>
    </row>
    <row r="757" ht="15.75" customHeight="1">
      <c r="F757" s="227"/>
    </row>
    <row r="758" ht="15.75" customHeight="1">
      <c r="F758" s="227"/>
    </row>
    <row r="759" ht="15.75" customHeight="1">
      <c r="F759" s="227"/>
    </row>
    <row r="760" ht="15.75" customHeight="1">
      <c r="F760" s="227"/>
    </row>
    <row r="761" ht="15.75" customHeight="1">
      <c r="F761" s="227"/>
    </row>
    <row r="762" ht="15.75" customHeight="1">
      <c r="F762" s="227"/>
    </row>
    <row r="763" ht="15.75" customHeight="1">
      <c r="F763" s="227"/>
    </row>
    <row r="764" ht="15.75" customHeight="1">
      <c r="F764" s="227"/>
    </row>
    <row r="765" ht="15.75" customHeight="1">
      <c r="F765" s="227"/>
    </row>
    <row r="766" ht="15.75" customHeight="1">
      <c r="F766" s="227"/>
    </row>
    <row r="767" ht="15.75" customHeight="1">
      <c r="F767" s="227"/>
    </row>
    <row r="768" ht="15.75" customHeight="1">
      <c r="F768" s="227"/>
    </row>
    <row r="769" ht="15.75" customHeight="1">
      <c r="F769" s="227"/>
    </row>
    <row r="770" ht="15.75" customHeight="1">
      <c r="F770" s="227"/>
    </row>
    <row r="771" ht="15.75" customHeight="1">
      <c r="F771" s="227"/>
    </row>
    <row r="772" ht="15.75" customHeight="1">
      <c r="F772" s="227"/>
    </row>
    <row r="773" ht="15.75" customHeight="1">
      <c r="F773" s="227"/>
    </row>
    <row r="774" ht="15.75" customHeight="1">
      <c r="F774" s="227"/>
    </row>
    <row r="775" ht="15.75" customHeight="1">
      <c r="F775" s="227"/>
    </row>
    <row r="776" ht="15.75" customHeight="1">
      <c r="F776" s="227"/>
    </row>
    <row r="777" ht="15.75" customHeight="1">
      <c r="F777" s="227"/>
    </row>
    <row r="778" ht="15.75" customHeight="1">
      <c r="F778" s="227"/>
    </row>
    <row r="779" ht="15.75" customHeight="1">
      <c r="F779" s="227"/>
    </row>
    <row r="780" ht="15.75" customHeight="1">
      <c r="F780" s="227"/>
    </row>
    <row r="781" ht="15.75" customHeight="1">
      <c r="F781" s="227"/>
    </row>
    <row r="782" ht="15.75" customHeight="1">
      <c r="F782" s="227"/>
    </row>
    <row r="783" ht="15.75" customHeight="1">
      <c r="F783" s="227"/>
    </row>
    <row r="784" ht="15.75" customHeight="1">
      <c r="F784" s="227"/>
    </row>
    <row r="785" ht="15.75" customHeight="1">
      <c r="F785" s="227"/>
    </row>
    <row r="786" ht="15.75" customHeight="1">
      <c r="F786" s="227"/>
    </row>
    <row r="787" ht="15.75" customHeight="1">
      <c r="F787" s="227"/>
    </row>
    <row r="788" ht="15.75" customHeight="1">
      <c r="F788" s="227"/>
    </row>
    <row r="789" ht="15.75" customHeight="1">
      <c r="F789" s="227"/>
    </row>
    <row r="790" ht="15.75" customHeight="1">
      <c r="F790" s="227"/>
    </row>
    <row r="791" ht="15.75" customHeight="1">
      <c r="F791" s="227"/>
    </row>
    <row r="792" ht="15.75" customHeight="1">
      <c r="F792" s="227"/>
    </row>
    <row r="793" ht="15.75" customHeight="1">
      <c r="F793" s="227"/>
    </row>
    <row r="794" ht="15.75" customHeight="1">
      <c r="F794" s="227"/>
    </row>
    <row r="795" ht="15.75" customHeight="1">
      <c r="F795" s="227"/>
    </row>
    <row r="796" ht="15.75" customHeight="1">
      <c r="F796" s="227"/>
    </row>
    <row r="797" ht="15.75" customHeight="1">
      <c r="F797" s="227"/>
    </row>
    <row r="798" ht="15.75" customHeight="1">
      <c r="F798" s="227"/>
    </row>
    <row r="799" ht="15.75" customHeight="1">
      <c r="F799" s="227"/>
    </row>
    <row r="800" ht="15.75" customHeight="1">
      <c r="F800" s="227"/>
    </row>
    <row r="801" ht="15.75" customHeight="1">
      <c r="F801" s="227"/>
    </row>
    <row r="802" ht="15.75" customHeight="1">
      <c r="F802" s="227"/>
    </row>
    <row r="803" ht="15.75" customHeight="1">
      <c r="F803" s="227"/>
    </row>
    <row r="804" ht="15.75" customHeight="1">
      <c r="F804" s="227"/>
    </row>
    <row r="805" ht="15.75" customHeight="1">
      <c r="F805" s="227"/>
    </row>
    <row r="806" ht="15.75" customHeight="1">
      <c r="F806" s="227"/>
    </row>
    <row r="807" ht="15.75" customHeight="1">
      <c r="F807" s="227"/>
    </row>
    <row r="808" ht="15.75" customHeight="1">
      <c r="F808" s="227"/>
    </row>
    <row r="809" ht="15.75" customHeight="1">
      <c r="F809" s="227"/>
    </row>
    <row r="810" ht="15.75" customHeight="1">
      <c r="F810" s="227"/>
    </row>
    <row r="811" ht="15.75" customHeight="1">
      <c r="F811" s="227"/>
    </row>
    <row r="812" ht="15.75" customHeight="1">
      <c r="F812" s="227"/>
    </row>
    <row r="813" ht="15.75" customHeight="1">
      <c r="F813" s="227"/>
    </row>
    <row r="814" ht="15.75" customHeight="1">
      <c r="F814" s="227"/>
    </row>
    <row r="815" ht="15.75" customHeight="1">
      <c r="F815" s="227"/>
    </row>
    <row r="816" ht="15.75" customHeight="1">
      <c r="F816" s="227"/>
    </row>
    <row r="817" ht="15.75" customHeight="1">
      <c r="F817" s="227"/>
    </row>
    <row r="818" ht="15.75" customHeight="1">
      <c r="F818" s="227"/>
    </row>
    <row r="819" ht="15.75" customHeight="1">
      <c r="F819" s="227"/>
    </row>
    <row r="820" ht="15.75" customHeight="1">
      <c r="F820" s="227"/>
    </row>
    <row r="821" ht="15.75" customHeight="1">
      <c r="F821" s="227"/>
    </row>
    <row r="822" ht="15.75" customHeight="1">
      <c r="F822" s="227"/>
    </row>
    <row r="823" ht="15.75" customHeight="1">
      <c r="F823" s="227"/>
    </row>
    <row r="824" ht="15.75" customHeight="1">
      <c r="F824" s="227"/>
    </row>
    <row r="825" ht="15.75" customHeight="1">
      <c r="F825" s="227"/>
    </row>
    <row r="826" ht="15.75" customHeight="1">
      <c r="F826" s="227"/>
    </row>
    <row r="827" ht="15.75" customHeight="1">
      <c r="F827" s="227"/>
    </row>
    <row r="828" ht="15.75" customHeight="1">
      <c r="F828" s="227"/>
    </row>
    <row r="829" ht="15.75" customHeight="1">
      <c r="F829" s="227"/>
    </row>
    <row r="830" ht="15.75" customHeight="1">
      <c r="F830" s="227"/>
    </row>
    <row r="831" ht="15.75" customHeight="1">
      <c r="F831" s="227"/>
    </row>
    <row r="832" ht="15.75" customHeight="1">
      <c r="F832" s="227"/>
    </row>
    <row r="833" ht="15.75" customHeight="1">
      <c r="F833" s="227"/>
    </row>
    <row r="834" ht="15.75" customHeight="1">
      <c r="F834" s="227"/>
    </row>
    <row r="835" ht="15.75" customHeight="1">
      <c r="F835" s="227"/>
    </row>
    <row r="836" ht="15.75" customHeight="1">
      <c r="F836" s="227"/>
    </row>
    <row r="837" ht="15.75" customHeight="1">
      <c r="F837" s="227"/>
    </row>
    <row r="838" ht="15.75" customHeight="1">
      <c r="F838" s="227"/>
    </row>
    <row r="839" ht="15.75" customHeight="1">
      <c r="F839" s="227"/>
    </row>
    <row r="840" ht="15.75" customHeight="1">
      <c r="F840" s="227"/>
    </row>
    <row r="841" ht="15.75" customHeight="1">
      <c r="F841" s="227"/>
    </row>
    <row r="842" ht="15.75" customHeight="1">
      <c r="F842" s="227"/>
    </row>
    <row r="843" ht="15.75" customHeight="1">
      <c r="F843" s="227"/>
    </row>
    <row r="844" ht="15.75" customHeight="1">
      <c r="F844" s="227"/>
    </row>
    <row r="845" ht="15.75" customHeight="1">
      <c r="F845" s="227"/>
    </row>
    <row r="846" ht="15.75" customHeight="1">
      <c r="F846" s="227"/>
    </row>
    <row r="847" ht="15.75" customHeight="1">
      <c r="F847" s="227"/>
    </row>
    <row r="848" ht="15.75" customHeight="1">
      <c r="F848" s="227"/>
    </row>
    <row r="849" ht="15.75" customHeight="1">
      <c r="F849" s="227"/>
    </row>
    <row r="850" ht="15.75" customHeight="1">
      <c r="F850" s="227"/>
    </row>
    <row r="851" ht="15.75" customHeight="1">
      <c r="F851" s="227"/>
    </row>
    <row r="852" ht="15.75" customHeight="1">
      <c r="F852" s="227"/>
    </row>
    <row r="853" ht="15.75" customHeight="1">
      <c r="F853" s="227"/>
    </row>
    <row r="854" ht="15.75" customHeight="1">
      <c r="F854" s="227"/>
    </row>
    <row r="855" ht="15.75" customHeight="1">
      <c r="F855" s="227"/>
    </row>
    <row r="856" ht="15.75" customHeight="1">
      <c r="F856" s="227"/>
    </row>
    <row r="857" ht="15.75" customHeight="1">
      <c r="F857" s="227"/>
    </row>
    <row r="858" ht="15.75" customHeight="1">
      <c r="F858" s="227"/>
    </row>
    <row r="859" ht="15.75" customHeight="1">
      <c r="F859" s="227"/>
    </row>
    <row r="860" ht="15.75" customHeight="1">
      <c r="F860" s="227"/>
    </row>
    <row r="861" ht="15.75" customHeight="1">
      <c r="F861" s="227"/>
    </row>
    <row r="862" ht="15.75" customHeight="1">
      <c r="F862" s="227"/>
    </row>
    <row r="863" ht="15.75" customHeight="1">
      <c r="F863" s="227"/>
    </row>
    <row r="864" ht="15.75" customHeight="1">
      <c r="F864" s="227"/>
    </row>
    <row r="865" ht="15.75" customHeight="1">
      <c r="F865" s="227"/>
    </row>
    <row r="866" ht="15.75" customHeight="1">
      <c r="F866" s="227"/>
    </row>
    <row r="867" ht="15.75" customHeight="1">
      <c r="F867" s="227"/>
    </row>
    <row r="868" ht="15.75" customHeight="1">
      <c r="F868" s="227"/>
    </row>
    <row r="869" ht="15.75" customHeight="1">
      <c r="F869" s="227"/>
    </row>
    <row r="870" ht="15.75" customHeight="1">
      <c r="F870" s="227"/>
    </row>
    <row r="871" ht="15.75" customHeight="1">
      <c r="F871" s="227"/>
    </row>
    <row r="872" ht="15.75" customHeight="1">
      <c r="F872" s="227"/>
    </row>
    <row r="873" ht="15.75" customHeight="1">
      <c r="F873" s="227"/>
    </row>
    <row r="874" ht="15.75" customHeight="1">
      <c r="F874" s="227"/>
    </row>
    <row r="875" ht="15.75" customHeight="1">
      <c r="F875" s="227"/>
    </row>
    <row r="876" ht="15.75" customHeight="1">
      <c r="F876" s="227"/>
    </row>
    <row r="877" ht="15.75" customHeight="1">
      <c r="F877" s="227"/>
    </row>
    <row r="878" ht="15.75" customHeight="1">
      <c r="F878" s="227"/>
    </row>
    <row r="879" ht="15.75" customHeight="1">
      <c r="F879" s="227"/>
    </row>
    <row r="880" ht="15.75" customHeight="1">
      <c r="F880" s="227"/>
    </row>
    <row r="881" ht="15.75" customHeight="1">
      <c r="F881" s="227"/>
    </row>
    <row r="882" ht="15.75" customHeight="1">
      <c r="F882" s="227"/>
    </row>
    <row r="883" ht="15.75" customHeight="1">
      <c r="F883" s="227"/>
    </row>
    <row r="884" ht="15.75" customHeight="1">
      <c r="F884" s="227"/>
    </row>
    <row r="885" ht="15.75" customHeight="1">
      <c r="F885" s="227"/>
    </row>
    <row r="886" ht="15.75" customHeight="1">
      <c r="F886" s="227"/>
    </row>
    <row r="887" ht="15.75" customHeight="1">
      <c r="F887" s="227"/>
    </row>
    <row r="888" ht="15.75" customHeight="1">
      <c r="F888" s="227"/>
    </row>
    <row r="889" ht="15.75" customHeight="1">
      <c r="F889" s="227"/>
    </row>
    <row r="890" ht="15.75" customHeight="1">
      <c r="F890" s="227"/>
    </row>
    <row r="891" ht="15.75" customHeight="1">
      <c r="F891" s="227"/>
    </row>
    <row r="892" ht="15.75" customHeight="1">
      <c r="F892" s="227"/>
    </row>
    <row r="893" ht="15.75" customHeight="1">
      <c r="F893" s="227"/>
    </row>
    <row r="894" ht="15.75" customHeight="1">
      <c r="F894" s="227"/>
    </row>
    <row r="895" ht="15.75" customHeight="1">
      <c r="F895" s="227"/>
    </row>
    <row r="896" ht="15.75" customHeight="1">
      <c r="F896" s="227"/>
    </row>
    <row r="897" ht="15.75" customHeight="1">
      <c r="F897" s="227"/>
    </row>
    <row r="898" ht="15.75" customHeight="1">
      <c r="F898" s="227"/>
    </row>
    <row r="899" ht="15.75" customHeight="1">
      <c r="F899" s="227"/>
    </row>
    <row r="900" ht="15.75" customHeight="1">
      <c r="F900" s="227"/>
    </row>
    <row r="901" ht="15.75" customHeight="1">
      <c r="F901" s="227"/>
    </row>
    <row r="902" ht="15.75" customHeight="1">
      <c r="F902" s="227"/>
    </row>
    <row r="903" ht="15.75" customHeight="1">
      <c r="F903" s="227"/>
    </row>
    <row r="904" ht="15.75" customHeight="1">
      <c r="F904" s="227"/>
    </row>
    <row r="905" ht="15.75" customHeight="1">
      <c r="F905" s="227"/>
    </row>
    <row r="906" ht="15.75" customHeight="1">
      <c r="F906" s="227"/>
    </row>
    <row r="907" ht="15.75" customHeight="1">
      <c r="F907" s="227"/>
    </row>
    <row r="908" ht="15.75" customHeight="1">
      <c r="F908" s="227"/>
    </row>
    <row r="909" ht="15.75" customHeight="1">
      <c r="F909" s="227"/>
    </row>
    <row r="910" ht="15.75" customHeight="1">
      <c r="F910" s="227"/>
    </row>
    <row r="911" ht="15.75" customHeight="1">
      <c r="F911" s="227"/>
    </row>
    <row r="912" ht="15.75" customHeight="1">
      <c r="F912" s="227"/>
    </row>
    <row r="913" ht="15.75" customHeight="1">
      <c r="F913" s="227"/>
    </row>
    <row r="914" ht="15.75" customHeight="1">
      <c r="F914" s="227"/>
    </row>
    <row r="915" ht="15.75" customHeight="1">
      <c r="F915" s="227"/>
    </row>
    <row r="916" ht="15.75" customHeight="1">
      <c r="F916" s="227"/>
    </row>
    <row r="917" ht="15.75" customHeight="1">
      <c r="F917" s="227"/>
    </row>
    <row r="918" ht="15.75" customHeight="1">
      <c r="F918" s="227"/>
    </row>
    <row r="919" ht="15.75" customHeight="1">
      <c r="F919" s="227"/>
    </row>
    <row r="920" ht="15.75" customHeight="1">
      <c r="F920" s="227"/>
    </row>
    <row r="921" ht="15.75" customHeight="1">
      <c r="F921" s="227"/>
    </row>
    <row r="922" ht="15.75" customHeight="1">
      <c r="F922" s="227"/>
    </row>
    <row r="923" ht="15.75" customHeight="1">
      <c r="F923" s="227"/>
    </row>
    <row r="924" ht="15.75" customHeight="1">
      <c r="F924" s="227"/>
    </row>
    <row r="925" ht="15.75" customHeight="1">
      <c r="F925" s="227"/>
    </row>
    <row r="926" ht="15.75" customHeight="1">
      <c r="F926" s="227"/>
    </row>
    <row r="927" ht="15.75" customHeight="1">
      <c r="F927" s="227"/>
    </row>
    <row r="928" ht="15.75" customHeight="1">
      <c r="F928" s="227"/>
    </row>
    <row r="929" ht="15.75" customHeight="1">
      <c r="F929" s="227"/>
    </row>
    <row r="930" ht="15.75" customHeight="1">
      <c r="F930" s="227"/>
    </row>
    <row r="931" ht="15.75" customHeight="1">
      <c r="F931" s="227"/>
    </row>
    <row r="932" ht="15.75" customHeight="1">
      <c r="F932" s="227"/>
    </row>
    <row r="933" ht="15.75" customHeight="1">
      <c r="F933" s="227"/>
    </row>
    <row r="934" ht="15.75" customHeight="1">
      <c r="F934" s="227"/>
    </row>
    <row r="935" ht="15.75" customHeight="1">
      <c r="F935" s="227"/>
    </row>
    <row r="936" ht="15.75" customHeight="1">
      <c r="F936" s="227"/>
    </row>
    <row r="937" ht="15.75" customHeight="1">
      <c r="F937" s="227"/>
    </row>
    <row r="938" ht="15.75" customHeight="1">
      <c r="F938" s="227"/>
    </row>
    <row r="939" ht="15.75" customHeight="1">
      <c r="F939" s="227"/>
    </row>
    <row r="940" ht="15.75" customHeight="1">
      <c r="F940" s="227"/>
    </row>
    <row r="941" ht="15.75" customHeight="1">
      <c r="F941" s="227"/>
    </row>
    <row r="942" ht="15.75" customHeight="1">
      <c r="F942" s="227"/>
    </row>
    <row r="943" ht="15.75" customHeight="1">
      <c r="F943" s="227"/>
    </row>
    <row r="944" ht="15.75" customHeight="1">
      <c r="F944" s="227"/>
    </row>
    <row r="945" ht="15.75" customHeight="1">
      <c r="F945" s="227"/>
    </row>
    <row r="946" ht="15.75" customHeight="1">
      <c r="F946" s="227"/>
    </row>
    <row r="947" ht="15.75" customHeight="1">
      <c r="F947" s="227"/>
    </row>
    <row r="948" ht="15.75" customHeight="1">
      <c r="F948" s="227"/>
    </row>
    <row r="949" ht="15.75" customHeight="1">
      <c r="F949" s="227"/>
    </row>
    <row r="950" ht="15.75" customHeight="1">
      <c r="F950" s="227"/>
    </row>
    <row r="951" ht="15.75" customHeight="1">
      <c r="F951" s="227"/>
    </row>
    <row r="952" ht="15.75" customHeight="1">
      <c r="F952" s="227"/>
    </row>
    <row r="953" ht="15.75" customHeight="1">
      <c r="F953" s="227"/>
    </row>
    <row r="954" ht="15.75" customHeight="1">
      <c r="F954" s="227"/>
    </row>
    <row r="955" ht="15.75" customHeight="1">
      <c r="F955" s="227"/>
    </row>
    <row r="956" ht="15.75" customHeight="1">
      <c r="F956" s="227"/>
    </row>
    <row r="957" ht="15.75" customHeight="1">
      <c r="F957" s="227"/>
    </row>
    <row r="958" ht="15.75" customHeight="1">
      <c r="F958" s="227"/>
    </row>
    <row r="959" ht="15.75" customHeight="1">
      <c r="F959" s="227"/>
    </row>
    <row r="960" ht="15.75" customHeight="1">
      <c r="F960" s="227"/>
    </row>
    <row r="961" ht="15.75" customHeight="1">
      <c r="F961" s="227"/>
    </row>
    <row r="962" ht="15.75" customHeight="1">
      <c r="F962" s="227"/>
    </row>
    <row r="963" ht="15.75" customHeight="1">
      <c r="F963" s="227"/>
    </row>
    <row r="964" ht="15.75" customHeight="1">
      <c r="F964" s="227"/>
    </row>
    <row r="965" ht="15.75" customHeight="1">
      <c r="F965" s="227"/>
    </row>
    <row r="966" ht="15.75" customHeight="1">
      <c r="F966" s="227"/>
    </row>
    <row r="967" ht="15.75" customHeight="1">
      <c r="F967" s="227"/>
    </row>
    <row r="968" ht="15.75" customHeight="1">
      <c r="F968" s="227"/>
    </row>
    <row r="969" ht="15.75" customHeight="1">
      <c r="F969" s="227"/>
    </row>
    <row r="970" ht="15.75" customHeight="1">
      <c r="F970" s="227"/>
    </row>
    <row r="971" ht="15.75" customHeight="1">
      <c r="F971" s="227"/>
    </row>
    <row r="972" ht="15.75" customHeight="1">
      <c r="F972" s="227"/>
    </row>
    <row r="973" ht="15.75" customHeight="1">
      <c r="F973" s="227"/>
    </row>
    <row r="974" ht="15.75" customHeight="1">
      <c r="F974" s="227"/>
    </row>
    <row r="975" ht="15.75" customHeight="1">
      <c r="F975" s="227"/>
    </row>
    <row r="976" ht="15.75" customHeight="1">
      <c r="F976" s="227"/>
    </row>
    <row r="977" ht="15.75" customHeight="1">
      <c r="F977" s="227"/>
    </row>
    <row r="978" ht="15.75" customHeight="1">
      <c r="F978" s="227"/>
    </row>
    <row r="979" ht="15.75" customHeight="1">
      <c r="F979" s="227"/>
    </row>
    <row r="980" ht="15.75" customHeight="1">
      <c r="F980" s="227"/>
    </row>
    <row r="981" ht="15.75" customHeight="1">
      <c r="F981" s="227"/>
    </row>
    <row r="982" ht="15.75" customHeight="1">
      <c r="F982" s="227"/>
    </row>
    <row r="983" ht="15.75" customHeight="1">
      <c r="F983" s="227"/>
    </row>
    <row r="984" ht="15.75" customHeight="1">
      <c r="F984" s="227"/>
    </row>
    <row r="985" ht="15.75" customHeight="1">
      <c r="F985" s="227"/>
    </row>
    <row r="986" ht="15.75" customHeight="1">
      <c r="F986" s="227"/>
    </row>
    <row r="987" ht="15.75" customHeight="1">
      <c r="F987" s="227"/>
    </row>
    <row r="988" ht="15.75" customHeight="1">
      <c r="F988" s="227"/>
    </row>
    <row r="989" ht="15.75" customHeight="1">
      <c r="F989" s="227"/>
    </row>
    <row r="990" ht="15.75" customHeight="1">
      <c r="F990" s="227"/>
    </row>
    <row r="991" ht="15.75" customHeight="1">
      <c r="F991" s="227"/>
    </row>
    <row r="992" ht="15.75" customHeight="1">
      <c r="F992" s="227"/>
    </row>
    <row r="993" ht="15.75" customHeight="1">
      <c r="F993" s="227"/>
    </row>
    <row r="994" ht="15.75" customHeight="1">
      <c r="F994" s="227"/>
    </row>
    <row r="995" ht="15.75" customHeight="1">
      <c r="F995" s="227"/>
    </row>
    <row r="996" ht="15.75" customHeight="1">
      <c r="F996" s="227"/>
    </row>
    <row r="997" ht="15.75" customHeight="1">
      <c r="F997" s="227"/>
    </row>
    <row r="998" ht="15.75" customHeight="1">
      <c r="F998" s="227"/>
    </row>
    <row r="999" ht="15.75" customHeight="1">
      <c r="F999" s="227"/>
    </row>
    <row r="1000" ht="15.75" customHeight="1">
      <c r="F1000" s="227"/>
    </row>
  </sheetData>
  <mergeCells count="4">
    <mergeCell ref="A2:E2"/>
    <mergeCell ref="A4:E4"/>
    <mergeCell ref="A5:E5"/>
    <mergeCell ref="A288:H288"/>
  </mergeCells>
  <hyperlinks>
    <hyperlink r:id="rId1" ref="C127"/>
  </hyperlinks>
  <printOptions/>
  <pageMargins bottom="0.75" footer="0.0" header="0.0" left="0.7" right="0.7" top="0.75"/>
  <pageSetup orientation="landscape"/>
  <drawing r:id="rId2"/>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6" width="28.57"/>
    <col customWidth="1" min="7" max="8" width="13.71"/>
    <col customWidth="1" min="9" max="25" width="8.0"/>
  </cols>
  <sheetData>
    <row r="1">
      <c r="A1" s="104"/>
      <c r="B1" s="104"/>
      <c r="C1" s="61"/>
      <c r="D1" s="61"/>
      <c r="E1" s="61"/>
      <c r="F1" s="1"/>
      <c r="G1" s="1"/>
      <c r="H1" s="1"/>
    </row>
    <row r="2" ht="15.75" customHeight="1">
      <c r="A2" s="556" t="s">
        <v>12344</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4.25" customHeight="1">
      <c r="A4" s="128" t="s">
        <v>12345</v>
      </c>
      <c r="B4" s="64"/>
      <c r="C4" s="64"/>
      <c r="D4" s="64"/>
      <c r="E4" s="65"/>
      <c r="F4" s="474"/>
      <c r="G4" s="474"/>
      <c r="H4" s="474"/>
      <c r="I4" s="107"/>
      <c r="J4" s="107"/>
      <c r="K4" s="107"/>
      <c r="L4" s="107"/>
      <c r="M4" s="107"/>
      <c r="N4" s="107"/>
      <c r="O4" s="107"/>
      <c r="P4" s="107"/>
      <c r="Q4" s="107"/>
      <c r="R4" s="107"/>
      <c r="S4" s="107"/>
      <c r="T4" s="107"/>
      <c r="U4" s="107"/>
      <c r="V4" s="107"/>
      <c r="W4" s="107"/>
      <c r="X4" s="107"/>
      <c r="Y4" s="107"/>
    </row>
    <row r="5" ht="25.5" customHeight="1">
      <c r="A5" s="226" t="s">
        <v>12346</v>
      </c>
      <c r="B5" s="64"/>
      <c r="C5" s="64"/>
      <c r="D5" s="64"/>
      <c r="E5" s="65"/>
      <c r="F5" s="474"/>
      <c r="G5" s="474"/>
      <c r="H5" s="474"/>
      <c r="I5" s="107"/>
      <c r="J5" s="107"/>
      <c r="K5" s="107"/>
      <c r="L5" s="107"/>
      <c r="M5" s="107"/>
      <c r="N5" s="107"/>
      <c r="O5" s="107"/>
      <c r="P5" s="107"/>
      <c r="Q5" s="107"/>
      <c r="R5" s="107"/>
      <c r="S5" s="107"/>
      <c r="T5" s="107"/>
      <c r="U5" s="107"/>
      <c r="V5" s="107"/>
      <c r="W5" s="107"/>
      <c r="X5" s="107"/>
      <c r="Y5" s="107"/>
    </row>
    <row r="6" ht="39.75" customHeight="1">
      <c r="A6" s="226" t="s">
        <v>12347</v>
      </c>
      <c r="B6" s="64"/>
      <c r="C6" s="64"/>
      <c r="D6" s="64"/>
      <c r="E6" s="65"/>
      <c r="F6" s="474"/>
      <c r="G6" s="474"/>
      <c r="H6" s="474"/>
      <c r="I6" s="107"/>
      <c r="J6" s="107"/>
      <c r="K6" s="107"/>
      <c r="L6" s="107"/>
      <c r="M6" s="107"/>
      <c r="N6" s="107"/>
      <c r="O6" s="107"/>
      <c r="P6" s="107"/>
      <c r="Q6" s="107"/>
      <c r="R6" s="107"/>
      <c r="S6" s="107"/>
      <c r="T6" s="107"/>
      <c r="U6" s="107"/>
      <c r="V6" s="107"/>
      <c r="W6" s="107"/>
      <c r="X6" s="107"/>
      <c r="Y6" s="107"/>
    </row>
    <row r="7" ht="26.25" customHeight="1">
      <c r="A7" s="226" t="s">
        <v>12348</v>
      </c>
      <c r="B7" s="64"/>
      <c r="C7" s="64"/>
      <c r="D7" s="64"/>
      <c r="E7" s="65"/>
      <c r="F7" s="474"/>
      <c r="G7" s="474"/>
      <c r="H7" s="474"/>
      <c r="I7" s="107"/>
      <c r="J7" s="107"/>
      <c r="K7" s="107"/>
      <c r="L7" s="107"/>
      <c r="M7" s="107"/>
      <c r="N7" s="107"/>
      <c r="O7" s="107"/>
      <c r="P7" s="107"/>
      <c r="Q7" s="107"/>
      <c r="R7" s="107"/>
      <c r="S7" s="107"/>
      <c r="T7" s="107"/>
      <c r="U7" s="107"/>
      <c r="V7" s="107"/>
      <c r="W7" s="107"/>
      <c r="X7" s="107"/>
      <c r="Y7" s="107"/>
    </row>
    <row r="8" ht="59.25" customHeight="1">
      <c r="A8" s="477" t="s">
        <v>12349</v>
      </c>
      <c r="B8" s="64"/>
      <c r="C8" s="64"/>
      <c r="D8" s="64"/>
      <c r="E8" s="65"/>
      <c r="F8" s="474"/>
      <c r="G8" s="474"/>
      <c r="H8" s="474"/>
      <c r="I8" s="107"/>
      <c r="J8" s="107"/>
      <c r="K8" s="107"/>
      <c r="L8" s="107"/>
      <c r="M8" s="107"/>
      <c r="N8" s="107"/>
      <c r="O8" s="107"/>
      <c r="P8" s="107"/>
      <c r="Q8" s="107"/>
      <c r="R8" s="107"/>
      <c r="S8" s="107"/>
      <c r="T8" s="107"/>
      <c r="U8" s="107"/>
      <c r="V8" s="107"/>
      <c r="W8" s="107"/>
      <c r="X8" s="107"/>
      <c r="Y8" s="107"/>
    </row>
    <row r="9">
      <c r="A9" s="109"/>
      <c r="B9" s="109"/>
      <c r="C9" s="110"/>
      <c r="D9" s="110"/>
      <c r="E9" s="110"/>
      <c r="F9" s="109"/>
      <c r="G9" s="109"/>
      <c r="H9" s="109"/>
      <c r="I9" s="107"/>
      <c r="J9" s="107"/>
      <c r="K9" s="107"/>
      <c r="L9" s="107"/>
      <c r="M9" s="107"/>
      <c r="N9" s="107"/>
      <c r="O9" s="107"/>
      <c r="P9" s="107"/>
      <c r="Q9" s="107"/>
      <c r="R9" s="107"/>
      <c r="S9" s="107"/>
      <c r="T9" s="107"/>
      <c r="U9" s="107"/>
      <c r="V9" s="107"/>
      <c r="W9" s="107"/>
      <c r="X9" s="107"/>
      <c r="Y9" s="107"/>
    </row>
    <row r="10" ht="61.5" customHeight="1">
      <c r="A10" s="228" t="s">
        <v>5174</v>
      </c>
      <c r="B10" s="132" t="s">
        <v>8</v>
      </c>
      <c r="C10" s="132" t="s">
        <v>12350</v>
      </c>
      <c r="D10" s="131" t="s">
        <v>217</v>
      </c>
      <c r="E10" s="131" t="s">
        <v>221</v>
      </c>
      <c r="F10" s="113" t="s">
        <v>222</v>
      </c>
      <c r="I10" s="107"/>
      <c r="J10" s="107"/>
      <c r="K10" s="107"/>
      <c r="L10" s="107"/>
      <c r="M10" s="107"/>
      <c r="N10" s="107"/>
      <c r="O10" s="107"/>
      <c r="P10" s="107"/>
      <c r="Q10" s="107"/>
      <c r="R10" s="107"/>
      <c r="S10" s="107"/>
      <c r="T10" s="107"/>
      <c r="U10" s="107"/>
      <c r="V10" s="107"/>
      <c r="W10" s="107"/>
      <c r="X10" s="107"/>
      <c r="Y10" s="107"/>
    </row>
    <row r="11" ht="15.75" customHeight="1">
      <c r="A11" s="82" t="s">
        <v>61</v>
      </c>
      <c r="B11" s="82" t="s">
        <v>52</v>
      </c>
      <c r="C11" s="82" t="s">
        <v>12351</v>
      </c>
      <c r="D11" s="83">
        <v>56.0</v>
      </c>
      <c r="E11" s="92">
        <f t="shared" ref="E11:E14" si="1">D11</f>
        <v>56</v>
      </c>
      <c r="F11" s="281" t="s">
        <v>61</v>
      </c>
    </row>
    <row r="12" ht="15.75" customHeight="1">
      <c r="A12" s="82" t="s">
        <v>61</v>
      </c>
      <c r="B12" s="82" t="s">
        <v>52</v>
      </c>
      <c r="C12" s="82" t="s">
        <v>12352</v>
      </c>
      <c r="D12" s="83">
        <v>200.0</v>
      </c>
      <c r="E12" s="92">
        <f t="shared" si="1"/>
        <v>200</v>
      </c>
      <c r="F12" s="281" t="s">
        <v>61</v>
      </c>
    </row>
    <row r="13" ht="15.0" customHeight="1">
      <c r="A13" s="82" t="s">
        <v>61</v>
      </c>
      <c r="B13" s="82" t="s">
        <v>52</v>
      </c>
      <c r="C13" s="82" t="s">
        <v>12353</v>
      </c>
      <c r="D13" s="83">
        <v>200.0</v>
      </c>
      <c r="E13" s="92">
        <f t="shared" si="1"/>
        <v>200</v>
      </c>
      <c r="F13" s="281" t="s">
        <v>61</v>
      </c>
    </row>
    <row r="14" ht="15.0" customHeight="1">
      <c r="A14" s="82" t="s">
        <v>79</v>
      </c>
      <c r="B14" s="82" t="s">
        <v>52</v>
      </c>
      <c r="C14" s="82" t="s">
        <v>12354</v>
      </c>
      <c r="D14" s="83">
        <v>200.0</v>
      </c>
      <c r="E14" s="92">
        <f t="shared" si="1"/>
        <v>200</v>
      </c>
      <c r="F14" s="281" t="s">
        <v>79</v>
      </c>
    </row>
    <row r="15" ht="15.0" customHeight="1">
      <c r="A15" s="82" t="s">
        <v>79</v>
      </c>
      <c r="B15" s="82" t="s">
        <v>9236</v>
      </c>
      <c r="C15" s="82" t="s">
        <v>12351</v>
      </c>
      <c r="D15" s="83">
        <v>56.0</v>
      </c>
      <c r="E15" s="92">
        <v>56.0</v>
      </c>
      <c r="F15" s="281" t="s">
        <v>79</v>
      </c>
    </row>
    <row r="16" ht="15.0" customHeight="1">
      <c r="A16" s="82" t="s">
        <v>7526</v>
      </c>
      <c r="B16" s="82" t="s">
        <v>52</v>
      </c>
      <c r="C16" s="82" t="s">
        <v>12351</v>
      </c>
      <c r="D16" s="83">
        <v>56.0</v>
      </c>
      <c r="E16" s="92">
        <v>56.0</v>
      </c>
      <c r="F16" s="281" t="s">
        <v>51</v>
      </c>
    </row>
    <row r="17" ht="15.0" customHeight="1">
      <c r="A17" s="82" t="s">
        <v>73</v>
      </c>
      <c r="B17" s="82" t="s">
        <v>52</v>
      </c>
      <c r="C17" s="82" t="s">
        <v>12355</v>
      </c>
      <c r="D17" s="83">
        <v>56.0</v>
      </c>
      <c r="E17" s="92">
        <f t="shared" ref="E17:E19" si="2">D17</f>
        <v>56</v>
      </c>
      <c r="F17" s="281" t="s">
        <v>73</v>
      </c>
    </row>
    <row r="18" ht="15.0" customHeight="1">
      <c r="A18" s="82" t="s">
        <v>73</v>
      </c>
      <c r="B18" s="82" t="s">
        <v>52</v>
      </c>
      <c r="C18" s="82" t="s">
        <v>12356</v>
      </c>
      <c r="D18" s="83">
        <v>200.0</v>
      </c>
      <c r="E18" s="92">
        <f t="shared" si="2"/>
        <v>200</v>
      </c>
      <c r="F18" s="281" t="s">
        <v>73</v>
      </c>
    </row>
    <row r="19" ht="15.0" customHeight="1">
      <c r="A19" s="82" t="s">
        <v>73</v>
      </c>
      <c r="B19" s="82" t="s">
        <v>52</v>
      </c>
      <c r="C19" s="82" t="s">
        <v>12357</v>
      </c>
      <c r="D19" s="83">
        <v>200.0</v>
      </c>
      <c r="E19" s="92">
        <f t="shared" si="2"/>
        <v>200</v>
      </c>
      <c r="F19" s="281" t="s">
        <v>73</v>
      </c>
    </row>
    <row r="20" ht="15.0" customHeight="1">
      <c r="A20" s="82" t="s">
        <v>73</v>
      </c>
      <c r="B20" s="82" t="s">
        <v>52</v>
      </c>
      <c r="C20" s="82" t="s">
        <v>12358</v>
      </c>
      <c r="D20" s="83">
        <v>90.0</v>
      </c>
      <c r="E20" s="92">
        <v>90.0</v>
      </c>
      <c r="F20" s="281" t="s">
        <v>73</v>
      </c>
    </row>
    <row r="21" ht="15.0" customHeight="1">
      <c r="A21" s="82" t="s">
        <v>73</v>
      </c>
      <c r="B21" s="82" t="s">
        <v>52</v>
      </c>
      <c r="C21" s="82" t="s">
        <v>12359</v>
      </c>
      <c r="D21" s="83">
        <v>90.0</v>
      </c>
      <c r="E21" s="92">
        <v>90.0</v>
      </c>
      <c r="F21" s="281" t="s">
        <v>73</v>
      </c>
    </row>
    <row r="22" ht="15.0" customHeight="1">
      <c r="A22" s="82" t="s">
        <v>58</v>
      </c>
      <c r="B22" s="82" t="s">
        <v>52</v>
      </c>
      <c r="C22" s="82" t="s">
        <v>12360</v>
      </c>
      <c r="D22" s="83">
        <v>200.0</v>
      </c>
      <c r="E22" s="92">
        <f t="shared" ref="E22:E23" si="3">D22</f>
        <v>200</v>
      </c>
      <c r="F22" s="281" t="s">
        <v>58</v>
      </c>
    </row>
    <row r="23" ht="15.0" customHeight="1">
      <c r="A23" s="82" t="s">
        <v>58</v>
      </c>
      <c r="B23" s="82" t="s">
        <v>52</v>
      </c>
      <c r="C23" s="82" t="s">
        <v>12361</v>
      </c>
      <c r="D23" s="83">
        <v>56.0</v>
      </c>
      <c r="E23" s="92">
        <f t="shared" si="3"/>
        <v>56</v>
      </c>
      <c r="F23" s="281" t="s">
        <v>58</v>
      </c>
    </row>
    <row r="24" ht="15.0" customHeight="1">
      <c r="A24" s="82" t="s">
        <v>9201</v>
      </c>
      <c r="B24" s="82" t="s">
        <v>52</v>
      </c>
      <c r="C24" s="82" t="s">
        <v>12362</v>
      </c>
      <c r="D24" s="83">
        <v>56.0</v>
      </c>
      <c r="E24" s="92">
        <v>56.0</v>
      </c>
      <c r="F24" s="281" t="s">
        <v>75</v>
      </c>
    </row>
    <row r="25" ht="15.0" customHeight="1">
      <c r="A25" s="82" t="s">
        <v>9203</v>
      </c>
      <c r="B25" s="82" t="s">
        <v>52</v>
      </c>
      <c r="C25" s="82" t="s">
        <v>12363</v>
      </c>
      <c r="D25" s="83">
        <v>200.0</v>
      </c>
      <c r="E25" s="92">
        <f t="shared" ref="E25:E26" si="4">D25</f>
        <v>200</v>
      </c>
      <c r="F25" s="281" t="s">
        <v>1764</v>
      </c>
    </row>
    <row r="26" ht="15.0" customHeight="1">
      <c r="A26" s="82" t="s">
        <v>9203</v>
      </c>
      <c r="B26" s="82" t="s">
        <v>52</v>
      </c>
      <c r="C26" s="82" t="s">
        <v>12355</v>
      </c>
      <c r="D26" s="83">
        <v>56.0</v>
      </c>
      <c r="E26" s="92">
        <f t="shared" si="4"/>
        <v>56</v>
      </c>
      <c r="F26" s="281" t="s">
        <v>1764</v>
      </c>
    </row>
    <row r="27" ht="15.0" customHeight="1">
      <c r="A27" s="82" t="s">
        <v>9203</v>
      </c>
      <c r="B27" s="82" t="s">
        <v>52</v>
      </c>
      <c r="C27" s="82" t="s">
        <v>12364</v>
      </c>
      <c r="D27" s="83">
        <v>56.0</v>
      </c>
      <c r="E27" s="92">
        <v>56.0</v>
      </c>
      <c r="F27" s="281" t="s">
        <v>1764</v>
      </c>
    </row>
    <row r="28" ht="15.0" customHeight="1">
      <c r="A28" s="82" t="s">
        <v>9205</v>
      </c>
      <c r="B28" s="82" t="s">
        <v>52</v>
      </c>
      <c r="C28" s="82" t="s">
        <v>12365</v>
      </c>
      <c r="D28" s="83">
        <v>200.0</v>
      </c>
      <c r="E28" s="92">
        <v>200.0</v>
      </c>
      <c r="F28" s="281" t="s">
        <v>71</v>
      </c>
    </row>
    <row r="29" ht="15.0" customHeight="1">
      <c r="A29" s="82" t="s">
        <v>9205</v>
      </c>
      <c r="B29" s="82" t="s">
        <v>52</v>
      </c>
      <c r="C29" s="82" t="s">
        <v>12366</v>
      </c>
      <c r="D29" s="83">
        <v>90.0</v>
      </c>
      <c r="E29" s="92">
        <v>90.0</v>
      </c>
      <c r="F29" s="281" t="s">
        <v>71</v>
      </c>
    </row>
    <row r="30" ht="15.0" customHeight="1">
      <c r="A30" s="82" t="s">
        <v>9205</v>
      </c>
      <c r="B30" s="82" t="s">
        <v>52</v>
      </c>
      <c r="C30" s="82" t="s">
        <v>12367</v>
      </c>
      <c r="D30" s="83">
        <v>56.0</v>
      </c>
      <c r="E30" s="92">
        <v>56.0</v>
      </c>
      <c r="F30" s="281" t="s">
        <v>71</v>
      </c>
    </row>
    <row r="31" ht="15.0" customHeight="1">
      <c r="A31" s="82" t="s">
        <v>9207</v>
      </c>
      <c r="B31" s="82" t="s">
        <v>52</v>
      </c>
      <c r="C31" s="82" t="s">
        <v>12368</v>
      </c>
      <c r="D31" s="83">
        <v>200.0</v>
      </c>
      <c r="E31" s="92">
        <v>200.0</v>
      </c>
      <c r="F31" s="281" t="s">
        <v>296</v>
      </c>
    </row>
    <row r="32" ht="15.0" customHeight="1">
      <c r="A32" s="82" t="s">
        <v>9207</v>
      </c>
      <c r="B32" s="82" t="s">
        <v>52</v>
      </c>
      <c r="C32" s="82" t="s">
        <v>12369</v>
      </c>
      <c r="D32" s="83">
        <v>200.0</v>
      </c>
      <c r="E32" s="92">
        <v>200.0</v>
      </c>
      <c r="F32" s="281" t="s">
        <v>296</v>
      </c>
    </row>
    <row r="33" ht="15.0" customHeight="1">
      <c r="A33" s="82" t="s">
        <v>9207</v>
      </c>
      <c r="B33" s="82" t="s">
        <v>52</v>
      </c>
      <c r="C33" s="82" t="s">
        <v>12370</v>
      </c>
      <c r="D33" s="83">
        <v>200.0</v>
      </c>
      <c r="E33" s="92">
        <v>200.0</v>
      </c>
      <c r="F33" s="281" t="s">
        <v>296</v>
      </c>
    </row>
    <row r="34" ht="15.0" customHeight="1">
      <c r="A34" s="82" t="s">
        <v>9207</v>
      </c>
      <c r="B34" s="82" t="s">
        <v>52</v>
      </c>
      <c r="C34" s="82" t="s">
        <v>12355</v>
      </c>
      <c r="D34" s="83">
        <v>56.0</v>
      </c>
      <c r="E34" s="92">
        <v>56.0</v>
      </c>
      <c r="F34" s="281" t="s">
        <v>296</v>
      </c>
    </row>
    <row r="35" ht="15.0" customHeight="1">
      <c r="A35" s="82" t="s">
        <v>7653</v>
      </c>
      <c r="B35" s="82" t="s">
        <v>52</v>
      </c>
      <c r="C35" s="82" t="s">
        <v>12351</v>
      </c>
      <c r="D35" s="83">
        <v>56.0</v>
      </c>
      <c r="E35" s="92">
        <v>56.0</v>
      </c>
      <c r="F35" s="281" t="s">
        <v>90</v>
      </c>
    </row>
    <row r="36" ht="15.0" customHeight="1">
      <c r="A36" s="82" t="s">
        <v>7653</v>
      </c>
      <c r="B36" s="82" t="s">
        <v>52</v>
      </c>
      <c r="C36" s="82" t="s">
        <v>12371</v>
      </c>
      <c r="D36" s="83">
        <v>200.0</v>
      </c>
      <c r="E36" s="92">
        <v>200.0</v>
      </c>
      <c r="F36" s="281" t="s">
        <v>90</v>
      </c>
    </row>
    <row r="37" ht="15.0" customHeight="1">
      <c r="A37" s="82" t="s">
        <v>12372</v>
      </c>
      <c r="B37" s="82" t="s">
        <v>52</v>
      </c>
      <c r="C37" s="82" t="s">
        <v>12355</v>
      </c>
      <c r="D37" s="83">
        <v>56.0</v>
      </c>
      <c r="E37" s="92">
        <v>56.0</v>
      </c>
      <c r="F37" s="281" t="s">
        <v>54</v>
      </c>
    </row>
    <row r="38" ht="15.0" customHeight="1">
      <c r="A38" s="82" t="s">
        <v>92</v>
      </c>
      <c r="B38" s="82" t="s">
        <v>52</v>
      </c>
      <c r="C38" s="82" t="s">
        <v>12355</v>
      </c>
      <c r="D38" s="83">
        <v>56.0</v>
      </c>
      <c r="E38" s="92">
        <v>56.0</v>
      </c>
      <c r="F38" s="281" t="s">
        <v>92</v>
      </c>
    </row>
    <row r="39" ht="15.0" customHeight="1">
      <c r="A39" s="82" t="s">
        <v>8503</v>
      </c>
      <c r="B39" s="82" t="s">
        <v>52</v>
      </c>
      <c r="C39" s="82" t="s">
        <v>12373</v>
      </c>
      <c r="D39" s="83">
        <v>200.0</v>
      </c>
      <c r="E39" s="92">
        <v>200.0</v>
      </c>
      <c r="F39" s="281" t="s">
        <v>72</v>
      </c>
    </row>
    <row r="40" ht="15.0" customHeight="1">
      <c r="A40" s="82" t="s">
        <v>8503</v>
      </c>
      <c r="B40" s="82" t="s">
        <v>52</v>
      </c>
      <c r="C40" s="82" t="s">
        <v>12367</v>
      </c>
      <c r="D40" s="83">
        <v>56.0</v>
      </c>
      <c r="E40" s="92">
        <v>56.0</v>
      </c>
      <c r="F40" s="281" t="s">
        <v>72</v>
      </c>
    </row>
    <row r="41" ht="15.0" customHeight="1">
      <c r="A41" s="82" t="s">
        <v>8931</v>
      </c>
      <c r="B41" s="326" t="s">
        <v>52</v>
      </c>
      <c r="C41" s="473" t="s">
        <v>12374</v>
      </c>
      <c r="D41" s="473">
        <v>56.0</v>
      </c>
      <c r="E41" s="473">
        <v>56.0</v>
      </c>
      <c r="F41" s="281" t="s">
        <v>76</v>
      </c>
    </row>
    <row r="42" ht="15.0" customHeight="1">
      <c r="A42" s="82" t="s">
        <v>8931</v>
      </c>
      <c r="B42" s="82" t="s">
        <v>52</v>
      </c>
      <c r="C42" s="442" t="s">
        <v>12375</v>
      </c>
      <c r="D42" s="451">
        <v>200.0</v>
      </c>
      <c r="E42" s="451">
        <v>200.0</v>
      </c>
      <c r="F42" s="281" t="s">
        <v>76</v>
      </c>
    </row>
    <row r="43" ht="15.0" customHeight="1">
      <c r="A43" s="82" t="s">
        <v>8931</v>
      </c>
      <c r="B43" s="82" t="s">
        <v>52</v>
      </c>
      <c r="C43" s="82" t="s">
        <v>12376</v>
      </c>
      <c r="D43" s="83">
        <v>90.0</v>
      </c>
      <c r="E43" s="83">
        <v>90.0</v>
      </c>
      <c r="F43" s="281" t="s">
        <v>76</v>
      </c>
    </row>
    <row r="44" ht="15.0" customHeight="1">
      <c r="A44" s="82" t="s">
        <v>57</v>
      </c>
      <c r="B44" s="82" t="s">
        <v>52</v>
      </c>
      <c r="C44" s="82" t="s">
        <v>12377</v>
      </c>
      <c r="D44" s="83">
        <v>56.0</v>
      </c>
      <c r="E44" s="92">
        <f>D44</f>
        <v>56</v>
      </c>
      <c r="F44" s="281" t="s">
        <v>57</v>
      </c>
    </row>
    <row r="45" ht="15.0" customHeight="1">
      <c r="A45" s="82" t="s">
        <v>12378</v>
      </c>
      <c r="B45" s="82" t="s">
        <v>10064</v>
      </c>
      <c r="C45" s="82" t="s">
        <v>12379</v>
      </c>
      <c r="D45" s="83">
        <v>56.0</v>
      </c>
      <c r="E45" s="92">
        <v>56.0</v>
      </c>
      <c r="F45" s="281" t="s">
        <v>60</v>
      </c>
    </row>
    <row r="46" ht="15.0" customHeight="1">
      <c r="A46" s="82" t="s">
        <v>7704</v>
      </c>
      <c r="B46" s="82" t="s">
        <v>52</v>
      </c>
      <c r="C46" s="82" t="s">
        <v>12351</v>
      </c>
      <c r="D46" s="83">
        <v>56.0</v>
      </c>
      <c r="E46" s="92">
        <f t="shared" ref="E46:E48" si="5">D46</f>
        <v>56</v>
      </c>
      <c r="F46" s="281" t="s">
        <v>82</v>
      </c>
    </row>
    <row r="47" ht="15.0" customHeight="1">
      <c r="A47" s="82" t="s">
        <v>7704</v>
      </c>
      <c r="B47" s="82" t="s">
        <v>52</v>
      </c>
      <c r="C47" s="82" t="s">
        <v>12380</v>
      </c>
      <c r="D47" s="83">
        <v>200.0</v>
      </c>
      <c r="E47" s="92">
        <f t="shared" si="5"/>
        <v>200</v>
      </c>
      <c r="F47" s="281" t="s">
        <v>82</v>
      </c>
    </row>
    <row r="48" ht="15.0" customHeight="1">
      <c r="A48" s="82" t="s">
        <v>7704</v>
      </c>
      <c r="B48" s="82" t="s">
        <v>52</v>
      </c>
      <c r="C48" s="82" t="s">
        <v>12381</v>
      </c>
      <c r="D48" s="83">
        <v>90.0</v>
      </c>
      <c r="E48" s="92">
        <f t="shared" si="5"/>
        <v>90</v>
      </c>
      <c r="F48" s="281" t="s">
        <v>82</v>
      </c>
    </row>
    <row r="49" ht="15.0" customHeight="1">
      <c r="A49" s="82" t="s">
        <v>8522</v>
      </c>
      <c r="B49" s="82" t="s">
        <v>52</v>
      </c>
      <c r="C49" s="82" t="s">
        <v>12382</v>
      </c>
      <c r="D49" s="83">
        <v>200.0</v>
      </c>
      <c r="E49" s="92">
        <v>200.0</v>
      </c>
      <c r="F49" s="281" t="s">
        <v>80</v>
      </c>
    </row>
    <row r="50" ht="15.0" customHeight="1">
      <c r="A50" s="82" t="s">
        <v>8522</v>
      </c>
      <c r="B50" s="82" t="s">
        <v>52</v>
      </c>
      <c r="C50" s="82" t="s">
        <v>12383</v>
      </c>
      <c r="D50" s="83">
        <v>56.0</v>
      </c>
      <c r="E50" s="92">
        <v>56.0</v>
      </c>
      <c r="F50" s="281" t="s">
        <v>80</v>
      </c>
    </row>
    <row r="51" ht="15.0" customHeight="1">
      <c r="A51" s="82" t="s">
        <v>8522</v>
      </c>
      <c r="B51" s="82" t="s">
        <v>52</v>
      </c>
      <c r="C51" s="82" t="s">
        <v>12384</v>
      </c>
      <c r="D51" s="83">
        <v>90.0</v>
      </c>
      <c r="E51" s="92">
        <v>90.0</v>
      </c>
      <c r="F51" s="281" t="s">
        <v>80</v>
      </c>
    </row>
    <row r="52" ht="15.0" customHeight="1">
      <c r="A52" s="82" t="s">
        <v>67</v>
      </c>
      <c r="B52" s="82" t="s">
        <v>52</v>
      </c>
      <c r="C52" s="82" t="s">
        <v>12385</v>
      </c>
      <c r="D52" s="83">
        <v>200.0</v>
      </c>
      <c r="E52" s="92">
        <v>200.0</v>
      </c>
      <c r="F52" s="281" t="s">
        <v>67</v>
      </c>
    </row>
    <row r="53" ht="15.0" customHeight="1">
      <c r="A53" s="82" t="s">
        <v>67</v>
      </c>
      <c r="B53" s="82" t="s">
        <v>52</v>
      </c>
      <c r="C53" s="82" t="s">
        <v>12386</v>
      </c>
      <c r="D53" s="83" t="s">
        <v>12387</v>
      </c>
      <c r="E53" s="92">
        <v>168.0</v>
      </c>
      <c r="F53" s="281" t="s">
        <v>67</v>
      </c>
    </row>
    <row r="54" ht="15.0" customHeight="1">
      <c r="A54" s="82" t="s">
        <v>67</v>
      </c>
      <c r="B54" s="82" t="s">
        <v>52</v>
      </c>
      <c r="C54" s="82" t="s">
        <v>12379</v>
      </c>
      <c r="D54" s="83">
        <v>56.0</v>
      </c>
      <c r="E54" s="92">
        <v>56.0</v>
      </c>
      <c r="F54" s="281" t="s">
        <v>67</v>
      </c>
    </row>
    <row r="55" ht="15.0" customHeight="1">
      <c r="A55" s="82" t="s">
        <v>8536</v>
      </c>
      <c r="B55" s="82" t="s">
        <v>52</v>
      </c>
      <c r="C55" s="82" t="s">
        <v>12351</v>
      </c>
      <c r="D55" s="83">
        <v>56.0</v>
      </c>
      <c r="E55" s="92">
        <f t="shared" ref="E55:E56" si="6">D55</f>
        <v>56</v>
      </c>
      <c r="F55" s="281" t="s">
        <v>87</v>
      </c>
    </row>
    <row r="56" ht="15.0" customHeight="1">
      <c r="A56" s="148" t="s">
        <v>9219</v>
      </c>
      <c r="B56" s="148" t="s">
        <v>52</v>
      </c>
      <c r="C56" s="148" t="s">
        <v>12388</v>
      </c>
      <c r="D56" s="191">
        <v>56.0</v>
      </c>
      <c r="E56" s="162">
        <f t="shared" si="6"/>
        <v>56</v>
      </c>
      <c r="F56" s="281" t="s">
        <v>59</v>
      </c>
    </row>
    <row r="57" ht="15.0" customHeight="1">
      <c r="A57" s="82" t="s">
        <v>7730</v>
      </c>
      <c r="B57" s="82" t="s">
        <v>52</v>
      </c>
      <c r="C57" s="82" t="s">
        <v>12374</v>
      </c>
      <c r="D57" s="83">
        <v>56.0</v>
      </c>
      <c r="E57" s="92">
        <v>56.0</v>
      </c>
      <c r="F57" s="281" t="s">
        <v>91</v>
      </c>
    </row>
    <row r="58" ht="15.0" customHeight="1">
      <c r="A58" s="82" t="s">
        <v>7730</v>
      </c>
      <c r="B58" s="82" t="s">
        <v>52</v>
      </c>
      <c r="C58" s="82" t="s">
        <v>12389</v>
      </c>
      <c r="D58" s="83">
        <v>200.0</v>
      </c>
      <c r="E58" s="92">
        <v>200.0</v>
      </c>
      <c r="F58" s="281" t="s">
        <v>91</v>
      </c>
    </row>
    <row r="59" ht="15.0" customHeight="1">
      <c r="A59" s="82" t="s">
        <v>85</v>
      </c>
      <c r="B59" s="82" t="s">
        <v>52</v>
      </c>
      <c r="C59" s="82" t="s">
        <v>12351</v>
      </c>
      <c r="D59" s="83">
        <v>56.0</v>
      </c>
      <c r="E59" s="92">
        <f t="shared" ref="E59:E61" si="7">D59</f>
        <v>56</v>
      </c>
      <c r="F59" s="281" t="s">
        <v>85</v>
      </c>
    </row>
    <row r="60" ht="15.0" customHeight="1">
      <c r="A60" s="82" t="s">
        <v>85</v>
      </c>
      <c r="B60" s="82" t="s">
        <v>52</v>
      </c>
      <c r="C60" s="82" t="s">
        <v>12390</v>
      </c>
      <c r="D60" s="83">
        <v>200.0</v>
      </c>
      <c r="E60" s="92">
        <f t="shared" si="7"/>
        <v>200</v>
      </c>
      <c r="F60" s="281" t="s">
        <v>85</v>
      </c>
    </row>
    <row r="61" ht="15.0" customHeight="1">
      <c r="A61" s="82" t="s">
        <v>85</v>
      </c>
      <c r="B61" s="82" t="s">
        <v>52</v>
      </c>
      <c r="C61" s="82" t="s">
        <v>12391</v>
      </c>
      <c r="D61" s="83">
        <v>200.0</v>
      </c>
      <c r="E61" s="92">
        <f t="shared" si="7"/>
        <v>200</v>
      </c>
      <c r="F61" s="281" t="s">
        <v>85</v>
      </c>
    </row>
    <row r="62" ht="15.0" customHeight="1">
      <c r="A62" s="82" t="s">
        <v>85</v>
      </c>
      <c r="B62" s="82" t="s">
        <v>52</v>
      </c>
      <c r="C62" s="82" t="s">
        <v>12392</v>
      </c>
      <c r="D62" s="83">
        <v>90.0</v>
      </c>
      <c r="E62" s="92">
        <v>90.0</v>
      </c>
      <c r="F62" s="281" t="s">
        <v>85</v>
      </c>
    </row>
    <row r="63" ht="15.0" customHeight="1">
      <c r="A63" s="82" t="s">
        <v>85</v>
      </c>
      <c r="B63" s="82" t="s">
        <v>52</v>
      </c>
      <c r="C63" s="82" t="s">
        <v>12393</v>
      </c>
      <c r="D63" s="83">
        <v>90.0</v>
      </c>
      <c r="E63" s="92">
        <v>90.0</v>
      </c>
      <c r="F63" s="281" t="s">
        <v>85</v>
      </c>
    </row>
    <row r="64" ht="15.0" customHeight="1">
      <c r="A64" s="82" t="s">
        <v>7731</v>
      </c>
      <c r="B64" s="82" t="s">
        <v>52</v>
      </c>
      <c r="C64" s="82" t="s">
        <v>12355</v>
      </c>
      <c r="D64" s="83">
        <v>56.0</v>
      </c>
      <c r="E64" s="92">
        <v>56.0</v>
      </c>
      <c r="F64" s="281" t="s">
        <v>81</v>
      </c>
    </row>
    <row r="65" ht="15.0" customHeight="1">
      <c r="A65" s="82" t="s">
        <v>7731</v>
      </c>
      <c r="B65" s="82" t="s">
        <v>52</v>
      </c>
      <c r="C65" s="82" t="s">
        <v>12394</v>
      </c>
      <c r="D65" s="83">
        <v>200.0</v>
      </c>
      <c r="E65" s="92">
        <v>200.0</v>
      </c>
      <c r="F65" s="281" t="s">
        <v>81</v>
      </c>
    </row>
    <row r="66" ht="15.0" customHeight="1">
      <c r="A66" s="82" t="s">
        <v>10646</v>
      </c>
      <c r="B66" s="82" t="s">
        <v>52</v>
      </c>
      <c r="C66" s="82" t="s">
        <v>12395</v>
      </c>
      <c r="D66" s="83">
        <v>200.0</v>
      </c>
      <c r="E66" s="92">
        <f t="shared" ref="E66:E71" si="8">D66</f>
        <v>200</v>
      </c>
      <c r="F66" s="281" t="s">
        <v>515</v>
      </c>
    </row>
    <row r="67" ht="15.0" customHeight="1">
      <c r="A67" s="82" t="s">
        <v>10646</v>
      </c>
      <c r="B67" s="82" t="s">
        <v>52</v>
      </c>
      <c r="C67" s="82" t="s">
        <v>12367</v>
      </c>
      <c r="D67" s="83">
        <v>56.0</v>
      </c>
      <c r="E67" s="92">
        <f t="shared" si="8"/>
        <v>56</v>
      </c>
      <c r="F67" s="281" t="s">
        <v>515</v>
      </c>
    </row>
    <row r="68" ht="15.0" customHeight="1">
      <c r="A68" s="82" t="s">
        <v>10646</v>
      </c>
      <c r="B68" s="82" t="s">
        <v>52</v>
      </c>
      <c r="C68" s="82" t="s">
        <v>12396</v>
      </c>
      <c r="D68" s="83">
        <f t="shared" ref="D68:D69" si="9">12*14</f>
        <v>168</v>
      </c>
      <c r="E68" s="92">
        <f t="shared" si="8"/>
        <v>168</v>
      </c>
      <c r="F68" s="281" t="s">
        <v>515</v>
      </c>
    </row>
    <row r="69" ht="15.0" customHeight="1">
      <c r="A69" s="82" t="s">
        <v>10646</v>
      </c>
      <c r="B69" s="82" t="s">
        <v>52</v>
      </c>
      <c r="C69" s="82" t="s">
        <v>12397</v>
      </c>
      <c r="D69" s="83">
        <f t="shared" si="9"/>
        <v>168</v>
      </c>
      <c r="E69" s="92">
        <f t="shared" si="8"/>
        <v>168</v>
      </c>
      <c r="F69" s="281" t="s">
        <v>515</v>
      </c>
    </row>
    <row r="70" ht="15.0" customHeight="1">
      <c r="A70" s="82" t="s">
        <v>8556</v>
      </c>
      <c r="B70" s="82" t="s">
        <v>52</v>
      </c>
      <c r="C70" s="82" t="s">
        <v>12398</v>
      </c>
      <c r="D70" s="83">
        <v>200.0</v>
      </c>
      <c r="E70" s="92">
        <f t="shared" si="8"/>
        <v>200</v>
      </c>
      <c r="F70" s="281" t="s">
        <v>528</v>
      </c>
    </row>
    <row r="71" ht="15.0" customHeight="1">
      <c r="A71" s="82" t="s">
        <v>8556</v>
      </c>
      <c r="B71" s="82" t="s">
        <v>52</v>
      </c>
      <c r="C71" s="82" t="s">
        <v>12399</v>
      </c>
      <c r="D71" s="83">
        <v>56.0</v>
      </c>
      <c r="E71" s="92">
        <f t="shared" si="8"/>
        <v>56</v>
      </c>
      <c r="F71" s="281" t="s">
        <v>528</v>
      </c>
    </row>
    <row r="72" ht="15.0" customHeight="1">
      <c r="A72" s="82" t="s">
        <v>528</v>
      </c>
      <c r="B72" s="82" t="s">
        <v>52</v>
      </c>
      <c r="C72" s="82" t="s">
        <v>12400</v>
      </c>
      <c r="D72" s="83">
        <v>90.0</v>
      </c>
      <c r="E72" s="92">
        <v>90.0</v>
      </c>
      <c r="F72" s="281" t="s">
        <v>528</v>
      </c>
    </row>
    <row r="73" ht="15.0" customHeight="1">
      <c r="A73" s="82" t="s">
        <v>8558</v>
      </c>
      <c r="B73" s="82" t="s">
        <v>52</v>
      </c>
      <c r="C73" s="82" t="s">
        <v>12355</v>
      </c>
      <c r="D73" s="83">
        <v>56.0</v>
      </c>
      <c r="E73" s="92">
        <f t="shared" ref="E73:E76" si="10">D73</f>
        <v>56</v>
      </c>
      <c r="F73" s="281" t="s">
        <v>533</v>
      </c>
    </row>
    <row r="74" ht="15.0" customHeight="1">
      <c r="A74" s="82" t="s">
        <v>8558</v>
      </c>
      <c r="B74" s="82" t="s">
        <v>52</v>
      </c>
      <c r="C74" s="82" t="s">
        <v>12401</v>
      </c>
      <c r="D74" s="83">
        <v>200.0</v>
      </c>
      <c r="E74" s="92">
        <f t="shared" si="10"/>
        <v>200</v>
      </c>
      <c r="F74" s="281" t="s">
        <v>533</v>
      </c>
    </row>
    <row r="75" ht="15.0" customHeight="1">
      <c r="A75" s="82" t="s">
        <v>8558</v>
      </c>
      <c r="B75" s="82" t="s">
        <v>52</v>
      </c>
      <c r="C75" s="82" t="s">
        <v>12402</v>
      </c>
      <c r="D75" s="83">
        <v>200.0</v>
      </c>
      <c r="E75" s="92">
        <f t="shared" si="10"/>
        <v>200</v>
      </c>
      <c r="F75" s="281" t="s">
        <v>533</v>
      </c>
    </row>
    <row r="76" ht="15.0" customHeight="1">
      <c r="A76" s="82" t="s">
        <v>8558</v>
      </c>
      <c r="B76" s="82" t="s">
        <v>52</v>
      </c>
      <c r="C76" s="82" t="s">
        <v>12403</v>
      </c>
      <c r="D76" s="83">
        <v>90.0</v>
      </c>
      <c r="E76" s="92">
        <f t="shared" si="10"/>
        <v>90</v>
      </c>
      <c r="F76" s="281" t="s">
        <v>533</v>
      </c>
    </row>
    <row r="77" ht="15.0" customHeight="1">
      <c r="A77" s="82" t="s">
        <v>8558</v>
      </c>
      <c r="B77" s="82" t="s">
        <v>52</v>
      </c>
      <c r="C77" s="82" t="s">
        <v>12404</v>
      </c>
      <c r="D77" s="83">
        <f>12*14+10*14</f>
        <v>308</v>
      </c>
      <c r="E77" s="92">
        <v>308.0</v>
      </c>
      <c r="F77" s="281" t="s">
        <v>533</v>
      </c>
    </row>
    <row r="78" ht="15.0" customHeight="1">
      <c r="A78" s="82" t="s">
        <v>9223</v>
      </c>
      <c r="B78" s="82" t="s">
        <v>52</v>
      </c>
      <c r="C78" s="82" t="s">
        <v>12405</v>
      </c>
      <c r="D78" s="83">
        <v>56.0</v>
      </c>
      <c r="E78" s="92">
        <v>56.0</v>
      </c>
      <c r="F78" s="281" t="s">
        <v>77</v>
      </c>
    </row>
    <row r="79" ht="15.0" customHeight="1">
      <c r="A79" s="82" t="s">
        <v>9224</v>
      </c>
      <c r="B79" s="82" t="s">
        <v>52</v>
      </c>
      <c r="C79" s="82" t="s">
        <v>12355</v>
      </c>
      <c r="D79" s="83">
        <v>56.0</v>
      </c>
      <c r="E79" s="92">
        <v>56.0</v>
      </c>
      <c r="F79" s="281" t="s">
        <v>542</v>
      </c>
    </row>
    <row r="80" ht="15.0" customHeight="1">
      <c r="A80" s="82" t="s">
        <v>78</v>
      </c>
      <c r="B80" s="82" t="s">
        <v>52</v>
      </c>
      <c r="C80" s="82" t="s">
        <v>12367</v>
      </c>
      <c r="D80" s="83">
        <v>56.0</v>
      </c>
      <c r="E80" s="92">
        <v>56.0</v>
      </c>
      <c r="F80" s="281" t="s">
        <v>78</v>
      </c>
    </row>
    <row r="81" ht="15.0" customHeight="1">
      <c r="A81" s="82" t="s">
        <v>74</v>
      </c>
      <c r="B81" s="82" t="s">
        <v>1783</v>
      </c>
      <c r="C81" s="82" t="s">
        <v>12367</v>
      </c>
      <c r="D81" s="83">
        <v>56.0</v>
      </c>
      <c r="E81" s="92">
        <v>56.0</v>
      </c>
      <c r="F81" s="281" t="s">
        <v>74</v>
      </c>
    </row>
    <row r="82" ht="15.0" customHeight="1">
      <c r="A82" s="82" t="s">
        <v>9226</v>
      </c>
      <c r="B82" s="82" t="s">
        <v>52</v>
      </c>
      <c r="C82" s="82" t="s">
        <v>12355</v>
      </c>
      <c r="D82" s="83">
        <v>56.0</v>
      </c>
      <c r="E82" s="92">
        <v>56.0</v>
      </c>
      <c r="F82" s="281" t="s">
        <v>56</v>
      </c>
    </row>
    <row r="83" ht="15.0" customHeight="1">
      <c r="A83" s="82" t="s">
        <v>89</v>
      </c>
      <c r="B83" s="82" t="s">
        <v>52</v>
      </c>
      <c r="C83" s="82" t="s">
        <v>12355</v>
      </c>
      <c r="D83" s="83">
        <v>56.0</v>
      </c>
      <c r="E83" s="92">
        <v>56.0</v>
      </c>
      <c r="F83" s="281" t="s">
        <v>89</v>
      </c>
    </row>
    <row r="84" ht="15.0" customHeight="1">
      <c r="A84" s="82" t="s">
        <v>8562</v>
      </c>
      <c r="B84" s="82" t="s">
        <v>52</v>
      </c>
      <c r="C84" s="82" t="s">
        <v>12406</v>
      </c>
      <c r="D84" s="83">
        <v>200.0</v>
      </c>
      <c r="E84" s="92">
        <v>200.0</v>
      </c>
      <c r="F84" s="281" t="s">
        <v>65</v>
      </c>
    </row>
    <row r="85" ht="15.0" customHeight="1">
      <c r="A85" s="82" t="s">
        <v>8562</v>
      </c>
      <c r="B85" s="82" t="s">
        <v>52</v>
      </c>
      <c r="C85" s="82" t="s">
        <v>12407</v>
      </c>
      <c r="D85" s="83">
        <v>56.0</v>
      </c>
      <c r="E85" s="92">
        <v>56.0</v>
      </c>
      <c r="F85" s="281" t="s">
        <v>65</v>
      </c>
    </row>
    <row r="86" ht="15.75" customHeight="1">
      <c r="A86" s="82" t="s">
        <v>9228</v>
      </c>
      <c r="B86" s="82" t="s">
        <v>94</v>
      </c>
      <c r="C86" s="82" t="s">
        <v>12408</v>
      </c>
      <c r="D86" s="83">
        <v>56.0</v>
      </c>
      <c r="E86" s="92">
        <v>56.0</v>
      </c>
      <c r="F86" s="281" t="s">
        <v>5258</v>
      </c>
    </row>
    <row r="87" ht="15.75" customHeight="1">
      <c r="A87" s="82" t="s">
        <v>9228</v>
      </c>
      <c r="B87" s="82" t="s">
        <v>94</v>
      </c>
      <c r="C87" s="82" t="s">
        <v>12409</v>
      </c>
      <c r="D87" s="83">
        <v>200.0</v>
      </c>
      <c r="E87" s="92">
        <v>200.0</v>
      </c>
      <c r="F87" s="281" t="s">
        <v>5258</v>
      </c>
    </row>
    <row r="88" ht="15.0" customHeight="1">
      <c r="A88" s="100" t="s">
        <v>8566</v>
      </c>
      <c r="B88" s="100" t="s">
        <v>94</v>
      </c>
      <c r="C88" s="100" t="s">
        <v>12367</v>
      </c>
      <c r="D88" s="156">
        <v>56.0</v>
      </c>
      <c r="E88" s="151">
        <f t="shared" ref="E88:E89" si="11">D88</f>
        <v>56</v>
      </c>
      <c r="F88" s="281" t="s">
        <v>5698</v>
      </c>
    </row>
    <row r="89" ht="15.0" customHeight="1">
      <c r="A89" s="100" t="s">
        <v>8566</v>
      </c>
      <c r="B89" s="100" t="s">
        <v>94</v>
      </c>
      <c r="C89" s="100" t="s">
        <v>12410</v>
      </c>
      <c r="D89" s="156">
        <v>200.0</v>
      </c>
      <c r="E89" s="151">
        <f t="shared" si="11"/>
        <v>200</v>
      </c>
      <c r="F89" s="281" t="s">
        <v>5698</v>
      </c>
    </row>
    <row r="90" ht="15.0" customHeight="1">
      <c r="A90" s="82" t="s">
        <v>12411</v>
      </c>
      <c r="B90" s="82" t="s">
        <v>94</v>
      </c>
      <c r="C90" s="82" t="s">
        <v>12412</v>
      </c>
      <c r="D90" s="83">
        <v>200.0</v>
      </c>
      <c r="E90" s="92">
        <v>200.0</v>
      </c>
      <c r="F90" s="281" t="s">
        <v>8578</v>
      </c>
    </row>
    <row r="91" ht="15.0" customHeight="1">
      <c r="A91" s="82" t="s">
        <v>12411</v>
      </c>
      <c r="B91" s="82" t="s">
        <v>94</v>
      </c>
      <c r="C91" s="82" t="s">
        <v>12351</v>
      </c>
      <c r="D91" s="83">
        <v>56.0</v>
      </c>
      <c r="E91" s="92">
        <v>56.0</v>
      </c>
      <c r="F91" s="281" t="s">
        <v>8578</v>
      </c>
    </row>
    <row r="92" ht="15.0" customHeight="1">
      <c r="A92" s="82" t="s">
        <v>12411</v>
      </c>
      <c r="B92" s="82" t="s">
        <v>94</v>
      </c>
      <c r="C92" s="82" t="s">
        <v>12413</v>
      </c>
      <c r="D92" s="83">
        <v>90.0</v>
      </c>
      <c r="E92" s="92">
        <v>90.0</v>
      </c>
      <c r="F92" s="281" t="s">
        <v>8578</v>
      </c>
    </row>
    <row r="93" ht="15.0" customHeight="1">
      <c r="A93" s="82" t="s">
        <v>566</v>
      </c>
      <c r="B93" s="82" t="s">
        <v>182</v>
      </c>
      <c r="C93" s="82" t="s">
        <v>12367</v>
      </c>
      <c r="D93" s="83">
        <v>56.0</v>
      </c>
      <c r="E93" s="92">
        <v>56.0</v>
      </c>
      <c r="F93" s="281" t="s">
        <v>566</v>
      </c>
    </row>
    <row r="94" ht="15.0" customHeight="1">
      <c r="A94" s="82" t="s">
        <v>2704</v>
      </c>
      <c r="B94" s="82" t="s">
        <v>94</v>
      </c>
      <c r="C94" s="82" t="s">
        <v>12374</v>
      </c>
      <c r="D94" s="83">
        <v>56.0</v>
      </c>
      <c r="E94" s="92">
        <v>56.0</v>
      </c>
      <c r="F94" s="281" t="s">
        <v>2704</v>
      </c>
    </row>
    <row r="95" ht="15.0" customHeight="1">
      <c r="A95" s="82" t="s">
        <v>7901</v>
      </c>
      <c r="B95" s="82" t="s">
        <v>94</v>
      </c>
      <c r="C95" s="82" t="s">
        <v>12414</v>
      </c>
      <c r="D95" s="83">
        <v>56.0</v>
      </c>
      <c r="E95" s="83">
        <v>56.0</v>
      </c>
      <c r="F95" s="281" t="s">
        <v>590</v>
      </c>
    </row>
    <row r="96" ht="15.0" customHeight="1">
      <c r="A96" s="82" t="s">
        <v>7901</v>
      </c>
      <c r="B96" s="82" t="s">
        <v>94</v>
      </c>
      <c r="C96" s="82" t="s">
        <v>12415</v>
      </c>
      <c r="D96" s="83">
        <v>200.0</v>
      </c>
      <c r="E96" s="92">
        <v>200.0</v>
      </c>
      <c r="F96" s="281" t="s">
        <v>590</v>
      </c>
    </row>
    <row r="97" ht="15.0" customHeight="1">
      <c r="A97" s="82" t="s">
        <v>7901</v>
      </c>
      <c r="B97" s="82" t="s">
        <v>94</v>
      </c>
      <c r="C97" s="82" t="s">
        <v>12416</v>
      </c>
      <c r="D97" s="83">
        <v>200.0</v>
      </c>
      <c r="E97" s="92">
        <v>200.0</v>
      </c>
      <c r="F97" s="281" t="s">
        <v>590</v>
      </c>
    </row>
    <row r="98" ht="15.0" customHeight="1">
      <c r="A98" s="100" t="s">
        <v>8608</v>
      </c>
      <c r="B98" s="100" t="s">
        <v>94</v>
      </c>
      <c r="C98" s="100" t="s">
        <v>12367</v>
      </c>
      <c r="D98" s="156">
        <v>56.0</v>
      </c>
      <c r="E98" s="151">
        <f t="shared" ref="E98:E100" si="12">D98</f>
        <v>56</v>
      </c>
      <c r="F98" s="281" t="s">
        <v>616</v>
      </c>
    </row>
    <row r="99" ht="15.0" customHeight="1">
      <c r="A99" s="100" t="s">
        <v>8608</v>
      </c>
      <c r="B99" s="100" t="s">
        <v>94</v>
      </c>
      <c r="C99" s="100" t="s">
        <v>12417</v>
      </c>
      <c r="D99" s="156">
        <f t="shared" ref="D99:D100" si="13">12*14</f>
        <v>168</v>
      </c>
      <c r="E99" s="151">
        <f t="shared" si="12"/>
        <v>168</v>
      </c>
      <c r="F99" s="281" t="s">
        <v>616</v>
      </c>
    </row>
    <row r="100" ht="15.0" customHeight="1">
      <c r="A100" s="100" t="s">
        <v>8608</v>
      </c>
      <c r="B100" s="100" t="s">
        <v>94</v>
      </c>
      <c r="C100" s="100" t="s">
        <v>12418</v>
      </c>
      <c r="D100" s="156">
        <f t="shared" si="13"/>
        <v>168</v>
      </c>
      <c r="E100" s="151">
        <f t="shared" si="12"/>
        <v>168</v>
      </c>
      <c r="F100" s="281" t="s">
        <v>616</v>
      </c>
    </row>
    <row r="101" ht="15.0" customHeight="1">
      <c r="A101" s="82" t="s">
        <v>2853</v>
      </c>
      <c r="B101" s="82" t="s">
        <v>94</v>
      </c>
      <c r="C101" s="82" t="s">
        <v>12351</v>
      </c>
      <c r="D101" s="83">
        <v>56.0</v>
      </c>
      <c r="E101" s="92">
        <v>56.0</v>
      </c>
      <c r="F101" s="281" t="s">
        <v>2853</v>
      </c>
    </row>
    <row r="102" ht="15.0" customHeight="1">
      <c r="A102" s="82" t="s">
        <v>2853</v>
      </c>
      <c r="B102" s="82" t="s">
        <v>94</v>
      </c>
      <c r="C102" s="82" t="s">
        <v>12419</v>
      </c>
      <c r="D102" s="83">
        <v>200.0</v>
      </c>
      <c r="E102" s="92">
        <v>200.0</v>
      </c>
      <c r="F102" s="281" t="s">
        <v>2853</v>
      </c>
    </row>
    <row r="103" ht="15.0" customHeight="1">
      <c r="A103" s="82" t="s">
        <v>626</v>
      </c>
      <c r="B103" s="82" t="s">
        <v>94</v>
      </c>
      <c r="C103" s="82" t="s">
        <v>12420</v>
      </c>
      <c r="D103" s="83">
        <v>56.0</v>
      </c>
      <c r="E103" s="83">
        <v>56.0</v>
      </c>
      <c r="F103" s="281" t="s">
        <v>626</v>
      </c>
    </row>
    <row r="104" ht="15.0" customHeight="1">
      <c r="A104" s="148" t="s">
        <v>9249</v>
      </c>
      <c r="B104" s="148" t="s">
        <v>5327</v>
      </c>
      <c r="C104" s="148" t="s">
        <v>12351</v>
      </c>
      <c r="D104" s="275">
        <v>56.0</v>
      </c>
      <c r="E104" s="83">
        <v>56.0</v>
      </c>
      <c r="F104" s="281" t="s">
        <v>5331</v>
      </c>
    </row>
    <row r="105" ht="15.0" customHeight="1">
      <c r="A105" s="148" t="s">
        <v>9249</v>
      </c>
      <c r="B105" s="148" t="s">
        <v>5327</v>
      </c>
      <c r="C105" s="148" t="s">
        <v>12394</v>
      </c>
      <c r="D105" s="275">
        <v>200.0</v>
      </c>
      <c r="E105" s="83">
        <v>200.0</v>
      </c>
      <c r="F105" s="281" t="s">
        <v>5331</v>
      </c>
    </row>
    <row r="106" ht="15.0" customHeight="1">
      <c r="A106" s="148" t="s">
        <v>9249</v>
      </c>
      <c r="B106" s="148" t="s">
        <v>5327</v>
      </c>
      <c r="C106" s="148" t="s">
        <v>12413</v>
      </c>
      <c r="D106" s="275">
        <v>90.0</v>
      </c>
      <c r="E106" s="83">
        <v>90.0</v>
      </c>
      <c r="F106" s="281" t="s">
        <v>5331</v>
      </c>
    </row>
    <row r="107" ht="15.0" customHeight="1">
      <c r="A107" s="148" t="s">
        <v>9249</v>
      </c>
      <c r="B107" s="148" t="s">
        <v>5327</v>
      </c>
      <c r="C107" s="148" t="s">
        <v>12421</v>
      </c>
      <c r="D107" s="507">
        <v>336.0</v>
      </c>
      <c r="E107" s="83">
        <v>336.0</v>
      </c>
      <c r="F107" s="281" t="s">
        <v>5331</v>
      </c>
    </row>
    <row r="108" ht="15.0" customHeight="1">
      <c r="A108" s="82" t="s">
        <v>9011</v>
      </c>
      <c r="B108" s="82" t="s">
        <v>94</v>
      </c>
      <c r="C108" s="82" t="s">
        <v>12422</v>
      </c>
      <c r="D108" s="83">
        <v>200.0</v>
      </c>
      <c r="E108" s="92">
        <v>200.0</v>
      </c>
      <c r="F108" s="281" t="s">
        <v>646</v>
      </c>
    </row>
    <row r="109" ht="15.0" customHeight="1">
      <c r="A109" s="82" t="s">
        <v>9011</v>
      </c>
      <c r="B109" s="82" t="s">
        <v>94</v>
      </c>
      <c r="C109" s="82" t="s">
        <v>12423</v>
      </c>
      <c r="D109" s="83">
        <v>200.0</v>
      </c>
      <c r="E109" s="92">
        <v>200.0</v>
      </c>
      <c r="F109" s="281" t="s">
        <v>646</v>
      </c>
    </row>
    <row r="110" ht="15.0" customHeight="1">
      <c r="A110" s="82" t="s">
        <v>9011</v>
      </c>
      <c r="B110" s="82" t="s">
        <v>94</v>
      </c>
      <c r="C110" s="82" t="s">
        <v>12424</v>
      </c>
      <c r="D110" s="83">
        <v>336.0</v>
      </c>
      <c r="E110" s="92">
        <v>336.0</v>
      </c>
      <c r="F110" s="281" t="s">
        <v>646</v>
      </c>
    </row>
    <row r="111" ht="15.0" customHeight="1">
      <c r="A111" s="82" t="s">
        <v>9011</v>
      </c>
      <c r="B111" s="82" t="s">
        <v>94</v>
      </c>
      <c r="C111" s="82" t="s">
        <v>12425</v>
      </c>
      <c r="D111" s="83">
        <v>364.0</v>
      </c>
      <c r="E111" s="92">
        <v>364.0</v>
      </c>
      <c r="F111" s="281" t="s">
        <v>646</v>
      </c>
    </row>
    <row r="112" ht="15.0" customHeight="1">
      <c r="A112" s="82" t="s">
        <v>9011</v>
      </c>
      <c r="B112" s="82" t="s">
        <v>94</v>
      </c>
      <c r="C112" s="82" t="s">
        <v>12355</v>
      </c>
      <c r="D112" s="83">
        <v>56.0</v>
      </c>
      <c r="E112" s="92">
        <v>56.0</v>
      </c>
      <c r="F112" s="281" t="s">
        <v>646</v>
      </c>
    </row>
    <row r="113" ht="15.0" customHeight="1">
      <c r="A113" s="82" t="s">
        <v>655</v>
      </c>
      <c r="B113" s="82" t="s">
        <v>94</v>
      </c>
      <c r="C113" s="82" t="s">
        <v>12351</v>
      </c>
      <c r="D113" s="83">
        <v>56.0</v>
      </c>
      <c r="E113" s="92">
        <v>56.0</v>
      </c>
      <c r="F113" s="281" t="s">
        <v>655</v>
      </c>
    </row>
    <row r="114" ht="15.0" customHeight="1">
      <c r="A114" s="82" t="s">
        <v>655</v>
      </c>
      <c r="B114" s="82" t="s">
        <v>94</v>
      </c>
      <c r="C114" s="82" t="s">
        <v>12426</v>
      </c>
      <c r="D114" s="83">
        <v>200.0</v>
      </c>
      <c r="E114" s="92">
        <v>200.0</v>
      </c>
      <c r="F114" s="281" t="s">
        <v>655</v>
      </c>
    </row>
    <row r="115" ht="15.0" customHeight="1">
      <c r="A115" s="82" t="s">
        <v>655</v>
      </c>
      <c r="B115" s="82" t="s">
        <v>94</v>
      </c>
      <c r="C115" s="82" t="s">
        <v>12427</v>
      </c>
      <c r="D115" s="83">
        <v>90.0</v>
      </c>
      <c r="E115" s="92">
        <v>90.0</v>
      </c>
      <c r="F115" s="281" t="s">
        <v>655</v>
      </c>
    </row>
    <row r="116" ht="15.0" customHeight="1">
      <c r="A116" s="82" t="s">
        <v>9604</v>
      </c>
      <c r="B116" s="82" t="s">
        <v>94</v>
      </c>
      <c r="C116" s="82" t="s">
        <v>12428</v>
      </c>
      <c r="D116" s="83">
        <v>56.0</v>
      </c>
      <c r="E116" s="92">
        <v>56.0</v>
      </c>
      <c r="F116" s="281" t="s">
        <v>3018</v>
      </c>
    </row>
    <row r="117" ht="15.0" customHeight="1">
      <c r="A117" s="82" t="s">
        <v>9604</v>
      </c>
      <c r="B117" s="82" t="s">
        <v>52</v>
      </c>
      <c r="C117" s="82" t="s">
        <v>12429</v>
      </c>
      <c r="D117" s="83">
        <v>200.0</v>
      </c>
      <c r="E117" s="92">
        <v>200.0</v>
      </c>
      <c r="F117" s="281" t="s">
        <v>3018</v>
      </c>
    </row>
    <row r="118" ht="15.0" customHeight="1">
      <c r="A118" s="82" t="s">
        <v>5706</v>
      </c>
      <c r="B118" s="82" t="s">
        <v>94</v>
      </c>
      <c r="C118" s="82" t="s">
        <v>12355</v>
      </c>
      <c r="D118" s="83">
        <v>56.0</v>
      </c>
      <c r="E118" s="92">
        <v>56.0</v>
      </c>
      <c r="F118" s="281" t="s">
        <v>5709</v>
      </c>
    </row>
    <row r="119" ht="15.0" customHeight="1">
      <c r="A119" s="148" t="s">
        <v>3050</v>
      </c>
      <c r="B119" s="148" t="s">
        <v>94</v>
      </c>
      <c r="C119" s="148" t="s">
        <v>12430</v>
      </c>
      <c r="D119" s="191">
        <v>200.0</v>
      </c>
      <c r="E119" s="162">
        <v>200.0</v>
      </c>
      <c r="F119" s="281" t="s">
        <v>3050</v>
      </c>
    </row>
    <row r="120" ht="15.0" customHeight="1">
      <c r="A120" s="148" t="s">
        <v>3050</v>
      </c>
      <c r="B120" s="148" t="s">
        <v>94</v>
      </c>
      <c r="C120" s="148" t="s">
        <v>12355</v>
      </c>
      <c r="D120" s="191">
        <v>56.0</v>
      </c>
      <c r="E120" s="162">
        <v>56.0</v>
      </c>
      <c r="F120" s="281" t="s">
        <v>3050</v>
      </c>
    </row>
    <row r="121" ht="15.0" customHeight="1">
      <c r="A121" s="148" t="s">
        <v>3050</v>
      </c>
      <c r="B121" s="148" t="s">
        <v>94</v>
      </c>
      <c r="C121" s="148" t="s">
        <v>12431</v>
      </c>
      <c r="D121" s="191">
        <v>90.0</v>
      </c>
      <c r="E121" s="162">
        <v>90.0</v>
      </c>
      <c r="F121" s="281" t="s">
        <v>3050</v>
      </c>
    </row>
    <row r="122" ht="15.0" customHeight="1">
      <c r="A122" s="82" t="s">
        <v>7972</v>
      </c>
      <c r="B122" s="82" t="s">
        <v>94</v>
      </c>
      <c r="C122" s="82" t="s">
        <v>12432</v>
      </c>
      <c r="D122" s="83">
        <v>200.0</v>
      </c>
      <c r="E122" s="92">
        <v>200.0</v>
      </c>
      <c r="F122" s="281" t="s">
        <v>5354</v>
      </c>
    </row>
    <row r="123" ht="15.0" customHeight="1">
      <c r="A123" s="82" t="s">
        <v>8639</v>
      </c>
      <c r="B123" s="82" t="s">
        <v>94</v>
      </c>
      <c r="C123" s="82" t="s">
        <v>12351</v>
      </c>
      <c r="D123" s="83">
        <v>56.0</v>
      </c>
      <c r="E123" s="92">
        <f>D123</f>
        <v>56</v>
      </c>
      <c r="F123" s="281" t="s">
        <v>3078</v>
      </c>
    </row>
    <row r="124" ht="15.0" customHeight="1">
      <c r="A124" s="82" t="s">
        <v>12433</v>
      </c>
      <c r="B124" s="82" t="s">
        <v>12434</v>
      </c>
      <c r="C124" s="82" t="s">
        <v>12435</v>
      </c>
      <c r="D124" s="83">
        <f t="shared" ref="D124:D125" si="14">12*28</f>
        <v>336</v>
      </c>
      <c r="E124" s="92">
        <f t="shared" ref="E124:E125" si="15">D124/2</f>
        <v>168</v>
      </c>
      <c r="F124" s="281" t="s">
        <v>3078</v>
      </c>
    </row>
    <row r="125" ht="15.0" customHeight="1">
      <c r="A125" s="82" t="s">
        <v>12433</v>
      </c>
      <c r="B125" s="82" t="s">
        <v>12434</v>
      </c>
      <c r="C125" s="82" t="s">
        <v>12436</v>
      </c>
      <c r="D125" s="83">
        <f t="shared" si="14"/>
        <v>336</v>
      </c>
      <c r="E125" s="92">
        <f t="shared" si="15"/>
        <v>168</v>
      </c>
      <c r="F125" s="281" t="s">
        <v>3078</v>
      </c>
    </row>
    <row r="126" ht="15.0" customHeight="1">
      <c r="A126" s="82" t="s">
        <v>12437</v>
      </c>
      <c r="B126" s="82" t="s">
        <v>94</v>
      </c>
      <c r="C126" s="82" t="s">
        <v>12438</v>
      </c>
      <c r="D126" s="83">
        <v>56.0</v>
      </c>
      <c r="E126" s="92">
        <v>56.0</v>
      </c>
      <c r="F126" s="281" t="s">
        <v>661</v>
      </c>
    </row>
    <row r="127" ht="15.0" customHeight="1">
      <c r="A127" s="82" t="s">
        <v>9258</v>
      </c>
      <c r="B127" s="82" t="s">
        <v>94</v>
      </c>
      <c r="C127" s="82" t="s">
        <v>12351</v>
      </c>
      <c r="D127" s="83">
        <v>56.0</v>
      </c>
      <c r="E127" s="92">
        <v>56.0</v>
      </c>
      <c r="F127" s="281" t="s">
        <v>3198</v>
      </c>
    </row>
    <row r="128" ht="15.0" customHeight="1">
      <c r="A128" s="82" t="s">
        <v>9258</v>
      </c>
      <c r="B128" s="82" t="s">
        <v>94</v>
      </c>
      <c r="C128" s="82" t="s">
        <v>12439</v>
      </c>
      <c r="D128" s="83">
        <v>200.0</v>
      </c>
      <c r="E128" s="92">
        <v>200.0</v>
      </c>
      <c r="F128" s="281" t="s">
        <v>3198</v>
      </c>
    </row>
    <row r="129" ht="15.0" customHeight="1">
      <c r="A129" s="82" t="s">
        <v>3203</v>
      </c>
      <c r="B129" s="82" t="s">
        <v>94</v>
      </c>
      <c r="C129" s="82" t="s">
        <v>12440</v>
      </c>
      <c r="D129" s="83">
        <v>56.0</v>
      </c>
      <c r="E129" s="92">
        <v>56.0</v>
      </c>
      <c r="F129" s="281" t="s">
        <v>3203</v>
      </c>
    </row>
    <row r="130" ht="15.0" customHeight="1">
      <c r="A130" s="82" t="s">
        <v>9659</v>
      </c>
      <c r="B130" s="82" t="s">
        <v>94</v>
      </c>
      <c r="C130" s="82" t="s">
        <v>12441</v>
      </c>
      <c r="D130" s="83">
        <v>56.0</v>
      </c>
      <c r="E130" s="92">
        <v>56.0</v>
      </c>
      <c r="F130" s="281" t="s">
        <v>8962</v>
      </c>
    </row>
    <row r="131" ht="15.0" customHeight="1">
      <c r="A131" s="82" t="s">
        <v>8671</v>
      </c>
      <c r="B131" s="82" t="s">
        <v>94</v>
      </c>
      <c r="C131" s="82" t="s">
        <v>12442</v>
      </c>
      <c r="D131" s="83">
        <v>200.0</v>
      </c>
      <c r="E131" s="92">
        <v>200.0</v>
      </c>
      <c r="F131" s="281" t="s">
        <v>689</v>
      </c>
    </row>
    <row r="132" ht="15.0" customHeight="1">
      <c r="A132" s="82" t="s">
        <v>852</v>
      </c>
      <c r="B132" s="82" t="s">
        <v>94</v>
      </c>
      <c r="C132" s="82" t="s">
        <v>12355</v>
      </c>
      <c r="D132" s="83">
        <v>56.0</v>
      </c>
      <c r="E132" s="92">
        <f>56</f>
        <v>56</v>
      </c>
      <c r="F132" s="281" t="s">
        <v>852</v>
      </c>
    </row>
    <row r="133" ht="15.0" customHeight="1">
      <c r="A133" s="82" t="s">
        <v>861</v>
      </c>
      <c r="B133" s="82" t="s">
        <v>94</v>
      </c>
      <c r="C133" s="82" t="s">
        <v>12443</v>
      </c>
      <c r="D133" s="83">
        <v>200.0</v>
      </c>
      <c r="E133" s="92">
        <v>200.0</v>
      </c>
      <c r="F133" s="281" t="s">
        <v>861</v>
      </c>
    </row>
    <row r="134" ht="15.0" customHeight="1">
      <c r="A134" s="82" t="s">
        <v>870</v>
      </c>
      <c r="B134" s="82" t="s">
        <v>182</v>
      </c>
      <c r="C134" s="82" t="s">
        <v>12444</v>
      </c>
      <c r="D134" s="83">
        <v>56.0</v>
      </c>
      <c r="E134" s="92">
        <v>56.0</v>
      </c>
      <c r="F134" s="281" t="s">
        <v>870</v>
      </c>
    </row>
    <row r="135" ht="15.0" customHeight="1">
      <c r="A135" s="82" t="s">
        <v>870</v>
      </c>
      <c r="B135" s="82" t="s">
        <v>182</v>
      </c>
      <c r="C135" s="82" t="s">
        <v>12445</v>
      </c>
      <c r="D135" s="83">
        <v>200.0</v>
      </c>
      <c r="E135" s="92">
        <v>200.0</v>
      </c>
      <c r="F135" s="281" t="s">
        <v>870</v>
      </c>
    </row>
    <row r="136" ht="15.0" customHeight="1">
      <c r="A136" s="82" t="s">
        <v>870</v>
      </c>
      <c r="B136" s="82" t="s">
        <v>182</v>
      </c>
      <c r="C136" s="82" t="s">
        <v>12446</v>
      </c>
      <c r="D136" s="83">
        <f t="shared" ref="D136:D137" si="16">14*12</f>
        <v>168</v>
      </c>
      <c r="E136" s="92">
        <f t="shared" ref="E136:E137" si="17">D136</f>
        <v>168</v>
      </c>
      <c r="F136" s="281" t="s">
        <v>870</v>
      </c>
    </row>
    <row r="137" ht="15.0" customHeight="1">
      <c r="A137" s="82" t="s">
        <v>870</v>
      </c>
      <c r="B137" s="82" t="s">
        <v>182</v>
      </c>
      <c r="C137" s="82" t="s">
        <v>12447</v>
      </c>
      <c r="D137" s="83">
        <f t="shared" si="16"/>
        <v>168</v>
      </c>
      <c r="E137" s="92">
        <f t="shared" si="17"/>
        <v>168</v>
      </c>
      <c r="F137" s="281" t="s">
        <v>870</v>
      </c>
    </row>
    <row r="138" ht="15.0" customHeight="1">
      <c r="A138" s="82" t="s">
        <v>880</v>
      </c>
      <c r="B138" s="82" t="s">
        <v>94</v>
      </c>
      <c r="C138" s="82" t="s">
        <v>12351</v>
      </c>
      <c r="D138" s="83">
        <v>56.0</v>
      </c>
      <c r="E138" s="92">
        <v>56.0</v>
      </c>
      <c r="F138" s="281" t="s">
        <v>880</v>
      </c>
    </row>
    <row r="139" ht="15.0" customHeight="1">
      <c r="A139" s="148" t="s">
        <v>8090</v>
      </c>
      <c r="B139" s="148" t="s">
        <v>94</v>
      </c>
      <c r="C139" s="148" t="s">
        <v>12428</v>
      </c>
      <c r="D139" s="191">
        <v>56.0</v>
      </c>
      <c r="E139" s="162">
        <v>56.0</v>
      </c>
      <c r="F139" s="281" t="s">
        <v>8094</v>
      </c>
    </row>
    <row r="140" ht="15.0" customHeight="1">
      <c r="A140" s="148" t="s">
        <v>8090</v>
      </c>
      <c r="B140" s="148" t="s">
        <v>94</v>
      </c>
      <c r="C140" s="148" t="s">
        <v>12448</v>
      </c>
      <c r="D140" s="191" t="s">
        <v>9215</v>
      </c>
      <c r="E140" s="162">
        <v>336.0</v>
      </c>
      <c r="F140" s="281" t="s">
        <v>8094</v>
      </c>
    </row>
    <row r="141" ht="15.0" customHeight="1">
      <c r="A141" s="82" t="s">
        <v>954</v>
      </c>
      <c r="B141" s="82" t="s">
        <v>182</v>
      </c>
      <c r="C141" s="82" t="s">
        <v>12399</v>
      </c>
      <c r="D141" s="83">
        <v>56.0</v>
      </c>
      <c r="E141" s="92">
        <v>56.0</v>
      </c>
      <c r="F141" s="281" t="s">
        <v>954</v>
      </c>
    </row>
    <row r="142" ht="15.0" customHeight="1">
      <c r="A142" s="82" t="s">
        <v>9139</v>
      </c>
      <c r="B142" s="82" t="s">
        <v>182</v>
      </c>
      <c r="C142" s="82" t="s">
        <v>12449</v>
      </c>
      <c r="D142" s="83">
        <v>200.0</v>
      </c>
      <c r="E142" s="92">
        <v>200.0</v>
      </c>
      <c r="F142" s="281" t="s">
        <v>5513</v>
      </c>
    </row>
    <row r="143" ht="15.0" customHeight="1">
      <c r="A143" s="82" t="s">
        <v>9139</v>
      </c>
      <c r="B143" s="82" t="s">
        <v>94</v>
      </c>
      <c r="C143" s="82" t="s">
        <v>12431</v>
      </c>
      <c r="D143" s="83">
        <v>90.0</v>
      </c>
      <c r="E143" s="92">
        <v>90.0</v>
      </c>
      <c r="F143" s="281" t="s">
        <v>5513</v>
      </c>
    </row>
    <row r="144" ht="15.0" customHeight="1">
      <c r="A144" s="82" t="s">
        <v>9139</v>
      </c>
      <c r="B144" s="82" t="s">
        <v>182</v>
      </c>
      <c r="C144" s="82" t="s">
        <v>12450</v>
      </c>
      <c r="D144" s="83">
        <v>56.0</v>
      </c>
      <c r="E144" s="92">
        <v>56.0</v>
      </c>
      <c r="F144" s="281" t="s">
        <v>5513</v>
      </c>
    </row>
    <row r="145" ht="15.0" customHeight="1">
      <c r="A145" s="148" t="s">
        <v>4024</v>
      </c>
      <c r="B145" s="148" t="s">
        <v>94</v>
      </c>
      <c r="C145" s="148" t="s">
        <v>12451</v>
      </c>
      <c r="D145" s="191">
        <v>56.0</v>
      </c>
      <c r="E145" s="162">
        <v>56.0</v>
      </c>
      <c r="F145" s="281" t="s">
        <v>4024</v>
      </c>
    </row>
    <row r="146" ht="15.0" customHeight="1">
      <c r="A146" s="148" t="s">
        <v>12452</v>
      </c>
      <c r="B146" s="148" t="s">
        <v>94</v>
      </c>
      <c r="C146" s="148" t="s">
        <v>12453</v>
      </c>
      <c r="D146" s="191">
        <v>336.0</v>
      </c>
      <c r="E146" s="162">
        <v>168.0</v>
      </c>
      <c r="F146" s="281" t="s">
        <v>4024</v>
      </c>
    </row>
    <row r="147" ht="15.0" customHeight="1">
      <c r="A147" s="148" t="s">
        <v>12452</v>
      </c>
      <c r="B147" s="148" t="s">
        <v>94</v>
      </c>
      <c r="C147" s="148" t="s">
        <v>12454</v>
      </c>
      <c r="D147" s="191">
        <v>336.0</v>
      </c>
      <c r="E147" s="162">
        <v>168.0</v>
      </c>
      <c r="F147" s="281" t="s">
        <v>4024</v>
      </c>
    </row>
    <row r="148" ht="15.0" customHeight="1">
      <c r="A148" s="148" t="s">
        <v>4024</v>
      </c>
      <c r="B148" s="148" t="s">
        <v>94</v>
      </c>
      <c r="C148" s="148" t="s">
        <v>12455</v>
      </c>
      <c r="D148" s="191">
        <v>200.0</v>
      </c>
      <c r="E148" s="162">
        <v>200.0</v>
      </c>
      <c r="F148" s="281" t="s">
        <v>4024</v>
      </c>
    </row>
    <row r="149" ht="15.0" customHeight="1">
      <c r="A149" s="148" t="s">
        <v>4024</v>
      </c>
      <c r="B149" s="148" t="s">
        <v>94</v>
      </c>
      <c r="C149" s="148" t="s">
        <v>12456</v>
      </c>
      <c r="D149" s="191">
        <v>200.0</v>
      </c>
      <c r="E149" s="162">
        <v>200.0</v>
      </c>
      <c r="F149" s="281" t="s">
        <v>4024</v>
      </c>
    </row>
    <row r="150" ht="15.0" customHeight="1">
      <c r="A150" s="82" t="s">
        <v>8128</v>
      </c>
      <c r="B150" s="82" t="s">
        <v>94</v>
      </c>
      <c r="C150" s="82" t="s">
        <v>12367</v>
      </c>
      <c r="D150" s="83">
        <v>56.0</v>
      </c>
      <c r="E150" s="92">
        <v>56.0</v>
      </c>
      <c r="F150" s="281" t="s">
        <v>4028</v>
      </c>
    </row>
    <row r="151" ht="15.0" customHeight="1">
      <c r="A151" s="82" t="s">
        <v>9741</v>
      </c>
      <c r="B151" s="82" t="s">
        <v>94</v>
      </c>
      <c r="C151" s="82" t="s">
        <v>12351</v>
      </c>
      <c r="D151" s="83">
        <v>56.0</v>
      </c>
      <c r="E151" s="92">
        <v>56.0</v>
      </c>
      <c r="F151" s="281" t="s">
        <v>4076</v>
      </c>
    </row>
    <row r="152" ht="15.0" customHeight="1">
      <c r="A152" s="82" t="s">
        <v>9283</v>
      </c>
      <c r="B152" s="82" t="s">
        <v>94</v>
      </c>
      <c r="C152" s="82" t="s">
        <v>12367</v>
      </c>
      <c r="D152" s="83">
        <v>56.0</v>
      </c>
      <c r="E152" s="92">
        <f>D152</f>
        <v>56</v>
      </c>
      <c r="F152" s="281" t="s">
        <v>4078</v>
      </c>
    </row>
    <row r="153" ht="15.0" customHeight="1">
      <c r="A153" s="82" t="s">
        <v>8161</v>
      </c>
      <c r="B153" s="82" t="s">
        <v>94</v>
      </c>
      <c r="C153" s="82" t="s">
        <v>12457</v>
      </c>
      <c r="D153" s="83">
        <v>200.0</v>
      </c>
      <c r="E153" s="92">
        <v>200.0</v>
      </c>
      <c r="F153" s="281" t="s">
        <v>5570</v>
      </c>
    </row>
    <row r="154" ht="15.0" customHeight="1">
      <c r="A154" s="82" t="s">
        <v>9284</v>
      </c>
      <c r="B154" s="82" t="s">
        <v>957</v>
      </c>
      <c r="C154" s="82" t="s">
        <v>12432</v>
      </c>
      <c r="D154" s="83">
        <v>200.0</v>
      </c>
      <c r="E154" s="92">
        <v>200.0</v>
      </c>
      <c r="F154" s="281" t="s">
        <v>964</v>
      </c>
    </row>
    <row r="155" ht="15.0" customHeight="1">
      <c r="A155" s="82" t="s">
        <v>9284</v>
      </c>
      <c r="B155" s="82" t="s">
        <v>957</v>
      </c>
      <c r="C155" s="82" t="s">
        <v>12458</v>
      </c>
      <c r="D155" s="83">
        <v>90.0</v>
      </c>
      <c r="E155" s="92">
        <v>90.0</v>
      </c>
      <c r="F155" s="281" t="s">
        <v>964</v>
      </c>
    </row>
    <row r="156" ht="15.0" customHeight="1">
      <c r="A156" s="82" t="s">
        <v>971</v>
      </c>
      <c r="B156" s="82" t="s">
        <v>182</v>
      </c>
      <c r="C156" s="82" t="s">
        <v>12459</v>
      </c>
      <c r="D156" s="83">
        <v>200.0</v>
      </c>
      <c r="E156" s="92">
        <v>200.0</v>
      </c>
      <c r="F156" s="281" t="s">
        <v>971</v>
      </c>
    </row>
    <row r="157" ht="15.0" customHeight="1">
      <c r="A157" s="82" t="s">
        <v>971</v>
      </c>
      <c r="B157" s="82" t="s">
        <v>182</v>
      </c>
      <c r="C157" s="82" t="s">
        <v>12351</v>
      </c>
      <c r="D157" s="83">
        <v>56.0</v>
      </c>
      <c r="E157" s="92">
        <v>56.0</v>
      </c>
      <c r="F157" s="281" t="s">
        <v>971</v>
      </c>
    </row>
    <row r="158" ht="15.0" customHeight="1">
      <c r="A158" s="82" t="s">
        <v>4343</v>
      </c>
      <c r="B158" s="82" t="s">
        <v>94</v>
      </c>
      <c r="C158" s="82" t="s">
        <v>12460</v>
      </c>
      <c r="D158" s="83" t="s">
        <v>12461</v>
      </c>
      <c r="E158" s="92">
        <f>200*3</f>
        <v>600</v>
      </c>
      <c r="F158" s="281" t="s">
        <v>4343</v>
      </c>
    </row>
    <row r="159" ht="15.0" customHeight="1">
      <c r="A159" s="82" t="s">
        <v>4343</v>
      </c>
      <c r="B159" s="82" t="s">
        <v>94</v>
      </c>
      <c r="C159" s="82" t="s">
        <v>12462</v>
      </c>
      <c r="D159" s="83">
        <v>168.0</v>
      </c>
      <c r="E159" s="92">
        <f t="shared" ref="E159:E161" si="18">D159</f>
        <v>168</v>
      </c>
      <c r="F159" s="281" t="s">
        <v>4343</v>
      </c>
    </row>
    <row r="160" ht="15.0" customHeight="1">
      <c r="A160" s="82" t="s">
        <v>4343</v>
      </c>
      <c r="B160" s="82" t="s">
        <v>94</v>
      </c>
      <c r="C160" s="82" t="s">
        <v>12463</v>
      </c>
      <c r="D160" s="83">
        <v>168.0</v>
      </c>
      <c r="E160" s="92">
        <f t="shared" si="18"/>
        <v>168</v>
      </c>
      <c r="F160" s="281" t="s">
        <v>4343</v>
      </c>
    </row>
    <row r="161" ht="15.0" customHeight="1">
      <c r="A161" s="82" t="s">
        <v>4343</v>
      </c>
      <c r="B161" s="82" t="s">
        <v>94</v>
      </c>
      <c r="C161" s="82" t="s">
        <v>12464</v>
      </c>
      <c r="D161" s="83">
        <v>56.0</v>
      </c>
      <c r="E161" s="92">
        <f t="shared" si="18"/>
        <v>56</v>
      </c>
      <c r="F161" s="281" t="s">
        <v>4343</v>
      </c>
    </row>
    <row r="162" ht="15.0" customHeight="1">
      <c r="A162" s="82" t="s">
        <v>9289</v>
      </c>
      <c r="B162" s="82" t="s">
        <v>94</v>
      </c>
      <c r="C162" s="82" t="s">
        <v>12465</v>
      </c>
      <c r="D162" s="83">
        <v>200.0</v>
      </c>
      <c r="E162" s="92">
        <v>200.0</v>
      </c>
      <c r="F162" s="281" t="s">
        <v>5745</v>
      </c>
    </row>
    <row r="163" ht="15.0" customHeight="1">
      <c r="A163" s="82" t="s">
        <v>9289</v>
      </c>
      <c r="B163" s="82" t="s">
        <v>94</v>
      </c>
      <c r="C163" s="82" t="s">
        <v>12466</v>
      </c>
      <c r="D163" s="83">
        <v>90.0</v>
      </c>
      <c r="E163" s="92">
        <f>D163</f>
        <v>90</v>
      </c>
      <c r="F163" s="281" t="s">
        <v>5745</v>
      </c>
    </row>
    <row r="164" ht="15.0" customHeight="1">
      <c r="A164" s="82" t="s">
        <v>9290</v>
      </c>
      <c r="B164" s="82" t="s">
        <v>94</v>
      </c>
      <c r="C164" s="82" t="s">
        <v>12351</v>
      </c>
      <c r="D164" s="83">
        <v>56.0</v>
      </c>
      <c r="E164" s="92">
        <v>56.0</v>
      </c>
      <c r="F164" s="281" t="s">
        <v>4352</v>
      </c>
    </row>
    <row r="165" ht="15.0" customHeight="1">
      <c r="A165" s="82" t="s">
        <v>9034</v>
      </c>
      <c r="B165" s="82" t="s">
        <v>147</v>
      </c>
      <c r="C165" s="82" t="s">
        <v>12351</v>
      </c>
      <c r="D165" s="83">
        <v>56.0</v>
      </c>
      <c r="E165" s="274">
        <v>56.0</v>
      </c>
      <c r="F165" s="282" t="s">
        <v>153</v>
      </c>
    </row>
    <row r="166" ht="15.0" customHeight="1">
      <c r="A166" s="82" t="s">
        <v>9034</v>
      </c>
      <c r="B166" s="82" t="s">
        <v>147</v>
      </c>
      <c r="C166" s="82" t="s">
        <v>12394</v>
      </c>
      <c r="D166" s="83">
        <v>200.0</v>
      </c>
      <c r="E166" s="274">
        <v>200.0</v>
      </c>
      <c r="F166" s="282" t="s">
        <v>153</v>
      </c>
    </row>
    <row r="167" ht="15.0" customHeight="1">
      <c r="A167" s="82" t="s">
        <v>155</v>
      </c>
      <c r="B167" s="82" t="s">
        <v>147</v>
      </c>
      <c r="C167" s="82" t="s">
        <v>12355</v>
      </c>
      <c r="D167" s="83">
        <v>56.0</v>
      </c>
      <c r="E167" s="274">
        <v>56.0</v>
      </c>
      <c r="F167" s="282" t="s">
        <v>155</v>
      </c>
    </row>
    <row r="168" ht="15.0" customHeight="1">
      <c r="A168" s="82" t="s">
        <v>155</v>
      </c>
      <c r="B168" s="82" t="s">
        <v>147</v>
      </c>
      <c r="C168" s="82" t="s">
        <v>12394</v>
      </c>
      <c r="D168" s="83">
        <v>200.0</v>
      </c>
      <c r="E168" s="274">
        <v>200.0</v>
      </c>
      <c r="F168" s="282" t="s">
        <v>155</v>
      </c>
    </row>
    <row r="169" ht="15.0" customHeight="1">
      <c r="A169" s="82" t="s">
        <v>155</v>
      </c>
      <c r="B169" s="82" t="s">
        <v>147</v>
      </c>
      <c r="C169" s="82" t="s">
        <v>12467</v>
      </c>
      <c r="D169" s="83">
        <v>90.0</v>
      </c>
      <c r="E169" s="274">
        <v>90.0</v>
      </c>
      <c r="F169" s="282" t="s">
        <v>155</v>
      </c>
    </row>
    <row r="170" ht="15.0" customHeight="1">
      <c r="A170" s="82" t="s">
        <v>155</v>
      </c>
      <c r="B170" s="82"/>
      <c r="C170" s="82" t="s">
        <v>12468</v>
      </c>
      <c r="D170" s="83">
        <v>168.0</v>
      </c>
      <c r="E170" s="274">
        <v>168.0</v>
      </c>
      <c r="F170" s="282" t="s">
        <v>155</v>
      </c>
    </row>
    <row r="171" ht="15.0" customHeight="1">
      <c r="A171" s="82" t="s">
        <v>154</v>
      </c>
      <c r="B171" s="82" t="s">
        <v>147</v>
      </c>
      <c r="C171" s="82" t="s">
        <v>12351</v>
      </c>
      <c r="D171" s="83">
        <v>56.0</v>
      </c>
      <c r="E171" s="274">
        <v>56.0</v>
      </c>
      <c r="F171" s="282" t="s">
        <v>154</v>
      </c>
    </row>
    <row r="172" ht="15.0" customHeight="1">
      <c r="A172" s="82" t="s">
        <v>154</v>
      </c>
      <c r="B172" s="82" t="s">
        <v>147</v>
      </c>
      <c r="C172" s="82" t="s">
        <v>12394</v>
      </c>
      <c r="D172" s="83">
        <v>200.0</v>
      </c>
      <c r="E172" s="274">
        <v>200.0</v>
      </c>
      <c r="F172" s="282" t="s">
        <v>154</v>
      </c>
    </row>
    <row r="173" ht="15.0" customHeight="1">
      <c r="A173" s="82" t="s">
        <v>154</v>
      </c>
      <c r="B173" s="82" t="s">
        <v>147</v>
      </c>
      <c r="C173" s="82" t="s">
        <v>12469</v>
      </c>
      <c r="D173" s="83">
        <v>90.0</v>
      </c>
      <c r="E173" s="274">
        <v>90.0</v>
      </c>
      <c r="F173" s="282" t="s">
        <v>154</v>
      </c>
    </row>
    <row r="174" ht="15.0" customHeight="1">
      <c r="A174" s="82" t="s">
        <v>9292</v>
      </c>
      <c r="B174" s="82" t="s">
        <v>147</v>
      </c>
      <c r="C174" s="82" t="s">
        <v>12470</v>
      </c>
      <c r="D174" s="83">
        <v>200.0</v>
      </c>
      <c r="E174" s="274">
        <v>200.0</v>
      </c>
      <c r="F174" s="282" t="s">
        <v>149</v>
      </c>
    </row>
    <row r="175" ht="15.0" customHeight="1">
      <c r="A175" s="82" t="s">
        <v>9292</v>
      </c>
      <c r="B175" s="82" t="s">
        <v>147</v>
      </c>
      <c r="C175" s="82" t="s">
        <v>12471</v>
      </c>
      <c r="D175" s="83">
        <v>200.0</v>
      </c>
      <c r="E175" s="274">
        <v>200.0</v>
      </c>
      <c r="F175" s="282" t="s">
        <v>149</v>
      </c>
    </row>
    <row r="176" ht="15.0" customHeight="1">
      <c r="A176" s="82" t="s">
        <v>9292</v>
      </c>
      <c r="B176" s="82" t="s">
        <v>147</v>
      </c>
      <c r="C176" s="82" t="s">
        <v>12472</v>
      </c>
      <c r="D176" s="83">
        <v>196.0</v>
      </c>
      <c r="E176" s="274">
        <v>196.0</v>
      </c>
      <c r="F176" s="282" t="s">
        <v>149</v>
      </c>
    </row>
    <row r="177" ht="15.0" customHeight="1">
      <c r="A177" s="82" t="s">
        <v>9292</v>
      </c>
      <c r="B177" s="82" t="s">
        <v>147</v>
      </c>
      <c r="C177" s="82" t="s">
        <v>12355</v>
      </c>
      <c r="D177" s="83">
        <v>56.0</v>
      </c>
      <c r="E177" s="274" t="s">
        <v>12473</v>
      </c>
      <c r="F177" s="282" t="s">
        <v>149</v>
      </c>
    </row>
    <row r="178" ht="15.0" customHeight="1">
      <c r="A178" s="82" t="s">
        <v>8317</v>
      </c>
      <c r="B178" s="82" t="s">
        <v>147</v>
      </c>
      <c r="C178" s="82" t="s">
        <v>12374</v>
      </c>
      <c r="D178" s="83">
        <v>56.0</v>
      </c>
      <c r="E178" s="274">
        <v>56.0</v>
      </c>
      <c r="F178" s="282" t="s">
        <v>150</v>
      </c>
    </row>
    <row r="179" ht="15.0" customHeight="1">
      <c r="A179" s="82" t="s">
        <v>8317</v>
      </c>
      <c r="B179" s="82" t="s">
        <v>147</v>
      </c>
      <c r="C179" s="82" t="s">
        <v>12474</v>
      </c>
      <c r="D179" s="83" t="s">
        <v>12475</v>
      </c>
      <c r="E179" s="274">
        <v>400.0</v>
      </c>
      <c r="F179" s="282" t="s">
        <v>150</v>
      </c>
    </row>
    <row r="180" ht="15.0" customHeight="1">
      <c r="A180" s="82" t="s">
        <v>8317</v>
      </c>
      <c r="B180" s="82" t="s">
        <v>147</v>
      </c>
      <c r="C180" s="82" t="s">
        <v>12476</v>
      </c>
      <c r="D180" s="83" t="s">
        <v>12477</v>
      </c>
      <c r="E180" s="274">
        <v>168.0</v>
      </c>
      <c r="F180" s="282" t="s">
        <v>150</v>
      </c>
    </row>
    <row r="181" ht="15.0" customHeight="1">
      <c r="A181" s="82" t="s">
        <v>9039</v>
      </c>
      <c r="B181" s="82" t="s">
        <v>147</v>
      </c>
      <c r="C181" s="82" t="s">
        <v>12355</v>
      </c>
      <c r="D181" s="83">
        <v>56.0</v>
      </c>
      <c r="E181" s="274">
        <v>56.0</v>
      </c>
      <c r="F181" s="282" t="s">
        <v>4738</v>
      </c>
    </row>
    <row r="182" ht="15.0" customHeight="1">
      <c r="A182" s="82" t="s">
        <v>9039</v>
      </c>
      <c r="B182" s="82" t="s">
        <v>147</v>
      </c>
      <c r="C182" s="82" t="s">
        <v>12394</v>
      </c>
      <c r="D182" s="83">
        <v>200.0</v>
      </c>
      <c r="E182" s="274">
        <v>200.0</v>
      </c>
      <c r="F182" s="282" t="s">
        <v>4738</v>
      </c>
    </row>
    <row r="183" ht="15.0" customHeight="1">
      <c r="A183" s="82" t="s">
        <v>9039</v>
      </c>
      <c r="B183" s="82" t="s">
        <v>147</v>
      </c>
      <c r="C183" s="82" t="s">
        <v>12478</v>
      </c>
      <c r="D183" s="83">
        <v>196.0</v>
      </c>
      <c r="E183" s="274">
        <v>196.0</v>
      </c>
      <c r="F183" s="282" t="s">
        <v>4738</v>
      </c>
    </row>
    <row r="184" ht="15.0" customHeight="1">
      <c r="A184" s="82" t="s">
        <v>9294</v>
      </c>
      <c r="B184" s="82" t="s">
        <v>147</v>
      </c>
      <c r="C184" s="82" t="s">
        <v>12355</v>
      </c>
      <c r="D184" s="83">
        <v>56.0</v>
      </c>
      <c r="E184" s="274">
        <v>56.0</v>
      </c>
      <c r="F184" s="282" t="s">
        <v>156</v>
      </c>
    </row>
    <row r="185" ht="15.0" customHeight="1">
      <c r="A185" s="82" t="s">
        <v>9294</v>
      </c>
      <c r="B185" s="82" t="s">
        <v>147</v>
      </c>
      <c r="C185" s="82" t="s">
        <v>12394</v>
      </c>
      <c r="D185" s="83">
        <v>200.0</v>
      </c>
      <c r="E185" s="274">
        <v>200.0</v>
      </c>
      <c r="F185" s="282" t="s">
        <v>156</v>
      </c>
    </row>
    <row r="186" ht="15.0" customHeight="1">
      <c r="A186" s="82" t="s">
        <v>9294</v>
      </c>
      <c r="B186" s="82" t="s">
        <v>147</v>
      </c>
      <c r="C186" s="82" t="s">
        <v>12479</v>
      </c>
      <c r="D186" s="83">
        <v>168.0</v>
      </c>
      <c r="E186" s="274">
        <v>168.0</v>
      </c>
      <c r="F186" s="282" t="s">
        <v>156</v>
      </c>
    </row>
    <row r="187" ht="15.0" customHeight="1">
      <c r="A187" s="82" t="s">
        <v>12480</v>
      </c>
      <c r="B187" s="82" t="s">
        <v>147</v>
      </c>
      <c r="C187" s="82" t="s">
        <v>12355</v>
      </c>
      <c r="D187" s="83">
        <v>56.0</v>
      </c>
      <c r="E187" s="274">
        <v>56.0</v>
      </c>
      <c r="F187" s="282" t="s">
        <v>4845</v>
      </c>
    </row>
    <row r="188" ht="15.0" customHeight="1">
      <c r="A188" s="82" t="s">
        <v>12480</v>
      </c>
      <c r="B188" s="82" t="s">
        <v>147</v>
      </c>
      <c r="C188" s="82" t="s">
        <v>12394</v>
      </c>
      <c r="D188" s="83">
        <v>200.0</v>
      </c>
      <c r="E188" s="274">
        <v>200.0</v>
      </c>
      <c r="F188" s="282" t="s">
        <v>4845</v>
      </c>
    </row>
    <row r="189" ht="15.0" customHeight="1">
      <c r="A189" s="82" t="s">
        <v>12480</v>
      </c>
      <c r="B189" s="82" t="s">
        <v>147</v>
      </c>
      <c r="C189" s="82" t="s">
        <v>12481</v>
      </c>
      <c r="D189" s="83">
        <v>90.0</v>
      </c>
      <c r="E189" s="274">
        <v>90.0</v>
      </c>
      <c r="F189" s="282" t="s">
        <v>4845</v>
      </c>
    </row>
    <row r="190" ht="15.0" customHeight="1">
      <c r="A190" s="82" t="s">
        <v>8328</v>
      </c>
      <c r="B190" s="82" t="s">
        <v>147</v>
      </c>
      <c r="C190" s="82" t="s">
        <v>12355</v>
      </c>
      <c r="D190" s="83">
        <v>56.0</v>
      </c>
      <c r="E190" s="274">
        <v>56.0</v>
      </c>
      <c r="F190" s="282" t="s">
        <v>158</v>
      </c>
    </row>
    <row r="191" ht="15.0" customHeight="1">
      <c r="A191" s="82" t="s">
        <v>8328</v>
      </c>
      <c r="B191" s="82" t="s">
        <v>147</v>
      </c>
      <c r="C191" s="82" t="s">
        <v>12394</v>
      </c>
      <c r="D191" s="83">
        <v>200.0</v>
      </c>
      <c r="E191" s="274">
        <v>200.0</v>
      </c>
      <c r="F191" s="282" t="s">
        <v>158</v>
      </c>
    </row>
    <row r="192" ht="15.0" customHeight="1">
      <c r="A192" s="82" t="s">
        <v>1144</v>
      </c>
      <c r="B192" s="82" t="s">
        <v>147</v>
      </c>
      <c r="C192" s="82" t="s">
        <v>12351</v>
      </c>
      <c r="D192" s="83">
        <v>56.0</v>
      </c>
      <c r="E192" s="274">
        <v>56.0</v>
      </c>
      <c r="F192" s="282" t="s">
        <v>159</v>
      </c>
    </row>
    <row r="193" ht="15.0" customHeight="1">
      <c r="A193" s="82" t="s">
        <v>1144</v>
      </c>
      <c r="B193" s="82" t="s">
        <v>147</v>
      </c>
      <c r="C193" s="82" t="s">
        <v>12394</v>
      </c>
      <c r="D193" s="83">
        <v>200.0</v>
      </c>
      <c r="E193" s="274">
        <v>200.0</v>
      </c>
      <c r="F193" s="282" t="s">
        <v>159</v>
      </c>
    </row>
    <row r="194" ht="15.0" customHeight="1">
      <c r="A194" s="82" t="s">
        <v>1144</v>
      </c>
      <c r="B194" s="82" t="s">
        <v>147</v>
      </c>
      <c r="C194" s="82" t="s">
        <v>12482</v>
      </c>
      <c r="D194" s="83">
        <v>168.0</v>
      </c>
      <c r="E194" s="274">
        <v>168.0</v>
      </c>
      <c r="F194" s="282" t="s">
        <v>159</v>
      </c>
    </row>
    <row r="195" ht="15.0" customHeight="1">
      <c r="A195" s="82" t="s">
        <v>8360</v>
      </c>
      <c r="B195" s="82" t="s">
        <v>147</v>
      </c>
      <c r="C195" s="82" t="s">
        <v>12355</v>
      </c>
      <c r="D195" s="83">
        <v>56.0</v>
      </c>
      <c r="E195" s="274">
        <v>56.0</v>
      </c>
      <c r="F195" s="282" t="s">
        <v>161</v>
      </c>
    </row>
    <row r="196" ht="15.0" customHeight="1">
      <c r="A196" s="82" t="s">
        <v>8360</v>
      </c>
      <c r="B196" s="82" t="s">
        <v>147</v>
      </c>
      <c r="C196" s="82" t="s">
        <v>12394</v>
      </c>
      <c r="D196" s="83">
        <v>200.0</v>
      </c>
      <c r="E196" s="274">
        <v>200.0</v>
      </c>
      <c r="F196" s="282" t="s">
        <v>161</v>
      </c>
    </row>
    <row r="197" ht="15.0" customHeight="1">
      <c r="A197" s="82" t="s">
        <v>8360</v>
      </c>
      <c r="B197" s="82" t="s">
        <v>147</v>
      </c>
      <c r="C197" s="82" t="s">
        <v>12483</v>
      </c>
      <c r="D197" s="83">
        <v>90.0</v>
      </c>
      <c r="E197" s="274">
        <v>90.0</v>
      </c>
      <c r="F197" s="282" t="s">
        <v>161</v>
      </c>
    </row>
    <row r="198" ht="15.0" customHeight="1">
      <c r="A198" s="82" t="s">
        <v>8879</v>
      </c>
      <c r="B198" s="82" t="s">
        <v>147</v>
      </c>
      <c r="C198" s="82" t="s">
        <v>12355</v>
      </c>
      <c r="D198" s="83">
        <v>56.0</v>
      </c>
      <c r="E198" s="274">
        <v>56.0</v>
      </c>
      <c r="F198" s="282" t="s">
        <v>162</v>
      </c>
    </row>
    <row r="199" ht="15.0" customHeight="1">
      <c r="A199" s="82" t="s">
        <v>9298</v>
      </c>
      <c r="B199" s="82" t="s">
        <v>147</v>
      </c>
      <c r="C199" s="82" t="s">
        <v>12355</v>
      </c>
      <c r="D199" s="83">
        <v>56.0</v>
      </c>
      <c r="E199" s="274">
        <v>56.0</v>
      </c>
      <c r="F199" s="282" t="s">
        <v>164</v>
      </c>
    </row>
    <row r="200" ht="15.0" customHeight="1">
      <c r="A200" s="82" t="s">
        <v>9298</v>
      </c>
      <c r="B200" s="82" t="s">
        <v>147</v>
      </c>
      <c r="C200" s="82" t="s">
        <v>12394</v>
      </c>
      <c r="D200" s="83">
        <v>200.0</v>
      </c>
      <c r="E200" s="274">
        <v>200.0</v>
      </c>
      <c r="F200" s="282" t="s">
        <v>164</v>
      </c>
    </row>
    <row r="201" ht="15.0" customHeight="1">
      <c r="A201" s="82" t="s">
        <v>9298</v>
      </c>
      <c r="B201" s="82" t="s">
        <v>147</v>
      </c>
      <c r="C201" s="82" t="s">
        <v>12413</v>
      </c>
      <c r="D201" s="83">
        <v>90.0</v>
      </c>
      <c r="E201" s="274">
        <v>90.0</v>
      </c>
      <c r="F201" s="282" t="s">
        <v>164</v>
      </c>
    </row>
    <row r="202" ht="15.0" customHeight="1">
      <c r="A202" s="82" t="s">
        <v>1160</v>
      </c>
      <c r="B202" s="82" t="s">
        <v>147</v>
      </c>
      <c r="C202" s="82" t="s">
        <v>12367</v>
      </c>
      <c r="D202" s="83">
        <v>56.0</v>
      </c>
      <c r="E202" s="274">
        <v>56.0</v>
      </c>
      <c r="F202" s="282" t="s">
        <v>165</v>
      </c>
    </row>
    <row r="203" ht="15.0" customHeight="1">
      <c r="A203" s="82" t="s">
        <v>1160</v>
      </c>
      <c r="B203" s="82" t="s">
        <v>147</v>
      </c>
      <c r="C203" s="82" t="s">
        <v>12432</v>
      </c>
      <c r="D203" s="83">
        <v>200.0</v>
      </c>
      <c r="E203" s="274">
        <v>200.0</v>
      </c>
      <c r="F203" s="282" t="s">
        <v>165</v>
      </c>
    </row>
    <row r="204" ht="15.0" customHeight="1">
      <c r="A204" s="82" t="s">
        <v>1160</v>
      </c>
      <c r="B204" s="82" t="s">
        <v>147</v>
      </c>
      <c r="C204" s="82" t="s">
        <v>12484</v>
      </c>
      <c r="D204" s="83">
        <v>90.0</v>
      </c>
      <c r="E204" s="274">
        <v>90.0</v>
      </c>
      <c r="F204" s="282" t="s">
        <v>165</v>
      </c>
    </row>
    <row r="205" ht="15.0" customHeight="1">
      <c r="A205" s="82" t="s">
        <v>9300</v>
      </c>
      <c r="B205" s="82" t="s">
        <v>147</v>
      </c>
      <c r="C205" s="82" t="s">
        <v>12355</v>
      </c>
      <c r="D205" s="83">
        <v>56.0</v>
      </c>
      <c r="E205" s="274">
        <v>56.0</v>
      </c>
      <c r="F205" s="282" t="s">
        <v>5626</v>
      </c>
    </row>
    <row r="206" ht="15.0" customHeight="1">
      <c r="A206" s="82" t="s">
        <v>9300</v>
      </c>
      <c r="B206" s="82" t="s">
        <v>147</v>
      </c>
      <c r="C206" s="82" t="s">
        <v>12485</v>
      </c>
      <c r="D206" s="83">
        <v>200.0</v>
      </c>
      <c r="E206" s="274">
        <v>200.0</v>
      </c>
      <c r="F206" s="282" t="s">
        <v>5626</v>
      </c>
    </row>
    <row r="207" ht="15.0" customHeight="1">
      <c r="A207" s="82" t="s">
        <v>1211</v>
      </c>
      <c r="B207" s="82" t="s">
        <v>147</v>
      </c>
      <c r="C207" s="82" t="s">
        <v>12351</v>
      </c>
      <c r="D207" s="83">
        <v>56.0</v>
      </c>
      <c r="E207" s="274">
        <v>56.0</v>
      </c>
      <c r="F207" s="282" t="s">
        <v>168</v>
      </c>
    </row>
    <row r="208" ht="15.0" customHeight="1">
      <c r="A208" s="82" t="s">
        <v>1211</v>
      </c>
      <c r="B208" s="82" t="s">
        <v>147</v>
      </c>
      <c r="C208" s="82" t="s">
        <v>12394</v>
      </c>
      <c r="D208" s="83">
        <v>200.0</v>
      </c>
      <c r="E208" s="274">
        <v>200.0</v>
      </c>
      <c r="F208" s="282" t="s">
        <v>168</v>
      </c>
    </row>
    <row r="209" ht="15.0" customHeight="1">
      <c r="A209" s="82" t="s">
        <v>9302</v>
      </c>
      <c r="B209" s="82" t="s">
        <v>147</v>
      </c>
      <c r="C209" s="82" t="s">
        <v>12374</v>
      </c>
      <c r="D209" s="83">
        <v>56.0</v>
      </c>
      <c r="E209" s="274">
        <v>56.0</v>
      </c>
      <c r="F209" s="282" t="s">
        <v>170</v>
      </c>
    </row>
    <row r="210" ht="15.0" customHeight="1">
      <c r="A210" s="82" t="s">
        <v>9302</v>
      </c>
      <c r="B210" s="82" t="s">
        <v>147</v>
      </c>
      <c r="C210" s="82" t="s">
        <v>12432</v>
      </c>
      <c r="D210" s="83">
        <v>200.0</v>
      </c>
      <c r="E210" s="274">
        <v>200.0</v>
      </c>
      <c r="F210" s="282" t="s">
        <v>170</v>
      </c>
    </row>
    <row r="211" ht="15.0" customHeight="1">
      <c r="A211" s="82" t="s">
        <v>8891</v>
      </c>
      <c r="B211" s="82" t="s">
        <v>147</v>
      </c>
      <c r="C211" s="82" t="s">
        <v>12355</v>
      </c>
      <c r="D211" s="83">
        <v>56.0</v>
      </c>
      <c r="E211" s="274">
        <v>56.0</v>
      </c>
      <c r="F211" s="282" t="s">
        <v>171</v>
      </c>
    </row>
    <row r="212" ht="15.0" customHeight="1">
      <c r="A212" s="82" t="s">
        <v>8891</v>
      </c>
      <c r="B212" s="82" t="s">
        <v>147</v>
      </c>
      <c r="C212" s="82" t="s">
        <v>12394</v>
      </c>
      <c r="D212" s="83">
        <v>200.0</v>
      </c>
      <c r="E212" s="274">
        <v>200.0</v>
      </c>
      <c r="F212" s="282" t="s">
        <v>171</v>
      </c>
    </row>
    <row r="213" ht="15.0" customHeight="1">
      <c r="A213" s="82" t="s">
        <v>8891</v>
      </c>
      <c r="B213" s="82" t="s">
        <v>147</v>
      </c>
      <c r="C213" s="82" t="s">
        <v>12486</v>
      </c>
      <c r="D213" s="83">
        <v>90.0</v>
      </c>
      <c r="E213" s="274">
        <v>90.0</v>
      </c>
      <c r="F213" s="282" t="s">
        <v>171</v>
      </c>
    </row>
    <row r="214" ht="15.0" customHeight="1">
      <c r="A214" s="82" t="s">
        <v>8409</v>
      </c>
      <c r="B214" s="82" t="s">
        <v>147</v>
      </c>
      <c r="C214" s="82" t="s">
        <v>12355</v>
      </c>
      <c r="D214" s="83">
        <v>56.0</v>
      </c>
      <c r="E214" s="274">
        <v>56.0</v>
      </c>
      <c r="F214" s="282" t="s">
        <v>5077</v>
      </c>
    </row>
    <row r="215" ht="15.0" customHeight="1">
      <c r="A215" s="82" t="s">
        <v>8409</v>
      </c>
      <c r="B215" s="82" t="s">
        <v>147</v>
      </c>
      <c r="C215" s="82" t="s">
        <v>12394</v>
      </c>
      <c r="D215" s="83">
        <v>200.0</v>
      </c>
      <c r="E215" s="274">
        <v>200.0</v>
      </c>
      <c r="F215" s="282" t="s">
        <v>5077</v>
      </c>
    </row>
    <row r="216" ht="15.0" customHeight="1">
      <c r="A216" s="82" t="s">
        <v>8409</v>
      </c>
      <c r="B216" s="82" t="s">
        <v>147</v>
      </c>
      <c r="C216" s="82" t="s">
        <v>12487</v>
      </c>
      <c r="D216" s="83">
        <v>90.0</v>
      </c>
      <c r="E216" s="274">
        <v>90.0</v>
      </c>
      <c r="F216" s="282" t="s">
        <v>5077</v>
      </c>
    </row>
    <row r="217" ht="15.0" customHeight="1">
      <c r="A217" s="82" t="s">
        <v>8409</v>
      </c>
      <c r="B217" s="82" t="s">
        <v>147</v>
      </c>
      <c r="C217" s="82" t="s">
        <v>12488</v>
      </c>
      <c r="D217" s="83">
        <v>168.0</v>
      </c>
      <c r="E217" s="274">
        <v>168.0</v>
      </c>
      <c r="F217" s="282" t="s">
        <v>5077</v>
      </c>
    </row>
    <row r="218" ht="15.0" customHeight="1">
      <c r="A218" s="82" t="s">
        <v>9305</v>
      </c>
      <c r="B218" s="82" t="s">
        <v>147</v>
      </c>
      <c r="C218" s="82" t="s">
        <v>12351</v>
      </c>
      <c r="D218" s="83">
        <v>56.0</v>
      </c>
      <c r="E218" s="274">
        <v>56.0</v>
      </c>
      <c r="F218" s="282" t="s">
        <v>5101</v>
      </c>
    </row>
    <row r="219" ht="15.0" customHeight="1">
      <c r="A219" s="82" t="s">
        <v>9306</v>
      </c>
      <c r="B219" s="82" t="s">
        <v>147</v>
      </c>
      <c r="C219" s="82" t="s">
        <v>12355</v>
      </c>
      <c r="D219" s="83">
        <v>56.0</v>
      </c>
      <c r="E219" s="274">
        <v>56.0</v>
      </c>
      <c r="F219" s="282" t="s">
        <v>5104</v>
      </c>
    </row>
    <row r="220" ht="15.0" customHeight="1">
      <c r="A220" s="82" t="s">
        <v>9307</v>
      </c>
      <c r="B220" s="82" t="s">
        <v>147</v>
      </c>
      <c r="C220" s="82" t="s">
        <v>12355</v>
      </c>
      <c r="D220" s="83">
        <v>56.0</v>
      </c>
      <c r="E220" s="274">
        <v>56.0</v>
      </c>
      <c r="F220" s="282" t="s">
        <v>5108</v>
      </c>
    </row>
    <row r="221" ht="15.0" customHeight="1">
      <c r="A221" s="82" t="s">
        <v>9307</v>
      </c>
      <c r="B221" s="82" t="s">
        <v>147</v>
      </c>
      <c r="C221" s="82" t="s">
        <v>12394</v>
      </c>
      <c r="D221" s="83">
        <v>200.0</v>
      </c>
      <c r="E221" s="274">
        <v>200.0</v>
      </c>
      <c r="F221" s="282" t="s">
        <v>5108</v>
      </c>
    </row>
    <row r="222" ht="15.0" customHeight="1">
      <c r="A222" s="82" t="s">
        <v>9307</v>
      </c>
      <c r="B222" s="82" t="s">
        <v>147</v>
      </c>
      <c r="C222" s="82" t="s">
        <v>12489</v>
      </c>
      <c r="D222" s="83">
        <v>90.0</v>
      </c>
      <c r="E222" s="274">
        <v>90.0</v>
      </c>
      <c r="F222" s="282" t="s">
        <v>5108</v>
      </c>
    </row>
    <row r="223" ht="15.0" customHeight="1">
      <c r="A223" s="82" t="s">
        <v>9308</v>
      </c>
      <c r="B223" s="82" t="s">
        <v>147</v>
      </c>
      <c r="C223" s="82" t="s">
        <v>12432</v>
      </c>
      <c r="D223" s="83">
        <v>200.0</v>
      </c>
      <c r="E223" s="274">
        <v>200.0</v>
      </c>
      <c r="F223" s="282" t="s">
        <v>5654</v>
      </c>
    </row>
    <row r="224" ht="15.0" customHeight="1">
      <c r="A224" s="82" t="s">
        <v>9308</v>
      </c>
      <c r="B224" s="82" t="s">
        <v>147</v>
      </c>
      <c r="C224" s="82" t="s">
        <v>12367</v>
      </c>
      <c r="D224" s="83">
        <v>56.0</v>
      </c>
      <c r="E224" s="274">
        <v>56.0</v>
      </c>
      <c r="F224" s="282" t="s">
        <v>5654</v>
      </c>
    </row>
    <row r="225" ht="15.0" customHeight="1">
      <c r="A225" s="82" t="s">
        <v>9308</v>
      </c>
      <c r="B225" s="82" t="s">
        <v>147</v>
      </c>
      <c r="C225" s="82" t="s">
        <v>12490</v>
      </c>
      <c r="D225" s="83">
        <v>90.0</v>
      </c>
      <c r="E225" s="274">
        <v>90.0</v>
      </c>
      <c r="F225" s="282" t="s">
        <v>5654</v>
      </c>
    </row>
    <row r="226" ht="15.0" customHeight="1">
      <c r="A226" s="82" t="s">
        <v>9309</v>
      </c>
      <c r="B226" s="82" t="s">
        <v>147</v>
      </c>
      <c r="C226" s="82" t="s">
        <v>12355</v>
      </c>
      <c r="D226" s="83">
        <v>56.0</v>
      </c>
      <c r="E226" s="274">
        <v>56.0</v>
      </c>
      <c r="F226" s="282" t="s">
        <v>179</v>
      </c>
    </row>
    <row r="227" ht="15.0" customHeight="1">
      <c r="A227" s="82" t="s">
        <v>9310</v>
      </c>
      <c r="B227" s="82" t="s">
        <v>147</v>
      </c>
      <c r="C227" s="82" t="s">
        <v>12355</v>
      </c>
      <c r="D227" s="83">
        <v>56.0</v>
      </c>
      <c r="E227" s="274">
        <v>56.0</v>
      </c>
      <c r="F227" s="282" t="s">
        <v>180</v>
      </c>
    </row>
    <row r="228" ht="15.0" customHeight="1">
      <c r="A228" s="82" t="s">
        <v>8898</v>
      </c>
      <c r="B228" s="82" t="s">
        <v>147</v>
      </c>
      <c r="C228" s="82" t="s">
        <v>12374</v>
      </c>
      <c r="D228" s="83">
        <v>56.0</v>
      </c>
      <c r="E228" s="274">
        <v>56.0</v>
      </c>
      <c r="F228" s="282" t="s">
        <v>8902</v>
      </c>
    </row>
    <row r="229" ht="15.0" customHeight="1">
      <c r="A229" s="82" t="s">
        <v>9311</v>
      </c>
      <c r="B229" s="82" t="s">
        <v>147</v>
      </c>
      <c r="C229" s="82" t="s">
        <v>12351</v>
      </c>
      <c r="D229" s="83">
        <v>56.0</v>
      </c>
      <c r="E229" s="274">
        <v>56.0</v>
      </c>
      <c r="F229" s="282" t="s">
        <v>9312</v>
      </c>
    </row>
    <row r="230" ht="15.0" customHeight="1">
      <c r="A230" s="82" t="s">
        <v>9311</v>
      </c>
      <c r="B230" s="82" t="s">
        <v>147</v>
      </c>
      <c r="C230" s="82" t="s">
        <v>12491</v>
      </c>
      <c r="D230" s="83">
        <v>90.0</v>
      </c>
      <c r="E230" s="274">
        <v>90.0</v>
      </c>
      <c r="F230" s="282" t="s">
        <v>9312</v>
      </c>
    </row>
    <row r="231" ht="15.0" customHeight="1">
      <c r="A231" s="82" t="s">
        <v>9311</v>
      </c>
      <c r="B231" s="82" t="s">
        <v>147</v>
      </c>
      <c r="C231" s="82" t="s">
        <v>12492</v>
      </c>
      <c r="D231" s="83">
        <v>168.0</v>
      </c>
      <c r="E231" s="274">
        <v>168.0</v>
      </c>
      <c r="F231" s="282" t="s">
        <v>9312</v>
      </c>
    </row>
    <row r="232" ht="15.0" customHeight="1">
      <c r="A232" s="82" t="s">
        <v>9313</v>
      </c>
      <c r="B232" s="82" t="s">
        <v>5753</v>
      </c>
      <c r="C232" s="82" t="s">
        <v>12493</v>
      </c>
      <c r="D232" s="83">
        <v>56.0</v>
      </c>
      <c r="E232" s="274">
        <v>56.0</v>
      </c>
      <c r="F232" s="282" t="s">
        <v>174</v>
      </c>
    </row>
    <row r="233" ht="15.0" customHeight="1">
      <c r="A233" s="82" t="s">
        <v>9313</v>
      </c>
      <c r="B233" s="82" t="s">
        <v>5753</v>
      </c>
      <c r="C233" s="82" t="s">
        <v>12494</v>
      </c>
      <c r="D233" s="83">
        <v>200.0</v>
      </c>
      <c r="E233" s="274">
        <v>200.0</v>
      </c>
      <c r="F233" s="282" t="s">
        <v>174</v>
      </c>
    </row>
    <row r="234" ht="15.75" customHeight="1">
      <c r="A234" s="110"/>
      <c r="B234" s="285"/>
      <c r="C234" s="285"/>
      <c r="D234" s="476"/>
      <c r="E234" s="476">
        <f>SUM(E11:E233)</f>
        <v>28304</v>
      </c>
    </row>
    <row r="235" ht="15.75" customHeight="1">
      <c r="A235" s="104"/>
      <c r="B235" s="104"/>
      <c r="C235" s="61"/>
      <c r="D235" s="61"/>
      <c r="E235" s="61"/>
      <c r="F235" s="1"/>
      <c r="G235" s="1"/>
      <c r="H235" s="1"/>
    </row>
    <row r="236" ht="15.75" customHeight="1">
      <c r="A236" s="144" t="s">
        <v>1169</v>
      </c>
      <c r="B236" s="103"/>
      <c r="C236" s="103"/>
      <c r="D236" s="103"/>
      <c r="E236" s="103"/>
      <c r="F236" s="103"/>
      <c r="G236" s="103"/>
      <c r="H236" s="103"/>
      <c r="I236" s="104"/>
      <c r="J236" s="104"/>
      <c r="K236" s="104"/>
      <c r="L236" s="104"/>
      <c r="M236" s="104"/>
      <c r="N236" s="104"/>
      <c r="O236" s="104"/>
      <c r="P236" s="104"/>
      <c r="Q236" s="104"/>
      <c r="R236" s="104"/>
      <c r="S236" s="104"/>
      <c r="T236" s="104"/>
      <c r="U236" s="104"/>
      <c r="V236" s="104"/>
      <c r="W236" s="104"/>
      <c r="X236" s="104"/>
      <c r="Y236" s="104"/>
    </row>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236:H236"/>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6" width="27.71"/>
    <col customWidth="1" min="7" max="8" width="13.71"/>
    <col customWidth="1" min="9" max="25" width="8.0"/>
  </cols>
  <sheetData>
    <row r="1">
      <c r="A1" s="104"/>
      <c r="B1" s="104"/>
      <c r="C1" s="61"/>
      <c r="D1" s="61"/>
      <c r="E1" s="61"/>
      <c r="F1" s="1"/>
      <c r="G1" s="1"/>
      <c r="H1" s="1"/>
    </row>
    <row r="2" ht="15.75" customHeight="1">
      <c r="A2" s="105" t="s">
        <v>12495</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4.25" customHeight="1">
      <c r="A4" s="226" t="s">
        <v>12496</v>
      </c>
      <c r="B4" s="64"/>
      <c r="C4" s="64"/>
      <c r="D4" s="64"/>
      <c r="E4" s="65"/>
      <c r="F4" s="474"/>
      <c r="G4" s="474"/>
      <c r="H4" s="474"/>
      <c r="I4" s="107"/>
      <c r="J4" s="107"/>
      <c r="K4" s="107"/>
      <c r="L4" s="107"/>
      <c r="M4" s="107"/>
      <c r="N4" s="107"/>
      <c r="O4" s="107"/>
      <c r="P4" s="107"/>
      <c r="Q4" s="107"/>
      <c r="R4" s="107"/>
      <c r="S4" s="107"/>
      <c r="T4" s="107"/>
      <c r="U4" s="107"/>
      <c r="V4" s="107"/>
      <c r="W4" s="107"/>
      <c r="X4" s="107"/>
      <c r="Y4" s="107"/>
    </row>
    <row r="5" ht="17.25" customHeight="1">
      <c r="A5" s="226" t="s">
        <v>12497</v>
      </c>
      <c r="B5" s="64"/>
      <c r="C5" s="64"/>
      <c r="D5" s="64"/>
      <c r="E5" s="65"/>
      <c r="F5" s="474"/>
      <c r="G5" s="474"/>
      <c r="H5" s="474"/>
      <c r="I5" s="107"/>
      <c r="J5" s="107"/>
      <c r="K5" s="107"/>
      <c r="L5" s="107"/>
      <c r="M5" s="107"/>
      <c r="N5" s="107"/>
      <c r="O5" s="107"/>
      <c r="P5" s="107"/>
      <c r="Q5" s="107"/>
      <c r="R5" s="107"/>
      <c r="S5" s="107"/>
      <c r="T5" s="107"/>
      <c r="U5" s="107"/>
      <c r="V5" s="107"/>
      <c r="W5" s="107"/>
      <c r="X5" s="107"/>
      <c r="Y5" s="107"/>
    </row>
    <row r="6" ht="19.5" customHeight="1">
      <c r="A6" s="226" t="s">
        <v>12498</v>
      </c>
      <c r="B6" s="64"/>
      <c r="C6" s="64"/>
      <c r="D6" s="64"/>
      <c r="E6" s="65"/>
      <c r="F6" s="474"/>
      <c r="G6" s="474"/>
      <c r="H6" s="474"/>
      <c r="I6" s="107"/>
      <c r="J6" s="107"/>
      <c r="K6" s="107"/>
      <c r="L6" s="107"/>
      <c r="M6" s="107"/>
      <c r="N6" s="107"/>
      <c r="O6" s="107"/>
      <c r="P6" s="107"/>
      <c r="Q6" s="107"/>
      <c r="R6" s="107"/>
      <c r="S6" s="107"/>
      <c r="T6" s="107"/>
      <c r="U6" s="107"/>
      <c r="V6" s="107"/>
      <c r="W6" s="107"/>
      <c r="X6" s="107"/>
      <c r="Y6" s="107"/>
    </row>
    <row r="7" ht="164.25" customHeight="1">
      <c r="A7" s="477" t="s">
        <v>12499</v>
      </c>
      <c r="B7" s="64"/>
      <c r="C7" s="64"/>
      <c r="D7" s="64"/>
      <c r="E7" s="65"/>
      <c r="F7" s="474"/>
      <c r="G7" s="474"/>
      <c r="H7" s="474"/>
      <c r="I7" s="107"/>
      <c r="J7" s="107"/>
      <c r="K7" s="107"/>
      <c r="L7" s="107"/>
      <c r="M7" s="107"/>
      <c r="N7" s="107"/>
      <c r="O7" s="107"/>
      <c r="P7" s="107"/>
      <c r="Q7" s="107"/>
      <c r="R7" s="107"/>
      <c r="S7" s="107"/>
      <c r="T7" s="107"/>
      <c r="U7" s="107"/>
      <c r="V7" s="107"/>
      <c r="W7" s="107"/>
      <c r="X7" s="107"/>
      <c r="Y7" s="107"/>
    </row>
    <row r="8">
      <c r="A8" s="109"/>
      <c r="B8" s="109"/>
      <c r="C8" s="110"/>
      <c r="D8" s="110"/>
      <c r="E8" s="110"/>
      <c r="F8" s="109"/>
      <c r="G8" s="109"/>
      <c r="H8" s="109"/>
      <c r="I8" s="107"/>
      <c r="J8" s="107"/>
      <c r="K8" s="107"/>
      <c r="L8" s="107"/>
      <c r="M8" s="107"/>
      <c r="N8" s="107"/>
      <c r="O8" s="107"/>
      <c r="P8" s="107"/>
      <c r="Q8" s="107"/>
      <c r="R8" s="107"/>
      <c r="S8" s="107"/>
      <c r="T8" s="107"/>
      <c r="U8" s="107"/>
      <c r="V8" s="107"/>
      <c r="W8" s="107"/>
      <c r="X8" s="107"/>
      <c r="Y8" s="107"/>
    </row>
    <row r="9" ht="55.5" customHeight="1">
      <c r="A9" s="228" t="s">
        <v>5174</v>
      </c>
      <c r="B9" s="132" t="s">
        <v>8</v>
      </c>
      <c r="C9" s="132" t="s">
        <v>12500</v>
      </c>
      <c r="D9" s="131" t="s">
        <v>217</v>
      </c>
      <c r="E9" s="131" t="s">
        <v>221</v>
      </c>
      <c r="F9" s="113" t="s">
        <v>222</v>
      </c>
      <c r="I9" s="107"/>
      <c r="J9" s="107"/>
      <c r="K9" s="107"/>
      <c r="L9" s="107"/>
      <c r="M9" s="107"/>
      <c r="N9" s="107"/>
      <c r="O9" s="107"/>
      <c r="P9" s="107"/>
      <c r="Q9" s="107"/>
      <c r="R9" s="107"/>
      <c r="S9" s="107"/>
      <c r="T9" s="107"/>
      <c r="U9" s="107"/>
      <c r="V9" s="107"/>
      <c r="W9" s="107"/>
      <c r="X9" s="107"/>
      <c r="Y9" s="107"/>
    </row>
    <row r="10" ht="15.75" customHeight="1">
      <c r="A10" s="82" t="s">
        <v>61</v>
      </c>
      <c r="B10" s="82" t="s">
        <v>52</v>
      </c>
      <c r="C10" s="82" t="s">
        <v>12501</v>
      </c>
      <c r="D10" s="83">
        <v>50.0</v>
      </c>
      <c r="E10" s="274">
        <v>50.0</v>
      </c>
      <c r="F10" s="281" t="s">
        <v>61</v>
      </c>
    </row>
    <row r="11" ht="15.0" customHeight="1">
      <c r="A11" s="82" t="s">
        <v>61</v>
      </c>
      <c r="B11" s="82" t="s">
        <v>52</v>
      </c>
      <c r="C11" s="82" t="s">
        <v>12502</v>
      </c>
      <c r="D11" s="83">
        <f>30</f>
        <v>30</v>
      </c>
      <c r="E11" s="274">
        <f t="shared" ref="E11:E12" si="1">D11</f>
        <v>30</v>
      </c>
      <c r="F11" s="281" t="s">
        <v>61</v>
      </c>
    </row>
    <row r="12" ht="15.0" customHeight="1">
      <c r="A12" s="82" t="s">
        <v>79</v>
      </c>
      <c r="B12" s="82" t="s">
        <v>52</v>
      </c>
      <c r="C12" s="82" t="s">
        <v>12503</v>
      </c>
      <c r="D12" s="83">
        <v>30.0</v>
      </c>
      <c r="E12" s="274">
        <f t="shared" si="1"/>
        <v>30</v>
      </c>
      <c r="F12" s="281" t="s">
        <v>79</v>
      </c>
    </row>
    <row r="13" ht="15.0" customHeight="1">
      <c r="A13" s="82" t="s">
        <v>79</v>
      </c>
      <c r="B13" s="82" t="s">
        <v>52</v>
      </c>
      <c r="C13" s="82" t="s">
        <v>12504</v>
      </c>
      <c r="D13" s="83">
        <v>10.0</v>
      </c>
      <c r="E13" s="274">
        <f>1*10</f>
        <v>10</v>
      </c>
      <c r="F13" s="281" t="s">
        <v>79</v>
      </c>
    </row>
    <row r="14" ht="15.0" customHeight="1">
      <c r="A14" s="82" t="s">
        <v>79</v>
      </c>
      <c r="B14" s="82" t="s">
        <v>52</v>
      </c>
      <c r="C14" s="82" t="s">
        <v>12505</v>
      </c>
      <c r="D14" s="83">
        <v>50.0</v>
      </c>
      <c r="E14" s="274">
        <v>50.0</v>
      </c>
      <c r="F14" s="281" t="s">
        <v>79</v>
      </c>
    </row>
    <row r="15" ht="15.0" customHeight="1">
      <c r="A15" s="82" t="s">
        <v>7526</v>
      </c>
      <c r="B15" s="82" t="s">
        <v>52</v>
      </c>
      <c r="C15" s="82" t="s">
        <v>12506</v>
      </c>
      <c r="D15" s="83">
        <v>30.0</v>
      </c>
      <c r="E15" s="274">
        <v>30.0</v>
      </c>
      <c r="F15" s="281" t="s">
        <v>51</v>
      </c>
    </row>
    <row r="16" ht="15.0" customHeight="1">
      <c r="A16" s="82" t="s">
        <v>7526</v>
      </c>
      <c r="B16" s="82" t="s">
        <v>52</v>
      </c>
      <c r="C16" s="82" t="s">
        <v>12507</v>
      </c>
      <c r="D16" s="83">
        <v>50.0</v>
      </c>
      <c r="E16" s="274">
        <v>50.0</v>
      </c>
      <c r="F16" s="281" t="s">
        <v>51</v>
      </c>
    </row>
    <row r="17" ht="15.0" customHeight="1">
      <c r="A17" s="82" t="s">
        <v>73</v>
      </c>
      <c r="B17" s="82" t="s">
        <v>52</v>
      </c>
      <c r="C17" s="82" t="s">
        <v>12508</v>
      </c>
      <c r="D17" s="83">
        <v>30.0</v>
      </c>
      <c r="E17" s="274">
        <f>D17</f>
        <v>30</v>
      </c>
      <c r="F17" s="281" t="s">
        <v>73</v>
      </c>
    </row>
    <row r="18" ht="15.0" customHeight="1">
      <c r="A18" s="82" t="s">
        <v>73</v>
      </c>
      <c r="B18" s="82" t="s">
        <v>52</v>
      </c>
      <c r="C18" s="82" t="s">
        <v>12509</v>
      </c>
      <c r="D18" s="83" t="s">
        <v>12510</v>
      </c>
      <c r="E18" s="274">
        <v>60.0</v>
      </c>
      <c r="F18" s="281" t="s">
        <v>73</v>
      </c>
    </row>
    <row r="19" ht="15.0" customHeight="1">
      <c r="A19" s="82" t="s">
        <v>73</v>
      </c>
      <c r="B19" s="82" t="s">
        <v>52</v>
      </c>
      <c r="C19" s="82" t="s">
        <v>12511</v>
      </c>
      <c r="D19" s="83">
        <v>50.0</v>
      </c>
      <c r="E19" s="274">
        <v>50.0</v>
      </c>
      <c r="F19" s="281" t="s">
        <v>73</v>
      </c>
    </row>
    <row r="20" ht="15.0" customHeight="1">
      <c r="A20" s="82" t="s">
        <v>73</v>
      </c>
      <c r="B20" s="82" t="s">
        <v>52</v>
      </c>
      <c r="C20" s="82" t="s">
        <v>12512</v>
      </c>
      <c r="D20" s="83">
        <v>30.0</v>
      </c>
      <c r="E20" s="274">
        <v>30.0</v>
      </c>
      <c r="F20" s="281" t="s">
        <v>73</v>
      </c>
    </row>
    <row r="21" ht="15.0" customHeight="1">
      <c r="A21" s="82" t="s">
        <v>73</v>
      </c>
      <c r="B21" s="82" t="s">
        <v>52</v>
      </c>
      <c r="C21" s="82" t="s">
        <v>12513</v>
      </c>
      <c r="D21" s="83">
        <v>30.0</v>
      </c>
      <c r="E21" s="274">
        <v>30.0</v>
      </c>
      <c r="F21" s="281" t="s">
        <v>73</v>
      </c>
    </row>
    <row r="22" ht="15.0" customHeight="1">
      <c r="A22" s="82" t="s">
        <v>73</v>
      </c>
      <c r="B22" s="82" t="s">
        <v>52</v>
      </c>
      <c r="C22" s="82" t="s">
        <v>12514</v>
      </c>
      <c r="D22" s="83">
        <v>50.0</v>
      </c>
      <c r="E22" s="274">
        <v>50.0</v>
      </c>
      <c r="F22" s="281" t="s">
        <v>73</v>
      </c>
    </row>
    <row r="23" ht="15.0" customHeight="1">
      <c r="A23" s="100" t="s">
        <v>58</v>
      </c>
      <c r="B23" s="100" t="s">
        <v>52</v>
      </c>
      <c r="C23" s="100" t="s">
        <v>12515</v>
      </c>
      <c r="D23" s="156">
        <v>60.0</v>
      </c>
      <c r="E23" s="494">
        <v>60.0</v>
      </c>
      <c r="F23" s="281" t="s">
        <v>58</v>
      </c>
    </row>
    <row r="24" ht="15.0" customHeight="1">
      <c r="A24" s="82" t="s">
        <v>75</v>
      </c>
      <c r="B24" s="82" t="s">
        <v>52</v>
      </c>
      <c r="C24" s="82" t="s">
        <v>12516</v>
      </c>
      <c r="D24" s="83">
        <v>30.0</v>
      </c>
      <c r="E24" s="274">
        <v>30.0</v>
      </c>
      <c r="F24" s="281" t="s">
        <v>75</v>
      </c>
    </row>
    <row r="25" ht="15.0" customHeight="1">
      <c r="A25" s="82" t="s">
        <v>1764</v>
      </c>
      <c r="B25" s="82" t="s">
        <v>52</v>
      </c>
      <c r="C25" s="82" t="s">
        <v>12517</v>
      </c>
      <c r="D25" s="83">
        <v>30.0</v>
      </c>
      <c r="E25" s="274">
        <v>30.0</v>
      </c>
      <c r="F25" s="281" t="s">
        <v>1764</v>
      </c>
    </row>
    <row r="26" ht="15.0" customHeight="1">
      <c r="A26" s="82" t="s">
        <v>1764</v>
      </c>
      <c r="B26" s="82" t="s">
        <v>52</v>
      </c>
      <c r="C26" s="82" t="s">
        <v>12518</v>
      </c>
      <c r="D26" s="83">
        <v>10.0</v>
      </c>
      <c r="E26" s="274">
        <v>10.0</v>
      </c>
      <c r="F26" s="281" t="s">
        <v>1764</v>
      </c>
    </row>
    <row r="27" ht="15.0" customHeight="1">
      <c r="A27" s="82" t="s">
        <v>9205</v>
      </c>
      <c r="B27" s="82" t="s">
        <v>52</v>
      </c>
      <c r="C27" s="82" t="s">
        <v>12519</v>
      </c>
      <c r="D27" s="83">
        <v>50.0</v>
      </c>
      <c r="E27" s="274">
        <f>D27</f>
        <v>50</v>
      </c>
      <c r="F27" s="281" t="s">
        <v>71</v>
      </c>
    </row>
    <row r="28" ht="15.0" customHeight="1">
      <c r="A28" s="82" t="s">
        <v>9207</v>
      </c>
      <c r="B28" s="82" t="s">
        <v>52</v>
      </c>
      <c r="C28" s="82" t="s">
        <v>12520</v>
      </c>
      <c r="D28" s="83">
        <v>30.0</v>
      </c>
      <c r="E28" s="274">
        <v>30.0</v>
      </c>
      <c r="F28" s="281" t="s">
        <v>296</v>
      </c>
    </row>
    <row r="29" ht="15.0" customHeight="1">
      <c r="A29" s="82" t="s">
        <v>9207</v>
      </c>
      <c r="B29" s="82" t="s">
        <v>52</v>
      </c>
      <c r="C29" s="82" t="s">
        <v>12521</v>
      </c>
      <c r="D29" s="83">
        <v>30.0</v>
      </c>
      <c r="E29" s="274">
        <v>30.0</v>
      </c>
      <c r="F29" s="281" t="s">
        <v>296</v>
      </c>
    </row>
    <row r="30" ht="15.0" customHeight="1">
      <c r="A30" s="82" t="s">
        <v>9207</v>
      </c>
      <c r="B30" s="82" t="s">
        <v>52</v>
      </c>
      <c r="C30" s="82" t="s">
        <v>12522</v>
      </c>
      <c r="D30" s="83">
        <v>30.0</v>
      </c>
      <c r="E30" s="274">
        <v>30.0</v>
      </c>
      <c r="F30" s="281" t="s">
        <v>296</v>
      </c>
    </row>
    <row r="31" ht="15.0" customHeight="1">
      <c r="A31" s="82" t="s">
        <v>9207</v>
      </c>
      <c r="B31" s="82" t="s">
        <v>52</v>
      </c>
      <c r="C31" s="82" t="s">
        <v>12523</v>
      </c>
      <c r="D31" s="83">
        <v>50.0</v>
      </c>
      <c r="E31" s="274">
        <v>50.0</v>
      </c>
      <c r="F31" s="281" t="s">
        <v>296</v>
      </c>
    </row>
    <row r="32" ht="15.0" customHeight="1">
      <c r="A32" s="82" t="s">
        <v>7653</v>
      </c>
      <c r="B32" s="82" t="s">
        <v>52</v>
      </c>
      <c r="C32" s="82" t="s">
        <v>12524</v>
      </c>
      <c r="D32" s="83">
        <v>10.0</v>
      </c>
      <c r="E32" s="274">
        <v>5.0</v>
      </c>
      <c r="F32" s="281" t="s">
        <v>90</v>
      </c>
    </row>
    <row r="33" ht="15.0" customHeight="1">
      <c r="A33" s="82" t="s">
        <v>7653</v>
      </c>
      <c r="B33" s="82" t="s">
        <v>52</v>
      </c>
      <c r="C33" s="82" t="s">
        <v>12525</v>
      </c>
      <c r="D33" s="83">
        <v>10.0</v>
      </c>
      <c r="E33" s="274">
        <v>10.0</v>
      </c>
      <c r="F33" s="281" t="s">
        <v>90</v>
      </c>
    </row>
    <row r="34" ht="15.0" customHeight="1">
      <c r="A34" s="82" t="s">
        <v>7653</v>
      </c>
      <c r="B34" s="82" t="s">
        <v>52</v>
      </c>
      <c r="C34" s="82" t="s">
        <v>12526</v>
      </c>
      <c r="D34" s="83">
        <v>10.0</v>
      </c>
      <c r="E34" s="274">
        <v>10.0</v>
      </c>
      <c r="F34" s="281" t="s">
        <v>90</v>
      </c>
    </row>
    <row r="35" ht="15.0" customHeight="1">
      <c r="A35" s="82" t="s">
        <v>7653</v>
      </c>
      <c r="B35" s="82" t="s">
        <v>52</v>
      </c>
      <c r="C35" s="82" t="s">
        <v>12527</v>
      </c>
      <c r="D35" s="83">
        <v>10.0</v>
      </c>
      <c r="E35" s="274">
        <v>10.0</v>
      </c>
      <c r="F35" s="281" t="s">
        <v>90</v>
      </c>
    </row>
    <row r="36" ht="15.0" customHeight="1">
      <c r="A36" s="82" t="s">
        <v>7653</v>
      </c>
      <c r="B36" s="82" t="s">
        <v>52</v>
      </c>
      <c r="C36" s="82" t="s">
        <v>12528</v>
      </c>
      <c r="D36" s="83">
        <v>10.0</v>
      </c>
      <c r="E36" s="274">
        <v>10.0</v>
      </c>
      <c r="F36" s="281" t="s">
        <v>90</v>
      </c>
    </row>
    <row r="37" ht="15.0" customHeight="1">
      <c r="A37" s="82" t="s">
        <v>7653</v>
      </c>
      <c r="B37" s="82" t="s">
        <v>52</v>
      </c>
      <c r="C37" s="82" t="s">
        <v>12529</v>
      </c>
      <c r="D37" s="83">
        <v>10.0</v>
      </c>
      <c r="E37" s="274">
        <v>10.0</v>
      </c>
      <c r="F37" s="281" t="s">
        <v>90</v>
      </c>
    </row>
    <row r="38" ht="15.0" customHeight="1">
      <c r="A38" s="82" t="s">
        <v>7653</v>
      </c>
      <c r="B38" s="82" t="s">
        <v>52</v>
      </c>
      <c r="C38" s="82" t="s">
        <v>12530</v>
      </c>
      <c r="D38" s="83">
        <v>30.0</v>
      </c>
      <c r="E38" s="274">
        <v>30.0</v>
      </c>
      <c r="F38" s="281" t="s">
        <v>90</v>
      </c>
    </row>
    <row r="39" ht="15.0" customHeight="1">
      <c r="A39" s="82" t="s">
        <v>7653</v>
      </c>
      <c r="B39" s="82" t="s">
        <v>52</v>
      </c>
      <c r="C39" s="82" t="s">
        <v>12531</v>
      </c>
      <c r="D39" s="83">
        <v>30.0</v>
      </c>
      <c r="E39" s="274">
        <v>30.0</v>
      </c>
      <c r="F39" s="281" t="s">
        <v>90</v>
      </c>
    </row>
    <row r="40" ht="15.0" customHeight="1">
      <c r="A40" s="82" t="s">
        <v>7653</v>
      </c>
      <c r="B40" s="82" t="s">
        <v>94</v>
      </c>
      <c r="C40" s="82" t="s">
        <v>12532</v>
      </c>
      <c r="D40" s="83">
        <v>50.0</v>
      </c>
      <c r="E40" s="274">
        <v>50.0</v>
      </c>
      <c r="F40" s="281" t="s">
        <v>90</v>
      </c>
    </row>
    <row r="41" ht="15.0" customHeight="1">
      <c r="A41" s="82" t="s">
        <v>7653</v>
      </c>
      <c r="B41" s="82" t="s">
        <v>52</v>
      </c>
      <c r="C41" s="82" t="s">
        <v>12533</v>
      </c>
      <c r="D41" s="83">
        <v>50.0</v>
      </c>
      <c r="E41" s="274">
        <v>50.0</v>
      </c>
      <c r="F41" s="281" t="s">
        <v>90</v>
      </c>
    </row>
    <row r="42" ht="15.0" customHeight="1">
      <c r="A42" s="82" t="s">
        <v>92</v>
      </c>
      <c r="B42" s="83" t="s">
        <v>52</v>
      </c>
      <c r="C42" s="82" t="s">
        <v>12534</v>
      </c>
      <c r="D42" s="83">
        <v>10.0</v>
      </c>
      <c r="E42" s="274">
        <v>10.0</v>
      </c>
      <c r="F42" s="281" t="s">
        <v>92</v>
      </c>
    </row>
    <row r="43" ht="15.0" customHeight="1">
      <c r="A43" s="82" t="s">
        <v>92</v>
      </c>
      <c r="B43" s="83" t="s">
        <v>52</v>
      </c>
      <c r="C43" s="82" t="s">
        <v>12534</v>
      </c>
      <c r="D43" s="83">
        <v>10.0</v>
      </c>
      <c r="E43" s="274">
        <v>10.0</v>
      </c>
      <c r="F43" s="281" t="s">
        <v>92</v>
      </c>
    </row>
    <row r="44" ht="15.0" customHeight="1">
      <c r="A44" s="82" t="s">
        <v>92</v>
      </c>
      <c r="B44" s="83" t="s">
        <v>52</v>
      </c>
      <c r="C44" s="82" t="s">
        <v>12534</v>
      </c>
      <c r="D44" s="83">
        <v>10.0</v>
      </c>
      <c r="E44" s="274">
        <v>10.0</v>
      </c>
      <c r="F44" s="281" t="s">
        <v>92</v>
      </c>
    </row>
    <row r="45" ht="15.0" customHeight="1">
      <c r="A45" s="82" t="s">
        <v>92</v>
      </c>
      <c r="B45" s="83" t="s">
        <v>52</v>
      </c>
      <c r="C45" s="82" t="s">
        <v>12534</v>
      </c>
      <c r="D45" s="83">
        <v>10.0</v>
      </c>
      <c r="E45" s="274">
        <v>10.0</v>
      </c>
      <c r="F45" s="281" t="s">
        <v>92</v>
      </c>
    </row>
    <row r="46" ht="15.0" customHeight="1">
      <c r="A46" s="82" t="s">
        <v>92</v>
      </c>
      <c r="B46" s="83" t="s">
        <v>52</v>
      </c>
      <c r="C46" s="82" t="s">
        <v>12535</v>
      </c>
      <c r="D46" s="83">
        <v>10.0</v>
      </c>
      <c r="E46" s="274">
        <v>10.0</v>
      </c>
      <c r="F46" s="281" t="s">
        <v>92</v>
      </c>
    </row>
    <row r="47" ht="15.0" customHeight="1">
      <c r="A47" s="82" t="s">
        <v>92</v>
      </c>
      <c r="B47" s="83" t="s">
        <v>52</v>
      </c>
      <c r="C47" s="82" t="s">
        <v>12535</v>
      </c>
      <c r="D47" s="83">
        <v>10.0</v>
      </c>
      <c r="E47" s="274">
        <v>10.0</v>
      </c>
      <c r="F47" s="281" t="s">
        <v>92</v>
      </c>
    </row>
    <row r="48" ht="15.0" customHeight="1">
      <c r="A48" s="82" t="s">
        <v>92</v>
      </c>
      <c r="B48" s="83" t="s">
        <v>52</v>
      </c>
      <c r="C48" s="82" t="s">
        <v>12535</v>
      </c>
      <c r="D48" s="83">
        <v>10.0</v>
      </c>
      <c r="E48" s="274">
        <v>10.0</v>
      </c>
      <c r="F48" s="281" t="s">
        <v>92</v>
      </c>
    </row>
    <row r="49" ht="15.0" customHeight="1">
      <c r="A49" s="82" t="s">
        <v>92</v>
      </c>
      <c r="B49" s="83" t="s">
        <v>52</v>
      </c>
      <c r="C49" s="82" t="s">
        <v>12536</v>
      </c>
      <c r="D49" s="83">
        <v>30.0</v>
      </c>
      <c r="E49" s="274">
        <v>30.0</v>
      </c>
      <c r="F49" s="281" t="s">
        <v>92</v>
      </c>
    </row>
    <row r="50" ht="15.0" customHeight="1">
      <c r="A50" s="82" t="s">
        <v>92</v>
      </c>
      <c r="B50" s="82" t="s">
        <v>52</v>
      </c>
      <c r="C50" s="92" t="s">
        <v>12537</v>
      </c>
      <c r="D50" s="83">
        <v>10.0</v>
      </c>
      <c r="E50" s="274">
        <v>10.0</v>
      </c>
      <c r="F50" s="281" t="s">
        <v>92</v>
      </c>
    </row>
    <row r="51" ht="15.0" customHeight="1">
      <c r="A51" s="82" t="s">
        <v>92</v>
      </c>
      <c r="B51" s="82" t="s">
        <v>52</v>
      </c>
      <c r="C51" s="92" t="s">
        <v>12537</v>
      </c>
      <c r="D51" s="83">
        <v>10.0</v>
      </c>
      <c r="E51" s="274">
        <v>10.0</v>
      </c>
      <c r="F51" s="281" t="s">
        <v>92</v>
      </c>
    </row>
    <row r="52" ht="15.0" customHeight="1">
      <c r="A52" s="83" t="s">
        <v>92</v>
      </c>
      <c r="B52" s="83" t="s">
        <v>52</v>
      </c>
      <c r="C52" s="83" t="s">
        <v>12538</v>
      </c>
      <c r="D52" s="83">
        <v>30.0</v>
      </c>
      <c r="E52" s="274">
        <v>30.0</v>
      </c>
      <c r="F52" s="281" t="s">
        <v>92</v>
      </c>
    </row>
    <row r="53" ht="15.0" customHeight="1">
      <c r="A53" s="83" t="s">
        <v>92</v>
      </c>
      <c r="B53" s="83" t="s">
        <v>52</v>
      </c>
      <c r="C53" s="83" t="s">
        <v>12539</v>
      </c>
      <c r="D53" s="83">
        <v>30.0</v>
      </c>
      <c r="E53" s="274">
        <v>30.0</v>
      </c>
      <c r="F53" s="281" t="s">
        <v>92</v>
      </c>
    </row>
    <row r="54" ht="15.0" customHeight="1">
      <c r="A54" s="82" t="s">
        <v>8503</v>
      </c>
      <c r="B54" s="82" t="s">
        <v>52</v>
      </c>
      <c r="C54" s="100" t="s">
        <v>12540</v>
      </c>
      <c r="D54" s="156">
        <v>8.0</v>
      </c>
      <c r="E54" s="494">
        <v>8.0</v>
      </c>
      <c r="F54" s="281" t="s">
        <v>72</v>
      </c>
    </row>
    <row r="55" ht="15.0" customHeight="1">
      <c r="A55" s="82" t="s">
        <v>8503</v>
      </c>
      <c r="B55" s="82" t="s">
        <v>52</v>
      </c>
      <c r="C55" s="100" t="s">
        <v>12541</v>
      </c>
      <c r="D55" s="156">
        <v>8.0</v>
      </c>
      <c r="E55" s="494">
        <v>8.0</v>
      </c>
      <c r="F55" s="281" t="s">
        <v>72</v>
      </c>
    </row>
    <row r="56" ht="15.0" customHeight="1">
      <c r="A56" s="82" t="s">
        <v>8503</v>
      </c>
      <c r="B56" s="82" t="s">
        <v>52</v>
      </c>
      <c r="C56" s="100" t="s">
        <v>12542</v>
      </c>
      <c r="D56" s="156">
        <v>30.0</v>
      </c>
      <c r="E56" s="494">
        <v>30.0</v>
      </c>
      <c r="F56" s="281" t="s">
        <v>72</v>
      </c>
    </row>
    <row r="57" ht="15.0" customHeight="1">
      <c r="A57" s="82" t="s">
        <v>8503</v>
      </c>
      <c r="B57" s="82" t="s">
        <v>52</v>
      </c>
      <c r="C57" s="100" t="s">
        <v>12543</v>
      </c>
      <c r="D57" s="156" t="s">
        <v>12544</v>
      </c>
      <c r="E57" s="494">
        <v>20.0</v>
      </c>
      <c r="F57" s="281" t="s">
        <v>72</v>
      </c>
    </row>
    <row r="58" ht="15.0" customHeight="1">
      <c r="A58" s="82" t="s">
        <v>8931</v>
      </c>
      <c r="B58" s="326" t="s">
        <v>52</v>
      </c>
      <c r="C58" s="82" t="s">
        <v>12545</v>
      </c>
      <c r="D58" s="83" t="s">
        <v>12546</v>
      </c>
      <c r="E58" s="274">
        <v>8.0</v>
      </c>
      <c r="F58" s="281" t="s">
        <v>76</v>
      </c>
    </row>
    <row r="59" ht="15.0" customHeight="1">
      <c r="A59" s="82" t="s">
        <v>7659</v>
      </c>
      <c r="B59" s="82" t="s">
        <v>52</v>
      </c>
      <c r="C59" s="82" t="s">
        <v>12512</v>
      </c>
      <c r="D59" s="83">
        <v>60.0</v>
      </c>
      <c r="E59" s="275">
        <v>60.0</v>
      </c>
      <c r="F59" s="281" t="s">
        <v>60</v>
      </c>
    </row>
    <row r="60" ht="15.0" customHeight="1">
      <c r="A60" s="82" t="s">
        <v>7659</v>
      </c>
      <c r="B60" s="82" t="s">
        <v>52</v>
      </c>
      <c r="C60" s="82" t="s">
        <v>12513</v>
      </c>
      <c r="D60" s="83">
        <v>60.0</v>
      </c>
      <c r="E60" s="275">
        <v>60.0</v>
      </c>
      <c r="F60" s="281" t="s">
        <v>60</v>
      </c>
    </row>
    <row r="61" ht="15.0" customHeight="1">
      <c r="A61" s="82" t="s">
        <v>7659</v>
      </c>
      <c r="B61" s="82" t="s">
        <v>9236</v>
      </c>
      <c r="C61" s="82" t="s">
        <v>12509</v>
      </c>
      <c r="D61" s="83" t="s">
        <v>12544</v>
      </c>
      <c r="E61" s="274">
        <v>20.0</v>
      </c>
      <c r="F61" s="281" t="s">
        <v>60</v>
      </c>
    </row>
    <row r="62" ht="15.0" customHeight="1">
      <c r="A62" s="557" t="s">
        <v>7659</v>
      </c>
      <c r="B62" s="558" t="s">
        <v>52</v>
      </c>
      <c r="C62" s="558" t="s">
        <v>12547</v>
      </c>
      <c r="D62" s="559">
        <v>50.0</v>
      </c>
      <c r="E62" s="560">
        <v>50.0</v>
      </c>
      <c r="F62" s="281" t="s">
        <v>60</v>
      </c>
    </row>
    <row r="63" ht="15.0" customHeight="1">
      <c r="A63" s="557" t="s">
        <v>7659</v>
      </c>
      <c r="B63" s="558" t="s">
        <v>52</v>
      </c>
      <c r="C63" s="558" t="s">
        <v>12533</v>
      </c>
      <c r="D63" s="559">
        <v>50.0</v>
      </c>
      <c r="E63" s="560">
        <v>50.0</v>
      </c>
      <c r="F63" s="281" t="s">
        <v>60</v>
      </c>
    </row>
    <row r="64" ht="15.0" customHeight="1">
      <c r="A64" s="82" t="s">
        <v>7704</v>
      </c>
      <c r="B64" s="82" t="s">
        <v>52</v>
      </c>
      <c r="C64" s="82" t="s">
        <v>12548</v>
      </c>
      <c r="D64" s="83">
        <f>30</f>
        <v>30</v>
      </c>
      <c r="E64" s="274">
        <f>D64</f>
        <v>30</v>
      </c>
      <c r="F64" s="281" t="s">
        <v>82</v>
      </c>
    </row>
    <row r="65" ht="15.0" customHeight="1">
      <c r="A65" s="82" t="s">
        <v>7704</v>
      </c>
      <c r="B65" s="82" t="s">
        <v>52</v>
      </c>
      <c r="C65" s="82" t="s">
        <v>12549</v>
      </c>
      <c r="D65" s="83">
        <f t="shared" ref="D65:D66" si="2">10</f>
        <v>10</v>
      </c>
      <c r="E65" s="274">
        <f t="shared" ref="E65:E66" si="3">10/2</f>
        <v>5</v>
      </c>
      <c r="F65" s="281" t="s">
        <v>82</v>
      </c>
    </row>
    <row r="66" ht="15.0" customHeight="1">
      <c r="A66" s="82" t="s">
        <v>7704</v>
      </c>
      <c r="B66" s="82" t="s">
        <v>52</v>
      </c>
      <c r="C66" s="82" t="s">
        <v>12550</v>
      </c>
      <c r="D66" s="83">
        <f t="shared" si="2"/>
        <v>10</v>
      </c>
      <c r="E66" s="274">
        <f t="shared" si="3"/>
        <v>5</v>
      </c>
      <c r="F66" s="281" t="s">
        <v>82</v>
      </c>
    </row>
    <row r="67" ht="15.0" customHeight="1">
      <c r="A67" s="82" t="s">
        <v>7704</v>
      </c>
      <c r="B67" s="82" t="s">
        <v>52</v>
      </c>
      <c r="C67" s="82" t="s">
        <v>12551</v>
      </c>
      <c r="D67" s="83">
        <v>30.0</v>
      </c>
      <c r="E67" s="274">
        <v>30.0</v>
      </c>
      <c r="F67" s="281" t="s">
        <v>82</v>
      </c>
    </row>
    <row r="68" ht="15.0" customHeight="1">
      <c r="A68" s="82" t="s">
        <v>7704</v>
      </c>
      <c r="B68" s="82" t="s">
        <v>52</v>
      </c>
      <c r="C68" s="82" t="s">
        <v>12552</v>
      </c>
      <c r="D68" s="83">
        <v>30.0</v>
      </c>
      <c r="E68" s="274">
        <v>30.0</v>
      </c>
      <c r="F68" s="281" t="s">
        <v>82</v>
      </c>
    </row>
    <row r="69" ht="15.0" customHeight="1">
      <c r="A69" s="85" t="s">
        <v>7704</v>
      </c>
      <c r="B69" s="85" t="s">
        <v>52</v>
      </c>
      <c r="C69" s="85" t="s">
        <v>12553</v>
      </c>
      <c r="D69" s="98">
        <v>50.0</v>
      </c>
      <c r="E69" s="344">
        <v>50.0</v>
      </c>
      <c r="F69" s="281" t="s">
        <v>82</v>
      </c>
    </row>
    <row r="70" ht="15.0" customHeight="1">
      <c r="A70" s="100" t="s">
        <v>80</v>
      </c>
      <c r="B70" s="100" t="s">
        <v>12184</v>
      </c>
      <c r="C70" s="100" t="s">
        <v>12554</v>
      </c>
      <c r="D70" s="83" t="s">
        <v>12555</v>
      </c>
      <c r="E70" s="494">
        <v>30.0</v>
      </c>
      <c r="F70" s="281" t="s">
        <v>80</v>
      </c>
    </row>
    <row r="71" ht="15.0" customHeight="1">
      <c r="A71" s="82" t="s">
        <v>80</v>
      </c>
      <c r="B71" s="82" t="s">
        <v>12184</v>
      </c>
      <c r="C71" s="82" t="s">
        <v>12556</v>
      </c>
      <c r="D71" s="83">
        <v>8.0</v>
      </c>
      <c r="E71" s="274">
        <v>8.0</v>
      </c>
      <c r="F71" s="281" t="s">
        <v>80</v>
      </c>
    </row>
    <row r="72" ht="15.0" customHeight="1">
      <c r="A72" s="82" t="s">
        <v>80</v>
      </c>
      <c r="B72" s="82" t="s">
        <v>12184</v>
      </c>
      <c r="C72" s="82" t="s">
        <v>12557</v>
      </c>
      <c r="D72" s="83">
        <v>8.0</v>
      </c>
      <c r="E72" s="274">
        <v>8.0</v>
      </c>
      <c r="F72" s="281" t="s">
        <v>80</v>
      </c>
    </row>
    <row r="73" ht="15.0" customHeight="1">
      <c r="A73" s="82" t="s">
        <v>80</v>
      </c>
      <c r="B73" s="82" t="s">
        <v>12184</v>
      </c>
      <c r="C73" s="82" t="s">
        <v>12558</v>
      </c>
      <c r="D73" s="83">
        <v>8.0</v>
      </c>
      <c r="E73" s="274">
        <v>8.0</v>
      </c>
      <c r="F73" s="281" t="s">
        <v>80</v>
      </c>
    </row>
    <row r="74" ht="15.0" customHeight="1">
      <c r="A74" s="82" t="s">
        <v>80</v>
      </c>
      <c r="B74" s="82" t="s">
        <v>12184</v>
      </c>
      <c r="C74" s="82" t="s">
        <v>12559</v>
      </c>
      <c r="D74" s="83">
        <v>8.0</v>
      </c>
      <c r="E74" s="274">
        <v>8.0</v>
      </c>
      <c r="F74" s="281" t="s">
        <v>80</v>
      </c>
    </row>
    <row r="75" ht="15.0" customHeight="1">
      <c r="A75" s="352" t="s">
        <v>80</v>
      </c>
      <c r="B75" s="352" t="s">
        <v>12184</v>
      </c>
      <c r="C75" s="352" t="s">
        <v>12560</v>
      </c>
      <c r="D75" s="489">
        <v>8.0</v>
      </c>
      <c r="E75" s="504">
        <v>8.0</v>
      </c>
      <c r="F75" s="281" t="s">
        <v>80</v>
      </c>
    </row>
    <row r="76" ht="15.0" customHeight="1">
      <c r="A76" s="82" t="s">
        <v>80</v>
      </c>
      <c r="B76" s="82" t="s">
        <v>12184</v>
      </c>
      <c r="C76" s="82" t="s">
        <v>12561</v>
      </c>
      <c r="D76" s="83">
        <v>8.0</v>
      </c>
      <c r="E76" s="274">
        <v>8.0</v>
      </c>
      <c r="F76" s="281" t="s">
        <v>80</v>
      </c>
    </row>
    <row r="77" ht="15.0" customHeight="1">
      <c r="A77" s="82" t="s">
        <v>67</v>
      </c>
      <c r="B77" s="82" t="s">
        <v>52</v>
      </c>
      <c r="C77" s="82" t="s">
        <v>12562</v>
      </c>
      <c r="D77" s="83">
        <v>30.0</v>
      </c>
      <c r="E77" s="274">
        <v>30.0</v>
      </c>
      <c r="F77" s="281" t="s">
        <v>67</v>
      </c>
    </row>
    <row r="78" ht="15.0" customHeight="1">
      <c r="A78" s="82" t="s">
        <v>67</v>
      </c>
      <c r="B78" s="82" t="s">
        <v>52</v>
      </c>
      <c r="C78" s="82" t="s">
        <v>12563</v>
      </c>
      <c r="D78" s="83">
        <v>10.0</v>
      </c>
      <c r="E78" s="274">
        <v>10.0</v>
      </c>
      <c r="F78" s="281" t="s">
        <v>67</v>
      </c>
    </row>
    <row r="79" ht="15.0" customHeight="1">
      <c r="A79" s="82" t="s">
        <v>67</v>
      </c>
      <c r="B79" s="82" t="s">
        <v>52</v>
      </c>
      <c r="C79" s="82" t="s">
        <v>12564</v>
      </c>
      <c r="D79" s="83">
        <v>10.0</v>
      </c>
      <c r="E79" s="274">
        <v>10.0</v>
      </c>
      <c r="F79" s="281" t="s">
        <v>67</v>
      </c>
    </row>
    <row r="80" ht="15.0" customHeight="1">
      <c r="A80" s="82" t="s">
        <v>67</v>
      </c>
      <c r="B80" s="82" t="s">
        <v>52</v>
      </c>
      <c r="C80" s="82" t="s">
        <v>12565</v>
      </c>
      <c r="D80" s="83">
        <v>10.0</v>
      </c>
      <c r="E80" s="274">
        <v>10.0</v>
      </c>
      <c r="F80" s="281" t="s">
        <v>67</v>
      </c>
    </row>
    <row r="81" ht="15.0" customHeight="1">
      <c r="A81" s="148" t="s">
        <v>8536</v>
      </c>
      <c r="B81" s="148" t="s">
        <v>52</v>
      </c>
      <c r="C81" s="148" t="s">
        <v>12566</v>
      </c>
      <c r="D81" s="191">
        <v>30.0</v>
      </c>
      <c r="E81" s="461">
        <v>30.0</v>
      </c>
      <c r="F81" s="281" t="s">
        <v>87</v>
      </c>
    </row>
    <row r="82" ht="15.0" customHeight="1">
      <c r="A82" s="148" t="s">
        <v>8536</v>
      </c>
      <c r="B82" s="148" t="s">
        <v>52</v>
      </c>
      <c r="C82" s="148" t="s">
        <v>12567</v>
      </c>
      <c r="D82" s="191">
        <v>30.0</v>
      </c>
      <c r="E82" s="461">
        <f t="shared" ref="E82:E85" si="4">D82</f>
        <v>30</v>
      </c>
      <c r="F82" s="281" t="s">
        <v>87</v>
      </c>
    </row>
    <row r="83" ht="15.0" customHeight="1">
      <c r="A83" s="148" t="s">
        <v>9219</v>
      </c>
      <c r="B83" s="148" t="s">
        <v>52</v>
      </c>
      <c r="C83" s="82" t="s">
        <v>12568</v>
      </c>
      <c r="D83" s="83">
        <v>30.0</v>
      </c>
      <c r="E83" s="274">
        <f t="shared" si="4"/>
        <v>30</v>
      </c>
      <c r="F83" s="281" t="s">
        <v>59</v>
      </c>
    </row>
    <row r="84" ht="15.0" customHeight="1">
      <c r="A84" s="148" t="s">
        <v>9219</v>
      </c>
      <c r="B84" s="148" t="s">
        <v>52</v>
      </c>
      <c r="C84" s="82" t="s">
        <v>12569</v>
      </c>
      <c r="D84" s="83">
        <v>50.0</v>
      </c>
      <c r="E84" s="274">
        <f t="shared" si="4"/>
        <v>50</v>
      </c>
      <c r="F84" s="281" t="s">
        <v>59</v>
      </c>
    </row>
    <row r="85" ht="15.0" customHeight="1">
      <c r="A85" s="82" t="s">
        <v>7730</v>
      </c>
      <c r="B85" s="82" t="s">
        <v>52</v>
      </c>
      <c r="C85" s="82" t="s">
        <v>12570</v>
      </c>
      <c r="D85" s="83">
        <f>30</f>
        <v>30</v>
      </c>
      <c r="E85" s="274">
        <f t="shared" si="4"/>
        <v>30</v>
      </c>
      <c r="F85" s="281" t="s">
        <v>91</v>
      </c>
    </row>
    <row r="86" ht="15.0" customHeight="1">
      <c r="A86" s="82" t="s">
        <v>7730</v>
      </c>
      <c r="B86" s="82" t="s">
        <v>52</v>
      </c>
      <c r="C86" s="82" t="s">
        <v>12571</v>
      </c>
      <c r="D86" s="83">
        <v>10.0</v>
      </c>
      <c r="E86" s="274">
        <f>D86/2</f>
        <v>5</v>
      </c>
      <c r="F86" s="281" t="s">
        <v>91</v>
      </c>
    </row>
    <row r="87" ht="15.0" customHeight="1">
      <c r="A87" s="82" t="s">
        <v>7730</v>
      </c>
      <c r="B87" s="82" t="s">
        <v>52</v>
      </c>
      <c r="C87" s="82" t="s">
        <v>12572</v>
      </c>
      <c r="D87" s="83">
        <v>10.0</v>
      </c>
      <c r="E87" s="274">
        <f t="shared" ref="E87:E91" si="5">10/2</f>
        <v>5</v>
      </c>
      <c r="F87" s="281" t="s">
        <v>91</v>
      </c>
    </row>
    <row r="88" ht="15.0" customHeight="1">
      <c r="A88" s="82" t="s">
        <v>7730</v>
      </c>
      <c r="B88" s="82" t="s">
        <v>52</v>
      </c>
      <c r="C88" s="82" t="s">
        <v>12573</v>
      </c>
      <c r="D88" s="83">
        <v>10.0</v>
      </c>
      <c r="E88" s="274">
        <f t="shared" si="5"/>
        <v>5</v>
      </c>
      <c r="F88" s="281" t="s">
        <v>91</v>
      </c>
    </row>
    <row r="89" ht="15.0" customHeight="1">
      <c r="A89" s="82" t="s">
        <v>7730</v>
      </c>
      <c r="B89" s="82" t="s">
        <v>52</v>
      </c>
      <c r="C89" s="82" t="s">
        <v>12574</v>
      </c>
      <c r="D89" s="83">
        <v>10.0</v>
      </c>
      <c r="E89" s="274">
        <f t="shared" si="5"/>
        <v>5</v>
      </c>
      <c r="F89" s="281" t="s">
        <v>91</v>
      </c>
    </row>
    <row r="90" ht="15.0" customHeight="1">
      <c r="A90" s="82" t="s">
        <v>7730</v>
      </c>
      <c r="B90" s="82" t="s">
        <v>52</v>
      </c>
      <c r="C90" s="82" t="s">
        <v>12575</v>
      </c>
      <c r="D90" s="83">
        <v>10.0</v>
      </c>
      <c r="E90" s="274">
        <f t="shared" si="5"/>
        <v>5</v>
      </c>
      <c r="F90" s="281" t="s">
        <v>91</v>
      </c>
    </row>
    <row r="91" ht="15.0" customHeight="1">
      <c r="A91" s="82" t="s">
        <v>7730</v>
      </c>
      <c r="B91" s="82" t="s">
        <v>52</v>
      </c>
      <c r="C91" s="82" t="s">
        <v>12576</v>
      </c>
      <c r="D91" s="83">
        <v>10.0</v>
      </c>
      <c r="E91" s="274">
        <f t="shared" si="5"/>
        <v>5</v>
      </c>
      <c r="F91" s="281" t="s">
        <v>91</v>
      </c>
    </row>
    <row r="92" ht="15.0" customHeight="1">
      <c r="A92" s="82" t="s">
        <v>7730</v>
      </c>
      <c r="B92" s="82" t="s">
        <v>52</v>
      </c>
      <c r="C92" s="82" t="s">
        <v>12530</v>
      </c>
      <c r="D92" s="83">
        <v>30.0</v>
      </c>
      <c r="E92" s="274">
        <v>30.0</v>
      </c>
      <c r="F92" s="281" t="s">
        <v>91</v>
      </c>
    </row>
    <row r="93" ht="15.0" customHeight="1">
      <c r="A93" s="82" t="s">
        <v>7730</v>
      </c>
      <c r="B93" s="82" t="s">
        <v>52</v>
      </c>
      <c r="C93" s="82" t="s">
        <v>12531</v>
      </c>
      <c r="D93" s="83">
        <v>30.0</v>
      </c>
      <c r="E93" s="274">
        <v>30.0</v>
      </c>
      <c r="F93" s="281" t="s">
        <v>91</v>
      </c>
    </row>
    <row r="94" ht="15.0" customHeight="1">
      <c r="A94" s="82" t="s">
        <v>7730</v>
      </c>
      <c r="B94" s="82" t="s">
        <v>52</v>
      </c>
      <c r="C94" s="82" t="s">
        <v>12577</v>
      </c>
      <c r="D94" s="83">
        <v>50.0</v>
      </c>
      <c r="E94" s="274">
        <v>50.0</v>
      </c>
      <c r="F94" s="281" t="s">
        <v>91</v>
      </c>
    </row>
    <row r="95" ht="15.0" customHeight="1">
      <c r="A95" s="148" t="s">
        <v>85</v>
      </c>
      <c r="B95" s="148" t="s">
        <v>52</v>
      </c>
      <c r="C95" s="148" t="s">
        <v>12578</v>
      </c>
      <c r="D95" s="83">
        <v>50.0</v>
      </c>
      <c r="E95" s="274">
        <v>50.0</v>
      </c>
      <c r="F95" s="281" t="s">
        <v>85</v>
      </c>
    </row>
    <row r="96" ht="15.0" customHeight="1">
      <c r="A96" s="148" t="s">
        <v>85</v>
      </c>
      <c r="B96" s="148" t="s">
        <v>9236</v>
      </c>
      <c r="C96" s="148" t="s">
        <v>12551</v>
      </c>
      <c r="D96" s="83">
        <v>30.0</v>
      </c>
      <c r="E96" s="274">
        <v>30.0</v>
      </c>
      <c r="F96" s="281" t="s">
        <v>85</v>
      </c>
    </row>
    <row r="97" ht="15.0" customHeight="1">
      <c r="A97" s="148" t="s">
        <v>85</v>
      </c>
      <c r="B97" s="148" t="s">
        <v>9238</v>
      </c>
      <c r="C97" s="148" t="s">
        <v>12552</v>
      </c>
      <c r="D97" s="83">
        <v>30.0</v>
      </c>
      <c r="E97" s="274">
        <v>30.0</v>
      </c>
      <c r="F97" s="281" t="s">
        <v>85</v>
      </c>
    </row>
    <row r="98" ht="15.0" customHeight="1">
      <c r="A98" s="148" t="s">
        <v>85</v>
      </c>
      <c r="B98" s="148" t="s">
        <v>12579</v>
      </c>
      <c r="C98" s="82" t="s">
        <v>12580</v>
      </c>
      <c r="D98" s="83">
        <f t="shared" ref="D98:D99" si="6">10</f>
        <v>10</v>
      </c>
      <c r="E98" s="274">
        <f t="shared" ref="E98:E99" si="7">10/2</f>
        <v>5</v>
      </c>
      <c r="F98" s="281" t="s">
        <v>85</v>
      </c>
    </row>
    <row r="99" ht="15.0" customHeight="1">
      <c r="A99" s="148" t="s">
        <v>85</v>
      </c>
      <c r="B99" s="148" t="s">
        <v>12581</v>
      </c>
      <c r="C99" s="82" t="s">
        <v>12582</v>
      </c>
      <c r="D99" s="83">
        <f t="shared" si="6"/>
        <v>10</v>
      </c>
      <c r="E99" s="274">
        <f t="shared" si="7"/>
        <v>5</v>
      </c>
      <c r="F99" s="281" t="s">
        <v>85</v>
      </c>
    </row>
    <row r="100" ht="15.0" customHeight="1">
      <c r="A100" s="82" t="s">
        <v>7731</v>
      </c>
      <c r="B100" s="82" t="s">
        <v>52</v>
      </c>
      <c r="C100" s="82" t="s">
        <v>12583</v>
      </c>
      <c r="D100" s="83"/>
      <c r="E100" s="274">
        <v>30.0</v>
      </c>
      <c r="F100" s="281" t="s">
        <v>81</v>
      </c>
    </row>
    <row r="101" ht="15.0" customHeight="1">
      <c r="A101" s="82" t="s">
        <v>10646</v>
      </c>
      <c r="B101" s="82" t="s">
        <v>52</v>
      </c>
      <c r="C101" s="82" t="s">
        <v>12508</v>
      </c>
      <c r="D101" s="83">
        <v>30.0</v>
      </c>
      <c r="E101" s="274">
        <f>D101</f>
        <v>30</v>
      </c>
      <c r="F101" s="281" t="s">
        <v>515</v>
      </c>
    </row>
    <row r="102" ht="15.0" customHeight="1">
      <c r="A102" s="82" t="s">
        <v>10646</v>
      </c>
      <c r="B102" s="82" t="s">
        <v>52</v>
      </c>
      <c r="C102" s="82" t="s">
        <v>12509</v>
      </c>
      <c r="D102" s="83" t="s">
        <v>12544</v>
      </c>
      <c r="E102" s="274">
        <v>20.0</v>
      </c>
      <c r="F102" s="281" t="s">
        <v>515</v>
      </c>
    </row>
    <row r="103" ht="15.0" customHeight="1">
      <c r="A103" s="82" t="s">
        <v>10646</v>
      </c>
      <c r="B103" s="82" t="s">
        <v>52</v>
      </c>
      <c r="C103" s="82" t="s">
        <v>12512</v>
      </c>
      <c r="D103" s="83">
        <v>30.0</v>
      </c>
      <c r="E103" s="274">
        <v>30.0</v>
      </c>
      <c r="F103" s="281" t="s">
        <v>515</v>
      </c>
    </row>
    <row r="104" ht="15.0" customHeight="1">
      <c r="A104" s="82" t="s">
        <v>10646</v>
      </c>
      <c r="B104" s="82" t="s">
        <v>52</v>
      </c>
      <c r="C104" s="82" t="s">
        <v>12513</v>
      </c>
      <c r="D104" s="83">
        <v>30.0</v>
      </c>
      <c r="E104" s="274">
        <v>30.0</v>
      </c>
      <c r="F104" s="281" t="s">
        <v>515</v>
      </c>
    </row>
    <row r="105" ht="15.0" customHeight="1">
      <c r="A105" s="82" t="s">
        <v>10646</v>
      </c>
      <c r="B105" s="381" t="s">
        <v>52</v>
      </c>
      <c r="C105" s="381" t="s">
        <v>12533</v>
      </c>
      <c r="D105" s="493">
        <v>50.0</v>
      </c>
      <c r="E105" s="561">
        <v>50.0</v>
      </c>
      <c r="F105" s="281" t="s">
        <v>515</v>
      </c>
    </row>
    <row r="106" ht="15.0" customHeight="1">
      <c r="A106" s="82" t="s">
        <v>10646</v>
      </c>
      <c r="B106" s="82" t="s">
        <v>52</v>
      </c>
      <c r="C106" s="82" t="s">
        <v>12584</v>
      </c>
      <c r="D106" s="83">
        <v>50.0</v>
      </c>
      <c r="E106" s="274">
        <v>50.0</v>
      </c>
      <c r="F106" s="281" t="s">
        <v>515</v>
      </c>
    </row>
    <row r="107" ht="15.0" customHeight="1">
      <c r="A107" s="82" t="s">
        <v>8556</v>
      </c>
      <c r="B107" s="82" t="s">
        <v>52</v>
      </c>
      <c r="C107" s="82" t="s">
        <v>12585</v>
      </c>
      <c r="D107" s="83">
        <v>30.0</v>
      </c>
      <c r="E107" s="274">
        <f>D107</f>
        <v>30</v>
      </c>
      <c r="F107" s="281" t="s">
        <v>528</v>
      </c>
    </row>
    <row r="108" ht="15.0" customHeight="1">
      <c r="A108" s="82" t="s">
        <v>8556</v>
      </c>
      <c r="B108" s="82" t="s">
        <v>10064</v>
      </c>
      <c r="C108" s="82" t="s">
        <v>12586</v>
      </c>
      <c r="D108" s="83">
        <v>30.0</v>
      </c>
      <c r="E108" s="274">
        <v>30.0</v>
      </c>
      <c r="F108" s="281" t="s">
        <v>528</v>
      </c>
    </row>
    <row r="109" ht="15.0" customHeight="1">
      <c r="A109" s="82" t="s">
        <v>8558</v>
      </c>
      <c r="B109" s="82" t="s">
        <v>52</v>
      </c>
      <c r="C109" s="82" t="s">
        <v>12508</v>
      </c>
      <c r="D109" s="83">
        <v>30.0</v>
      </c>
      <c r="E109" s="274">
        <f>D109</f>
        <v>30</v>
      </c>
      <c r="F109" s="281" t="s">
        <v>533</v>
      </c>
    </row>
    <row r="110" ht="15.0" customHeight="1">
      <c r="A110" s="82" t="s">
        <v>8558</v>
      </c>
      <c r="B110" s="82" t="s">
        <v>52</v>
      </c>
      <c r="C110" s="82" t="s">
        <v>12587</v>
      </c>
      <c r="D110" s="83" t="s">
        <v>12588</v>
      </c>
      <c r="E110" s="274">
        <v>70.0</v>
      </c>
      <c r="F110" s="281" t="s">
        <v>533</v>
      </c>
    </row>
    <row r="111" ht="15.0" customHeight="1">
      <c r="A111" s="82" t="s">
        <v>8558</v>
      </c>
      <c r="B111" s="82" t="s">
        <v>52</v>
      </c>
      <c r="C111" s="82" t="s">
        <v>12589</v>
      </c>
      <c r="D111" s="83">
        <v>10.0</v>
      </c>
      <c r="E111" s="274">
        <v>10.0</v>
      </c>
      <c r="F111" s="281" t="s">
        <v>533</v>
      </c>
    </row>
    <row r="112" ht="15.0" customHeight="1">
      <c r="A112" s="82" t="s">
        <v>8558</v>
      </c>
      <c r="B112" s="82" t="s">
        <v>52</v>
      </c>
      <c r="C112" s="82" t="s">
        <v>12512</v>
      </c>
      <c r="D112" s="83">
        <v>30.0</v>
      </c>
      <c r="E112" s="274">
        <v>30.0</v>
      </c>
      <c r="F112" s="281" t="s">
        <v>533</v>
      </c>
    </row>
    <row r="113" ht="15.0" customHeight="1">
      <c r="A113" s="82" t="s">
        <v>8558</v>
      </c>
      <c r="B113" s="82" t="s">
        <v>52</v>
      </c>
      <c r="C113" s="82" t="s">
        <v>12513</v>
      </c>
      <c r="D113" s="83">
        <v>30.0</v>
      </c>
      <c r="E113" s="274">
        <v>30.0</v>
      </c>
      <c r="F113" s="281" t="s">
        <v>533</v>
      </c>
    </row>
    <row r="114" ht="15.0" customHeight="1">
      <c r="A114" s="352" t="s">
        <v>8558</v>
      </c>
      <c r="B114" s="352" t="s">
        <v>52</v>
      </c>
      <c r="C114" s="352" t="s">
        <v>12514</v>
      </c>
      <c r="D114" s="489">
        <v>50.0</v>
      </c>
      <c r="E114" s="504">
        <v>50.0</v>
      </c>
      <c r="F114" s="281" t="s">
        <v>533</v>
      </c>
    </row>
    <row r="115" ht="15.0" customHeight="1">
      <c r="A115" s="352" t="s">
        <v>8558</v>
      </c>
      <c r="B115" s="352" t="s">
        <v>52</v>
      </c>
      <c r="C115" s="352" t="s">
        <v>12590</v>
      </c>
      <c r="D115" s="489">
        <v>50.0</v>
      </c>
      <c r="E115" s="504">
        <v>50.0</v>
      </c>
      <c r="F115" s="281" t="s">
        <v>533</v>
      </c>
    </row>
    <row r="116" ht="15.0" customHeight="1">
      <c r="A116" s="82" t="s">
        <v>9223</v>
      </c>
      <c r="B116" s="82" t="s">
        <v>52</v>
      </c>
      <c r="C116" s="82" t="s">
        <v>12591</v>
      </c>
      <c r="D116" s="83">
        <v>30.0</v>
      </c>
      <c r="E116" s="274">
        <v>30.0</v>
      </c>
      <c r="F116" s="281" t="s">
        <v>77</v>
      </c>
    </row>
    <row r="117" ht="15.0" customHeight="1">
      <c r="A117" s="82" t="s">
        <v>9223</v>
      </c>
      <c r="B117" s="82" t="s">
        <v>52</v>
      </c>
      <c r="C117" s="82" t="s">
        <v>12592</v>
      </c>
      <c r="D117" s="83">
        <v>10.0</v>
      </c>
      <c r="E117" s="274">
        <v>10.0</v>
      </c>
      <c r="F117" s="281" t="s">
        <v>77</v>
      </c>
    </row>
    <row r="118" ht="15.0" customHeight="1">
      <c r="A118" s="83" t="s">
        <v>12593</v>
      </c>
      <c r="B118" s="83" t="s">
        <v>52</v>
      </c>
      <c r="C118" s="82" t="s">
        <v>12534</v>
      </c>
      <c r="D118" s="83">
        <v>10.0</v>
      </c>
      <c r="E118" s="274">
        <v>10.0</v>
      </c>
      <c r="F118" s="281" t="s">
        <v>542</v>
      </c>
    </row>
    <row r="119" ht="15.0" customHeight="1">
      <c r="A119" s="83" t="s">
        <v>12593</v>
      </c>
      <c r="B119" s="83" t="s">
        <v>52</v>
      </c>
      <c r="C119" s="82" t="s">
        <v>12534</v>
      </c>
      <c r="D119" s="83">
        <v>10.0</v>
      </c>
      <c r="E119" s="274">
        <v>10.0</v>
      </c>
      <c r="F119" s="281" t="s">
        <v>542</v>
      </c>
    </row>
    <row r="120" ht="15.0" customHeight="1">
      <c r="A120" s="83" t="s">
        <v>12593</v>
      </c>
      <c r="B120" s="83" t="s">
        <v>52</v>
      </c>
      <c r="C120" s="82" t="s">
        <v>12535</v>
      </c>
      <c r="D120" s="83">
        <v>10.0</v>
      </c>
      <c r="E120" s="274">
        <v>10.0</v>
      </c>
      <c r="F120" s="281" t="s">
        <v>542</v>
      </c>
    </row>
    <row r="121" ht="15.0" customHeight="1">
      <c r="A121" s="83" t="s">
        <v>12593</v>
      </c>
      <c r="B121" s="83" t="s">
        <v>52</v>
      </c>
      <c r="C121" s="82" t="s">
        <v>12535</v>
      </c>
      <c r="D121" s="83">
        <v>10.0</v>
      </c>
      <c r="E121" s="274">
        <v>10.0</v>
      </c>
      <c r="F121" s="281" t="s">
        <v>542</v>
      </c>
    </row>
    <row r="122" ht="15.0" customHeight="1">
      <c r="A122" s="83" t="s">
        <v>12593</v>
      </c>
      <c r="B122" s="83" t="s">
        <v>52</v>
      </c>
      <c r="C122" s="82" t="s">
        <v>12535</v>
      </c>
      <c r="D122" s="83">
        <v>10.0</v>
      </c>
      <c r="E122" s="274">
        <v>10.0</v>
      </c>
      <c r="F122" s="281" t="s">
        <v>542</v>
      </c>
    </row>
    <row r="123" ht="15.0" customHeight="1">
      <c r="A123" s="83" t="s">
        <v>12593</v>
      </c>
      <c r="B123" s="83" t="s">
        <v>52</v>
      </c>
      <c r="C123" s="82" t="s">
        <v>12535</v>
      </c>
      <c r="D123" s="83">
        <v>10.0</v>
      </c>
      <c r="E123" s="274">
        <v>10.0</v>
      </c>
      <c r="F123" s="281" t="s">
        <v>542</v>
      </c>
    </row>
    <row r="124" ht="15.0" customHeight="1">
      <c r="A124" s="83" t="s">
        <v>12593</v>
      </c>
      <c r="B124" s="83" t="s">
        <v>52</v>
      </c>
      <c r="C124" s="82" t="s">
        <v>12536</v>
      </c>
      <c r="D124" s="83">
        <v>30.0</v>
      </c>
      <c r="E124" s="274">
        <v>30.0</v>
      </c>
      <c r="F124" s="281" t="s">
        <v>542</v>
      </c>
    </row>
    <row r="125" ht="15.0" customHeight="1">
      <c r="A125" s="83" t="s">
        <v>12593</v>
      </c>
      <c r="B125" s="83" t="s">
        <v>52</v>
      </c>
      <c r="C125" s="82" t="s">
        <v>12537</v>
      </c>
      <c r="D125" s="83">
        <v>10.0</v>
      </c>
      <c r="E125" s="274">
        <v>10.0</v>
      </c>
      <c r="F125" s="281" t="s">
        <v>542</v>
      </c>
    </row>
    <row r="126" ht="15.0" customHeight="1">
      <c r="A126" s="83" t="s">
        <v>12593</v>
      </c>
      <c r="B126" s="83" t="s">
        <v>52</v>
      </c>
      <c r="C126" s="82" t="s">
        <v>12537</v>
      </c>
      <c r="D126" s="83">
        <v>10.0</v>
      </c>
      <c r="E126" s="274">
        <v>10.0</v>
      </c>
      <c r="F126" s="281" t="s">
        <v>542</v>
      </c>
    </row>
    <row r="127" ht="15.0" customHeight="1">
      <c r="A127" s="83" t="s">
        <v>12593</v>
      </c>
      <c r="B127" s="83" t="s">
        <v>52</v>
      </c>
      <c r="C127" s="83" t="s">
        <v>12538</v>
      </c>
      <c r="D127" s="83">
        <v>30.0</v>
      </c>
      <c r="E127" s="275">
        <v>30.0</v>
      </c>
      <c r="F127" s="281" t="s">
        <v>542</v>
      </c>
    </row>
    <row r="128" ht="15.0" customHeight="1">
      <c r="A128" s="83" t="s">
        <v>12593</v>
      </c>
      <c r="B128" s="83" t="s">
        <v>52</v>
      </c>
      <c r="C128" s="83" t="s">
        <v>12539</v>
      </c>
      <c r="D128" s="83">
        <v>30.0</v>
      </c>
      <c r="E128" s="275">
        <v>30.0</v>
      </c>
      <c r="F128" s="281" t="s">
        <v>542</v>
      </c>
    </row>
    <row r="129" ht="15.0" customHeight="1">
      <c r="A129" s="82" t="s">
        <v>74</v>
      </c>
      <c r="B129" s="82" t="s">
        <v>1783</v>
      </c>
      <c r="C129" s="82" t="s">
        <v>12594</v>
      </c>
      <c r="D129" s="83">
        <v>50.0</v>
      </c>
      <c r="E129" s="274">
        <v>50.0</v>
      </c>
      <c r="F129" s="281" t="s">
        <v>74</v>
      </c>
    </row>
    <row r="130" ht="15.0" customHeight="1">
      <c r="A130" s="82" t="s">
        <v>74</v>
      </c>
      <c r="B130" s="82" t="s">
        <v>1783</v>
      </c>
      <c r="C130" s="82" t="s">
        <v>12595</v>
      </c>
      <c r="D130" s="83">
        <v>10.0</v>
      </c>
      <c r="E130" s="274">
        <v>10.0</v>
      </c>
      <c r="F130" s="281" t="s">
        <v>74</v>
      </c>
    </row>
    <row r="131" ht="15.0" customHeight="1">
      <c r="A131" s="82" t="s">
        <v>74</v>
      </c>
      <c r="B131" s="82" t="s">
        <v>1783</v>
      </c>
      <c r="C131" s="82" t="s">
        <v>12596</v>
      </c>
      <c r="D131" s="83">
        <v>10.0</v>
      </c>
      <c r="E131" s="274">
        <v>10.0</v>
      </c>
      <c r="F131" s="281" t="s">
        <v>74</v>
      </c>
    </row>
    <row r="132" ht="15.0" customHeight="1">
      <c r="A132" s="82" t="s">
        <v>89</v>
      </c>
      <c r="B132" s="82" t="s">
        <v>52</v>
      </c>
      <c r="C132" s="82" t="s">
        <v>12597</v>
      </c>
      <c r="D132" s="83">
        <v>30.0</v>
      </c>
      <c r="E132" s="274">
        <f t="shared" ref="E132:E133" si="8">D132</f>
        <v>30</v>
      </c>
      <c r="F132" s="281" t="s">
        <v>89</v>
      </c>
    </row>
    <row r="133" ht="15.0" customHeight="1">
      <c r="A133" s="82" t="s">
        <v>89</v>
      </c>
      <c r="B133" s="82" t="s">
        <v>52</v>
      </c>
      <c r="C133" s="82" t="s">
        <v>12513</v>
      </c>
      <c r="D133" s="83">
        <v>30.0</v>
      </c>
      <c r="E133" s="274">
        <f t="shared" si="8"/>
        <v>30</v>
      </c>
      <c r="F133" s="281" t="s">
        <v>89</v>
      </c>
    </row>
    <row r="134" ht="15.0" customHeight="1">
      <c r="A134" s="82" t="s">
        <v>8562</v>
      </c>
      <c r="B134" s="82" t="s">
        <v>52</v>
      </c>
      <c r="C134" s="82" t="s">
        <v>12598</v>
      </c>
      <c r="D134" s="83" t="s">
        <v>12544</v>
      </c>
      <c r="E134" s="274">
        <v>20.0</v>
      </c>
      <c r="F134" s="281" t="s">
        <v>65</v>
      </c>
    </row>
    <row r="135" ht="15.0" customHeight="1">
      <c r="A135" s="82" t="s">
        <v>8562</v>
      </c>
      <c r="B135" s="82" t="s">
        <v>52</v>
      </c>
      <c r="C135" s="82" t="s">
        <v>12599</v>
      </c>
      <c r="D135" s="83">
        <v>8.0</v>
      </c>
      <c r="E135" s="274">
        <v>8.0</v>
      </c>
      <c r="F135" s="281" t="s">
        <v>65</v>
      </c>
    </row>
    <row r="136" ht="15.0" customHeight="1">
      <c r="A136" s="82" t="s">
        <v>8562</v>
      </c>
      <c r="B136" s="82" t="s">
        <v>52</v>
      </c>
      <c r="C136" s="82" t="s">
        <v>12600</v>
      </c>
      <c r="D136" s="83">
        <v>8.0</v>
      </c>
      <c r="E136" s="274">
        <v>8.0</v>
      </c>
      <c r="F136" s="281" t="s">
        <v>65</v>
      </c>
    </row>
    <row r="137" ht="15.75" customHeight="1">
      <c r="A137" s="82" t="s">
        <v>9228</v>
      </c>
      <c r="B137" s="82" t="s">
        <v>182</v>
      </c>
      <c r="C137" s="82" t="s">
        <v>12601</v>
      </c>
      <c r="D137" s="83">
        <v>10.0</v>
      </c>
      <c r="E137" s="274">
        <v>10.0</v>
      </c>
      <c r="F137" s="281" t="s">
        <v>5258</v>
      </c>
    </row>
    <row r="138" ht="15.0" customHeight="1">
      <c r="A138" s="100" t="s">
        <v>5698</v>
      </c>
      <c r="B138" s="164" t="s">
        <v>182</v>
      </c>
      <c r="C138" s="100" t="s">
        <v>12602</v>
      </c>
      <c r="D138" s="168">
        <v>10.0</v>
      </c>
      <c r="E138" s="562">
        <v>10.0</v>
      </c>
      <c r="F138" s="281" t="s">
        <v>5698</v>
      </c>
    </row>
    <row r="139" ht="15.0" customHeight="1">
      <c r="A139" s="100" t="s">
        <v>5698</v>
      </c>
      <c r="B139" s="164" t="s">
        <v>182</v>
      </c>
      <c r="C139" s="100" t="s">
        <v>12603</v>
      </c>
      <c r="D139" s="168">
        <v>16.0</v>
      </c>
      <c r="E139" s="562">
        <v>16.0</v>
      </c>
      <c r="F139" s="281" t="s">
        <v>5698</v>
      </c>
    </row>
    <row r="140" ht="15.0" customHeight="1">
      <c r="A140" s="82" t="s">
        <v>12604</v>
      </c>
      <c r="B140" s="82" t="s">
        <v>94</v>
      </c>
      <c r="C140" s="82" t="s">
        <v>12605</v>
      </c>
      <c r="D140" s="83">
        <v>10.0</v>
      </c>
      <c r="E140" s="274">
        <v>5.0</v>
      </c>
      <c r="F140" s="281" t="s">
        <v>8578</v>
      </c>
    </row>
    <row r="141" ht="15.0" customHeight="1">
      <c r="A141" s="82" t="s">
        <v>12604</v>
      </c>
      <c r="B141" s="82" t="s">
        <v>94</v>
      </c>
      <c r="C141" s="82" t="s">
        <v>12606</v>
      </c>
      <c r="D141" s="83">
        <v>10.0</v>
      </c>
      <c r="E141" s="274">
        <v>5.0</v>
      </c>
      <c r="F141" s="281" t="s">
        <v>8578</v>
      </c>
    </row>
    <row r="142" ht="15.0" customHeight="1">
      <c r="A142" s="82" t="s">
        <v>12607</v>
      </c>
      <c r="B142" s="82" t="s">
        <v>94</v>
      </c>
      <c r="C142" s="82" t="s">
        <v>12608</v>
      </c>
      <c r="D142" s="83">
        <v>10.0</v>
      </c>
      <c r="E142" s="274">
        <v>5.0</v>
      </c>
      <c r="F142" s="281" t="s">
        <v>8578</v>
      </c>
    </row>
    <row r="143" ht="15.0" customHeight="1">
      <c r="A143" s="82" t="s">
        <v>12604</v>
      </c>
      <c r="B143" s="82" t="s">
        <v>94</v>
      </c>
      <c r="C143" s="82" t="s">
        <v>12609</v>
      </c>
      <c r="D143" s="83">
        <v>10.0</v>
      </c>
      <c r="E143" s="274">
        <v>5.0</v>
      </c>
      <c r="F143" s="281" t="s">
        <v>8578</v>
      </c>
    </row>
    <row r="144" ht="15.0" customHeight="1">
      <c r="A144" s="82" t="s">
        <v>566</v>
      </c>
      <c r="B144" s="82" t="s">
        <v>182</v>
      </c>
      <c r="C144" s="82" t="s">
        <v>12610</v>
      </c>
      <c r="D144" s="83" t="s">
        <v>8886</v>
      </c>
      <c r="E144" s="274">
        <v>100.0</v>
      </c>
      <c r="F144" s="281" t="s">
        <v>566</v>
      </c>
    </row>
    <row r="145" ht="15.0" customHeight="1">
      <c r="A145" s="82" t="s">
        <v>566</v>
      </c>
      <c r="B145" s="82" t="s">
        <v>182</v>
      </c>
      <c r="C145" s="82" t="s">
        <v>12611</v>
      </c>
      <c r="D145" s="83">
        <v>20.0</v>
      </c>
      <c r="E145" s="274">
        <v>20.0</v>
      </c>
      <c r="F145" s="281" t="s">
        <v>566</v>
      </c>
    </row>
    <row r="146" ht="15.0" customHeight="1">
      <c r="A146" s="352" t="s">
        <v>6256</v>
      </c>
      <c r="B146" s="352" t="s">
        <v>94</v>
      </c>
      <c r="C146" s="352" t="s">
        <v>12612</v>
      </c>
      <c r="D146" s="489">
        <v>30.0</v>
      </c>
      <c r="E146" s="504">
        <f>D146</f>
        <v>30</v>
      </c>
      <c r="F146" s="281" t="s">
        <v>2704</v>
      </c>
    </row>
    <row r="147" ht="15.0" customHeight="1">
      <c r="A147" s="352" t="s">
        <v>6256</v>
      </c>
      <c r="B147" s="352" t="s">
        <v>94</v>
      </c>
      <c r="C147" s="82" t="s">
        <v>12613</v>
      </c>
      <c r="D147" s="83">
        <v>10.0</v>
      </c>
      <c r="E147" s="274">
        <v>10.0</v>
      </c>
      <c r="F147" s="281" t="s">
        <v>2704</v>
      </c>
    </row>
    <row r="148" ht="15.0" customHeight="1">
      <c r="A148" s="352" t="s">
        <v>6256</v>
      </c>
      <c r="B148" s="352" t="s">
        <v>94</v>
      </c>
      <c r="C148" s="82" t="s">
        <v>12614</v>
      </c>
      <c r="D148" s="83">
        <v>10.0</v>
      </c>
      <c r="E148" s="274">
        <v>10.0</v>
      </c>
      <c r="F148" s="281" t="s">
        <v>2704</v>
      </c>
    </row>
    <row r="149" ht="15.0" customHeight="1">
      <c r="A149" s="352" t="s">
        <v>6256</v>
      </c>
      <c r="B149" s="352" t="s">
        <v>94</v>
      </c>
      <c r="C149" s="82" t="s">
        <v>12615</v>
      </c>
      <c r="D149" s="83">
        <v>10.0</v>
      </c>
      <c r="E149" s="274">
        <v>10.0</v>
      </c>
      <c r="F149" s="281" t="s">
        <v>2704</v>
      </c>
    </row>
    <row r="150" ht="15.0" customHeight="1">
      <c r="A150" s="352" t="s">
        <v>6256</v>
      </c>
      <c r="B150" s="352" t="s">
        <v>94</v>
      </c>
      <c r="C150" s="82" t="s">
        <v>12616</v>
      </c>
      <c r="D150" s="83">
        <v>10.0</v>
      </c>
      <c r="E150" s="274">
        <v>10.0</v>
      </c>
      <c r="F150" s="281" t="s">
        <v>2704</v>
      </c>
    </row>
    <row r="151" ht="15.0" customHeight="1">
      <c r="A151" s="352" t="s">
        <v>6256</v>
      </c>
      <c r="B151" s="352" t="s">
        <v>94</v>
      </c>
      <c r="C151" s="82" t="s">
        <v>12617</v>
      </c>
      <c r="D151" s="83">
        <v>10.0</v>
      </c>
      <c r="E151" s="274">
        <v>10.0</v>
      </c>
      <c r="F151" s="281" t="s">
        <v>2704</v>
      </c>
    </row>
    <row r="152" ht="15.0" customHeight="1">
      <c r="A152" s="352" t="s">
        <v>6256</v>
      </c>
      <c r="B152" s="352" t="s">
        <v>94</v>
      </c>
      <c r="C152" s="82" t="s">
        <v>12618</v>
      </c>
      <c r="D152" s="83">
        <v>10.0</v>
      </c>
      <c r="E152" s="274">
        <v>10.0</v>
      </c>
      <c r="F152" s="281" t="s">
        <v>2704</v>
      </c>
    </row>
    <row r="153" ht="15.0" customHeight="1">
      <c r="A153" s="352" t="s">
        <v>6256</v>
      </c>
      <c r="B153" s="352" t="s">
        <v>94</v>
      </c>
      <c r="C153" s="82" t="s">
        <v>12619</v>
      </c>
      <c r="D153" s="83">
        <v>10.0</v>
      </c>
      <c r="E153" s="274">
        <v>10.0</v>
      </c>
      <c r="F153" s="281" t="s">
        <v>2704</v>
      </c>
    </row>
    <row r="154" ht="15.0" customHeight="1">
      <c r="A154" s="352" t="s">
        <v>6256</v>
      </c>
      <c r="B154" s="352" t="s">
        <v>94</v>
      </c>
      <c r="C154" s="82" t="s">
        <v>12620</v>
      </c>
      <c r="D154" s="83">
        <v>10.0</v>
      </c>
      <c r="E154" s="274">
        <v>10.0</v>
      </c>
      <c r="F154" s="281" t="s">
        <v>2704</v>
      </c>
    </row>
    <row r="155" ht="15.0" customHeight="1">
      <c r="A155" s="352" t="s">
        <v>6256</v>
      </c>
      <c r="B155" s="352" t="s">
        <v>94</v>
      </c>
      <c r="C155" s="82" t="s">
        <v>12621</v>
      </c>
      <c r="D155" s="83">
        <v>10.0</v>
      </c>
      <c r="E155" s="274">
        <v>10.0</v>
      </c>
      <c r="F155" s="281" t="s">
        <v>2704</v>
      </c>
    </row>
    <row r="156" ht="15.0" customHeight="1">
      <c r="A156" s="352" t="s">
        <v>6256</v>
      </c>
      <c r="B156" s="352" t="s">
        <v>94</v>
      </c>
      <c r="C156" s="82" t="s">
        <v>12622</v>
      </c>
      <c r="D156" s="83">
        <v>10.0</v>
      </c>
      <c r="E156" s="274">
        <v>10.0</v>
      </c>
      <c r="F156" s="281" t="s">
        <v>2704</v>
      </c>
    </row>
    <row r="157" ht="15.0" customHeight="1">
      <c r="A157" s="352" t="s">
        <v>6256</v>
      </c>
      <c r="B157" s="352" t="s">
        <v>94</v>
      </c>
      <c r="C157" s="82" t="s">
        <v>12623</v>
      </c>
      <c r="D157" s="83">
        <v>10.0</v>
      </c>
      <c r="E157" s="274">
        <v>10.0</v>
      </c>
      <c r="F157" s="281" t="s">
        <v>2704</v>
      </c>
    </row>
    <row r="158" ht="15.0" customHeight="1">
      <c r="A158" s="100" t="s">
        <v>8608</v>
      </c>
      <c r="B158" s="164" t="s">
        <v>182</v>
      </c>
      <c r="C158" s="100" t="s">
        <v>12624</v>
      </c>
      <c r="D158" s="168">
        <v>10.0</v>
      </c>
      <c r="E158" s="562">
        <v>10.0</v>
      </c>
      <c r="F158" s="281" t="s">
        <v>616</v>
      </c>
    </row>
    <row r="159" ht="15.0" customHeight="1">
      <c r="A159" s="100" t="s">
        <v>8608</v>
      </c>
      <c r="B159" s="164" t="s">
        <v>182</v>
      </c>
      <c r="C159" s="100" t="s">
        <v>12625</v>
      </c>
      <c r="D159" s="168">
        <v>10.0</v>
      </c>
      <c r="E159" s="562">
        <v>10.0</v>
      </c>
      <c r="F159" s="281" t="s">
        <v>616</v>
      </c>
    </row>
    <row r="160" ht="15.0" customHeight="1">
      <c r="A160" s="100" t="s">
        <v>8608</v>
      </c>
      <c r="B160" s="164" t="s">
        <v>182</v>
      </c>
      <c r="C160" s="100" t="s">
        <v>12626</v>
      </c>
      <c r="D160" s="168">
        <v>8.0</v>
      </c>
      <c r="E160" s="562">
        <v>16.0</v>
      </c>
      <c r="F160" s="281" t="s">
        <v>616</v>
      </c>
    </row>
    <row r="161" ht="15.0" customHeight="1">
      <c r="A161" s="100" t="s">
        <v>8608</v>
      </c>
      <c r="B161" s="164" t="s">
        <v>182</v>
      </c>
      <c r="C161" s="100" t="s">
        <v>12627</v>
      </c>
      <c r="D161" s="168">
        <v>50.0</v>
      </c>
      <c r="E161" s="562">
        <v>50.0</v>
      </c>
      <c r="F161" s="281" t="s">
        <v>616</v>
      </c>
    </row>
    <row r="162" ht="15.0" customHeight="1">
      <c r="A162" s="100" t="s">
        <v>8608</v>
      </c>
      <c r="B162" s="164" t="s">
        <v>182</v>
      </c>
      <c r="C162" s="100" t="s">
        <v>12628</v>
      </c>
      <c r="D162" s="168">
        <v>50.0</v>
      </c>
      <c r="E162" s="562">
        <v>50.0</v>
      </c>
      <c r="F162" s="281" t="s">
        <v>616</v>
      </c>
    </row>
    <row r="163" ht="15.0" customHeight="1">
      <c r="A163" s="82" t="s">
        <v>2853</v>
      </c>
      <c r="B163" s="82" t="s">
        <v>94</v>
      </c>
      <c r="C163" s="82" t="s">
        <v>12629</v>
      </c>
      <c r="D163" s="83">
        <v>30.0</v>
      </c>
      <c r="E163" s="274">
        <v>30.0</v>
      </c>
      <c r="F163" s="281" t="s">
        <v>2853</v>
      </c>
    </row>
    <row r="164" ht="15.0" customHeight="1">
      <c r="A164" s="82" t="s">
        <v>2853</v>
      </c>
      <c r="B164" s="82" t="s">
        <v>94</v>
      </c>
      <c r="C164" s="82" t="s">
        <v>12630</v>
      </c>
      <c r="D164" s="83">
        <v>10.0</v>
      </c>
      <c r="E164" s="274">
        <v>10.0</v>
      </c>
      <c r="F164" s="281" t="s">
        <v>2853</v>
      </c>
    </row>
    <row r="165" ht="15.0" customHeight="1">
      <c r="A165" s="82" t="s">
        <v>2853</v>
      </c>
      <c r="B165" s="82" t="s">
        <v>94</v>
      </c>
      <c r="C165" s="82" t="s">
        <v>12631</v>
      </c>
      <c r="D165" s="83">
        <v>10.0</v>
      </c>
      <c r="E165" s="274">
        <v>10.0</v>
      </c>
      <c r="F165" s="281" t="s">
        <v>2853</v>
      </c>
    </row>
    <row r="166" ht="15.0" customHeight="1">
      <c r="A166" s="82" t="s">
        <v>2853</v>
      </c>
      <c r="B166" s="82" t="s">
        <v>94</v>
      </c>
      <c r="C166" s="82" t="s">
        <v>12632</v>
      </c>
      <c r="D166" s="83">
        <v>10.0</v>
      </c>
      <c r="E166" s="274">
        <v>10.0</v>
      </c>
      <c r="F166" s="281" t="s">
        <v>2853</v>
      </c>
    </row>
    <row r="167" ht="15.0" customHeight="1">
      <c r="A167" s="82" t="s">
        <v>626</v>
      </c>
      <c r="B167" s="82" t="s">
        <v>94</v>
      </c>
      <c r="C167" s="82" t="s">
        <v>12633</v>
      </c>
      <c r="D167" s="83" t="s">
        <v>12634</v>
      </c>
      <c r="E167" s="274">
        <f>8*10/2</f>
        <v>40</v>
      </c>
      <c r="F167" s="281" t="s">
        <v>626</v>
      </c>
    </row>
    <row r="168" ht="15.0" customHeight="1">
      <c r="A168" s="82" t="s">
        <v>9249</v>
      </c>
      <c r="B168" s="82" t="s">
        <v>5327</v>
      </c>
      <c r="C168" s="82" t="s">
        <v>12635</v>
      </c>
      <c r="D168" s="83">
        <v>30.0</v>
      </c>
      <c r="E168" s="275">
        <v>30.0</v>
      </c>
      <c r="F168" s="281" t="s">
        <v>5331</v>
      </c>
    </row>
    <row r="169" ht="15.0" customHeight="1">
      <c r="A169" s="82" t="s">
        <v>9249</v>
      </c>
      <c r="B169" s="82" t="s">
        <v>5327</v>
      </c>
      <c r="C169" s="82" t="s">
        <v>12636</v>
      </c>
      <c r="D169" s="83">
        <v>30.0</v>
      </c>
      <c r="E169" s="275">
        <v>30.0</v>
      </c>
      <c r="F169" s="281" t="s">
        <v>5331</v>
      </c>
    </row>
    <row r="170" ht="15.0" customHeight="1">
      <c r="A170" s="82" t="s">
        <v>5777</v>
      </c>
      <c r="B170" s="82" t="s">
        <v>94</v>
      </c>
      <c r="C170" s="82" t="s">
        <v>12637</v>
      </c>
      <c r="D170" s="83">
        <v>8.0</v>
      </c>
      <c r="E170" s="274">
        <v>8.0</v>
      </c>
      <c r="F170" s="281" t="s">
        <v>3008</v>
      </c>
    </row>
    <row r="171" ht="15.0" customHeight="1">
      <c r="A171" s="82" t="s">
        <v>5777</v>
      </c>
      <c r="B171" s="82" t="s">
        <v>94</v>
      </c>
      <c r="C171" s="82" t="s">
        <v>12638</v>
      </c>
      <c r="D171" s="83">
        <v>8.0</v>
      </c>
      <c r="E171" s="274">
        <v>8.0</v>
      </c>
      <c r="F171" s="281" t="s">
        <v>3008</v>
      </c>
    </row>
    <row r="172" ht="15.0" customHeight="1">
      <c r="A172" s="82" t="s">
        <v>3018</v>
      </c>
      <c r="B172" s="82" t="s">
        <v>94</v>
      </c>
      <c r="C172" s="82" t="s">
        <v>12639</v>
      </c>
      <c r="D172" s="83">
        <v>8.0</v>
      </c>
      <c r="E172" s="274">
        <v>8.0</v>
      </c>
      <c r="F172" s="281" t="s">
        <v>3018</v>
      </c>
    </row>
    <row r="173" ht="15.0" customHeight="1">
      <c r="A173" s="82" t="s">
        <v>3018</v>
      </c>
      <c r="B173" s="82" t="s">
        <v>94</v>
      </c>
      <c r="C173" s="82" t="s">
        <v>12640</v>
      </c>
      <c r="D173" s="83">
        <v>8.0</v>
      </c>
      <c r="E173" s="274">
        <v>8.0</v>
      </c>
      <c r="F173" s="281" t="s">
        <v>3018</v>
      </c>
    </row>
    <row r="174" ht="15.0" customHeight="1">
      <c r="A174" s="82" t="s">
        <v>7955</v>
      </c>
      <c r="B174" s="82" t="s">
        <v>94</v>
      </c>
      <c r="C174" s="82" t="s">
        <v>12641</v>
      </c>
      <c r="D174" s="83">
        <v>10.0</v>
      </c>
      <c r="E174" s="274">
        <v>10.0</v>
      </c>
      <c r="F174" s="281" t="s">
        <v>3018</v>
      </c>
    </row>
    <row r="175" ht="15.0" customHeight="1">
      <c r="A175" s="82" t="s">
        <v>7955</v>
      </c>
      <c r="B175" s="82" t="s">
        <v>94</v>
      </c>
      <c r="C175" s="82" t="s">
        <v>12642</v>
      </c>
      <c r="D175" s="83">
        <v>10.0</v>
      </c>
      <c r="E175" s="274">
        <v>10.0</v>
      </c>
      <c r="F175" s="281" t="s">
        <v>3018</v>
      </c>
    </row>
    <row r="176" ht="15.0" customHeight="1">
      <c r="A176" s="82" t="s">
        <v>7955</v>
      </c>
      <c r="B176" s="82" t="s">
        <v>94</v>
      </c>
      <c r="C176" s="82" t="s">
        <v>12643</v>
      </c>
      <c r="D176" s="83">
        <v>10.0</v>
      </c>
      <c r="E176" s="274">
        <v>10.0</v>
      </c>
      <c r="F176" s="281" t="s">
        <v>3018</v>
      </c>
    </row>
    <row r="177" ht="15.0" customHeight="1">
      <c r="A177" s="148" t="s">
        <v>3050</v>
      </c>
      <c r="B177" s="148" t="s">
        <v>94</v>
      </c>
      <c r="C177" s="148" t="s">
        <v>12644</v>
      </c>
      <c r="D177" s="191">
        <v>30.0</v>
      </c>
      <c r="E177" s="461">
        <v>30.0</v>
      </c>
      <c r="F177" s="281" t="s">
        <v>3050</v>
      </c>
    </row>
    <row r="178" ht="15.0" customHeight="1">
      <c r="A178" s="148" t="s">
        <v>3050</v>
      </c>
      <c r="B178" s="148" t="s">
        <v>94</v>
      </c>
      <c r="C178" s="148" t="s">
        <v>12645</v>
      </c>
      <c r="D178" s="191">
        <v>30.0</v>
      </c>
      <c r="E178" s="461">
        <v>30.0</v>
      </c>
      <c r="F178" s="281" t="s">
        <v>3050</v>
      </c>
    </row>
    <row r="179" ht="15.0" customHeight="1">
      <c r="A179" s="148" t="s">
        <v>3050</v>
      </c>
      <c r="B179" s="148" t="s">
        <v>94</v>
      </c>
      <c r="C179" s="148" t="s">
        <v>12646</v>
      </c>
      <c r="D179" s="191">
        <v>30.0</v>
      </c>
      <c r="E179" s="461">
        <f>30/2</f>
        <v>15</v>
      </c>
      <c r="F179" s="281" t="s">
        <v>3050</v>
      </c>
    </row>
    <row r="180" ht="15.0" customHeight="1">
      <c r="A180" s="148" t="s">
        <v>3050</v>
      </c>
      <c r="B180" s="148" t="s">
        <v>94</v>
      </c>
      <c r="C180" s="148" t="s">
        <v>12647</v>
      </c>
      <c r="D180" s="191">
        <v>60.0</v>
      </c>
      <c r="E180" s="461">
        <v>60.0</v>
      </c>
      <c r="F180" s="281" t="s">
        <v>3050</v>
      </c>
    </row>
    <row r="181" ht="15.0" customHeight="1">
      <c r="A181" s="82" t="s">
        <v>8639</v>
      </c>
      <c r="B181" s="82" t="s">
        <v>94</v>
      </c>
      <c r="C181" s="82" t="s">
        <v>12648</v>
      </c>
      <c r="D181" s="83">
        <v>30.0</v>
      </c>
      <c r="E181" s="274">
        <f t="shared" ref="E181:E182" si="9">D181</f>
        <v>30</v>
      </c>
      <c r="F181" s="281" t="s">
        <v>3078</v>
      </c>
    </row>
    <row r="182" ht="15.0" customHeight="1">
      <c r="A182" s="82" t="s">
        <v>8639</v>
      </c>
      <c r="B182" s="82" t="s">
        <v>94</v>
      </c>
      <c r="C182" s="82" t="s">
        <v>12649</v>
      </c>
      <c r="D182" s="83">
        <f>(8/2+1)*10</f>
        <v>50</v>
      </c>
      <c r="E182" s="274">
        <f t="shared" si="9"/>
        <v>50</v>
      </c>
      <c r="F182" s="281" t="s">
        <v>3078</v>
      </c>
    </row>
    <row r="183" ht="15.0" customHeight="1">
      <c r="A183" s="82" t="s">
        <v>8639</v>
      </c>
      <c r="B183" s="82" t="s">
        <v>94</v>
      </c>
      <c r="C183" s="82" t="s">
        <v>12650</v>
      </c>
      <c r="D183" s="83">
        <v>50.0</v>
      </c>
      <c r="E183" s="274">
        <v>50.0</v>
      </c>
      <c r="F183" s="281" t="s">
        <v>3078</v>
      </c>
    </row>
    <row r="184" ht="15.0" customHeight="1">
      <c r="A184" s="82" t="s">
        <v>9258</v>
      </c>
      <c r="B184" s="82" t="s">
        <v>94</v>
      </c>
      <c r="C184" s="82" t="s">
        <v>12651</v>
      </c>
      <c r="D184" s="83">
        <v>30.0</v>
      </c>
      <c r="E184" s="274">
        <v>30.0</v>
      </c>
      <c r="F184" s="281" t="s">
        <v>3198</v>
      </c>
    </row>
    <row r="185" ht="15.0" customHeight="1">
      <c r="A185" s="82" t="s">
        <v>9258</v>
      </c>
      <c r="B185" s="82" t="s">
        <v>94</v>
      </c>
      <c r="C185" s="82" t="s">
        <v>12652</v>
      </c>
      <c r="D185" s="83">
        <v>10.0</v>
      </c>
      <c r="E185" s="274">
        <v>10.0</v>
      </c>
      <c r="F185" s="281" t="s">
        <v>3198</v>
      </c>
    </row>
    <row r="186" ht="15.0" customHeight="1">
      <c r="A186" s="82" t="s">
        <v>9258</v>
      </c>
      <c r="B186" s="82" t="s">
        <v>94</v>
      </c>
      <c r="C186" s="82" t="s">
        <v>12653</v>
      </c>
      <c r="D186" s="83">
        <v>10.0</v>
      </c>
      <c r="E186" s="274">
        <v>10.0</v>
      </c>
      <c r="F186" s="281" t="s">
        <v>3198</v>
      </c>
    </row>
    <row r="187" ht="15.0" customHeight="1">
      <c r="A187" s="82" t="s">
        <v>9258</v>
      </c>
      <c r="B187" s="82" t="s">
        <v>94</v>
      </c>
      <c r="C187" s="82" t="s">
        <v>12654</v>
      </c>
      <c r="D187" s="83">
        <v>10.0</v>
      </c>
      <c r="E187" s="274">
        <v>10.0</v>
      </c>
      <c r="F187" s="281" t="s">
        <v>3198</v>
      </c>
    </row>
    <row r="188" ht="15.0" customHeight="1">
      <c r="A188" s="82" t="s">
        <v>9258</v>
      </c>
      <c r="B188" s="82" t="s">
        <v>94</v>
      </c>
      <c r="C188" s="82" t="s">
        <v>12655</v>
      </c>
      <c r="D188" s="83">
        <v>10.0</v>
      </c>
      <c r="E188" s="274">
        <v>10.0</v>
      </c>
      <c r="F188" s="281" t="s">
        <v>3198</v>
      </c>
    </row>
    <row r="189" ht="15.0" customHeight="1">
      <c r="A189" s="82" t="s">
        <v>9659</v>
      </c>
      <c r="B189" s="82" t="s">
        <v>94</v>
      </c>
      <c r="C189" s="82" t="s">
        <v>12656</v>
      </c>
      <c r="D189" s="83">
        <f>8*4</f>
        <v>32</v>
      </c>
      <c r="E189" s="274">
        <v>32.0</v>
      </c>
      <c r="F189" s="281" t="s">
        <v>8962</v>
      </c>
    </row>
    <row r="190" ht="15.0" customHeight="1">
      <c r="A190" s="82" t="s">
        <v>9659</v>
      </c>
      <c r="B190" s="82" t="s">
        <v>94</v>
      </c>
      <c r="C190" s="82" t="s">
        <v>12657</v>
      </c>
      <c r="D190" s="83" t="s">
        <v>12658</v>
      </c>
      <c r="E190" s="274">
        <v>16.0</v>
      </c>
      <c r="F190" s="281" t="s">
        <v>8962</v>
      </c>
    </row>
    <row r="191" ht="15.0" customHeight="1">
      <c r="A191" s="82" t="s">
        <v>9659</v>
      </c>
      <c r="B191" s="82" t="s">
        <v>94</v>
      </c>
      <c r="C191" s="82" t="s">
        <v>12659</v>
      </c>
      <c r="D191" s="83" t="s">
        <v>12658</v>
      </c>
      <c r="E191" s="274">
        <v>16.0</v>
      </c>
      <c r="F191" s="281" t="s">
        <v>8962</v>
      </c>
    </row>
    <row r="192" ht="15.0" customHeight="1">
      <c r="A192" s="82" t="s">
        <v>8671</v>
      </c>
      <c r="B192" s="82" t="s">
        <v>94</v>
      </c>
      <c r="C192" s="82" t="s">
        <v>12660</v>
      </c>
      <c r="D192" s="83">
        <v>100.0</v>
      </c>
      <c r="E192" s="274">
        <v>100.0</v>
      </c>
      <c r="F192" s="281" t="s">
        <v>689</v>
      </c>
    </row>
    <row r="193" ht="15.0" customHeight="1">
      <c r="A193" s="82" t="s">
        <v>8671</v>
      </c>
      <c r="B193" s="82" t="s">
        <v>94</v>
      </c>
      <c r="C193" s="82" t="s">
        <v>12661</v>
      </c>
      <c r="D193" s="83">
        <v>10.0</v>
      </c>
      <c r="E193" s="274">
        <v>10.0</v>
      </c>
      <c r="F193" s="281" t="s">
        <v>689</v>
      </c>
    </row>
    <row r="194" ht="15.0" customHeight="1">
      <c r="A194" s="82" t="s">
        <v>8671</v>
      </c>
      <c r="B194" s="82" t="s">
        <v>94</v>
      </c>
      <c r="C194" s="82" t="s">
        <v>12662</v>
      </c>
      <c r="D194" s="83">
        <v>10.0</v>
      </c>
      <c r="E194" s="274">
        <v>10.0</v>
      </c>
      <c r="F194" s="281" t="s">
        <v>689</v>
      </c>
    </row>
    <row r="195" ht="15.0" customHeight="1">
      <c r="A195" s="82" t="s">
        <v>8671</v>
      </c>
      <c r="B195" s="82" t="s">
        <v>94</v>
      </c>
      <c r="C195" s="82" t="s">
        <v>12663</v>
      </c>
      <c r="D195" s="83">
        <v>10.0</v>
      </c>
      <c r="E195" s="274">
        <v>10.0</v>
      </c>
      <c r="F195" s="281" t="s">
        <v>689</v>
      </c>
    </row>
    <row r="196" ht="15.0" customHeight="1">
      <c r="A196" s="82" t="s">
        <v>8671</v>
      </c>
      <c r="B196" s="82" t="s">
        <v>94</v>
      </c>
      <c r="C196" s="82" t="s">
        <v>12664</v>
      </c>
      <c r="D196" s="83">
        <v>10.0</v>
      </c>
      <c r="E196" s="274">
        <v>10.0</v>
      </c>
      <c r="F196" s="281" t="s">
        <v>689</v>
      </c>
    </row>
    <row r="197" ht="15.0" customHeight="1">
      <c r="A197" s="82" t="s">
        <v>8671</v>
      </c>
      <c r="B197" s="82" t="s">
        <v>94</v>
      </c>
      <c r="C197" s="82" t="s">
        <v>12665</v>
      </c>
      <c r="D197" s="83">
        <v>10.0</v>
      </c>
      <c r="E197" s="274">
        <v>10.0</v>
      </c>
      <c r="F197" s="281" t="s">
        <v>689</v>
      </c>
    </row>
    <row r="198" ht="15.0" customHeight="1">
      <c r="A198" s="352" t="s">
        <v>8671</v>
      </c>
      <c r="B198" s="352" t="s">
        <v>94</v>
      </c>
      <c r="C198" s="82" t="s">
        <v>12666</v>
      </c>
      <c r="D198" s="489">
        <v>50.0</v>
      </c>
      <c r="E198" s="504">
        <v>50.0</v>
      </c>
      <c r="F198" s="281" t="s">
        <v>689</v>
      </c>
    </row>
    <row r="199" ht="15.0" customHeight="1">
      <c r="A199" s="352" t="s">
        <v>8671</v>
      </c>
      <c r="B199" s="352" t="s">
        <v>94</v>
      </c>
      <c r="C199" s="352" t="s">
        <v>12667</v>
      </c>
      <c r="D199" s="489">
        <v>50.0</v>
      </c>
      <c r="E199" s="504">
        <v>50.0</v>
      </c>
      <c r="F199" s="281" t="s">
        <v>689</v>
      </c>
    </row>
    <row r="200" ht="15.0" customHeight="1">
      <c r="A200" s="352" t="s">
        <v>8671</v>
      </c>
      <c r="B200" s="352" t="s">
        <v>94</v>
      </c>
      <c r="C200" s="352" t="s">
        <v>12668</v>
      </c>
      <c r="D200" s="489">
        <v>10.0</v>
      </c>
      <c r="E200" s="504">
        <v>10.0</v>
      </c>
      <c r="F200" s="281" t="s">
        <v>689</v>
      </c>
    </row>
    <row r="201" ht="15.0" customHeight="1">
      <c r="A201" s="82" t="s">
        <v>8671</v>
      </c>
      <c r="B201" s="82" t="s">
        <v>94</v>
      </c>
      <c r="C201" s="82" t="s">
        <v>12669</v>
      </c>
      <c r="D201" s="83">
        <v>10.0</v>
      </c>
      <c r="E201" s="274">
        <v>10.0</v>
      </c>
      <c r="F201" s="281" t="s">
        <v>689</v>
      </c>
    </row>
    <row r="202" ht="15.0" customHeight="1">
      <c r="A202" s="82" t="s">
        <v>8671</v>
      </c>
      <c r="B202" s="82" t="s">
        <v>94</v>
      </c>
      <c r="C202" s="352" t="s">
        <v>12670</v>
      </c>
      <c r="D202" s="489">
        <v>50.0</v>
      </c>
      <c r="E202" s="504">
        <v>50.0</v>
      </c>
      <c r="F202" s="281" t="s">
        <v>689</v>
      </c>
    </row>
    <row r="203" ht="15.0" customHeight="1">
      <c r="A203" s="352" t="s">
        <v>8671</v>
      </c>
      <c r="B203" s="352" t="s">
        <v>94</v>
      </c>
      <c r="C203" s="352" t="s">
        <v>12671</v>
      </c>
      <c r="D203" s="489">
        <v>50.0</v>
      </c>
      <c r="E203" s="504">
        <v>50.0</v>
      </c>
      <c r="F203" s="281" t="s">
        <v>689</v>
      </c>
    </row>
    <row r="204" ht="15.0" customHeight="1">
      <c r="A204" s="82" t="s">
        <v>8671</v>
      </c>
      <c r="B204" s="82" t="s">
        <v>94</v>
      </c>
      <c r="C204" s="82" t="s">
        <v>12672</v>
      </c>
      <c r="D204" s="83">
        <v>50.0</v>
      </c>
      <c r="E204" s="274">
        <v>50.0</v>
      </c>
      <c r="F204" s="281" t="s">
        <v>689</v>
      </c>
    </row>
    <row r="205" ht="15.0" customHeight="1">
      <c r="A205" s="82" t="s">
        <v>852</v>
      </c>
      <c r="B205" s="82" t="s">
        <v>94</v>
      </c>
      <c r="C205" s="82" t="s">
        <v>12673</v>
      </c>
      <c r="D205" s="83">
        <v>50.0</v>
      </c>
      <c r="E205" s="274">
        <v>50.0</v>
      </c>
      <c r="F205" s="281" t="s">
        <v>852</v>
      </c>
    </row>
    <row r="206" ht="15.0" customHeight="1">
      <c r="A206" s="82" t="s">
        <v>861</v>
      </c>
      <c r="B206" s="82" t="s">
        <v>94</v>
      </c>
      <c r="C206" s="82" t="s">
        <v>12674</v>
      </c>
      <c r="D206" s="83">
        <v>20.0</v>
      </c>
      <c r="E206" s="274">
        <v>20.0</v>
      </c>
      <c r="F206" s="281" t="s">
        <v>861</v>
      </c>
    </row>
    <row r="207" ht="15.0" customHeight="1">
      <c r="A207" s="82" t="s">
        <v>861</v>
      </c>
      <c r="B207" s="82" t="s">
        <v>94</v>
      </c>
      <c r="C207" s="82" t="s">
        <v>12675</v>
      </c>
      <c r="D207" s="83">
        <v>10.0</v>
      </c>
      <c r="E207" s="274">
        <v>5.0</v>
      </c>
      <c r="F207" s="281" t="s">
        <v>861</v>
      </c>
    </row>
    <row r="208" ht="15.0" customHeight="1">
      <c r="A208" s="82" t="s">
        <v>861</v>
      </c>
      <c r="B208" s="82" t="s">
        <v>94</v>
      </c>
      <c r="C208" s="82" t="s">
        <v>12676</v>
      </c>
      <c r="D208" s="83">
        <v>10.0</v>
      </c>
      <c r="E208" s="274">
        <v>10.0</v>
      </c>
      <c r="F208" s="281" t="s">
        <v>861</v>
      </c>
    </row>
    <row r="209" ht="15.0" customHeight="1">
      <c r="A209" s="82" t="s">
        <v>861</v>
      </c>
      <c r="B209" s="82" t="s">
        <v>94</v>
      </c>
      <c r="C209" s="82" t="s">
        <v>12677</v>
      </c>
      <c r="D209" s="83">
        <v>10.0</v>
      </c>
      <c r="E209" s="274">
        <v>10.0</v>
      </c>
      <c r="F209" s="281" t="s">
        <v>861</v>
      </c>
    </row>
    <row r="210" ht="15.0" customHeight="1">
      <c r="A210" s="352" t="s">
        <v>861</v>
      </c>
      <c r="B210" s="352" t="s">
        <v>94</v>
      </c>
      <c r="C210" s="352" t="s">
        <v>12678</v>
      </c>
      <c r="D210" s="489">
        <v>10.0</v>
      </c>
      <c r="E210" s="504">
        <v>5.0</v>
      </c>
      <c r="F210" s="281" t="s">
        <v>861</v>
      </c>
    </row>
    <row r="211" ht="15.0" customHeight="1">
      <c r="A211" s="352" t="s">
        <v>861</v>
      </c>
      <c r="B211" s="352" t="s">
        <v>94</v>
      </c>
      <c r="C211" s="82" t="s">
        <v>12679</v>
      </c>
      <c r="D211" s="83">
        <v>10.0</v>
      </c>
      <c r="E211" s="274">
        <v>10.0</v>
      </c>
      <c r="F211" s="281" t="s">
        <v>861</v>
      </c>
    </row>
    <row r="212" ht="15.0" customHeight="1">
      <c r="A212" s="352" t="s">
        <v>861</v>
      </c>
      <c r="B212" s="352" t="s">
        <v>94</v>
      </c>
      <c r="C212" s="82" t="s">
        <v>12680</v>
      </c>
      <c r="D212" s="83">
        <v>10.0</v>
      </c>
      <c r="E212" s="274">
        <v>10.0</v>
      </c>
      <c r="F212" s="281" t="s">
        <v>861</v>
      </c>
    </row>
    <row r="213" ht="15.0" customHeight="1">
      <c r="A213" s="352" t="s">
        <v>861</v>
      </c>
      <c r="B213" s="352" t="s">
        <v>94</v>
      </c>
      <c r="C213" s="82" t="s">
        <v>12681</v>
      </c>
      <c r="D213" s="83">
        <v>10.0</v>
      </c>
      <c r="E213" s="274">
        <v>10.0</v>
      </c>
      <c r="F213" s="281" t="s">
        <v>861</v>
      </c>
    </row>
    <row r="214" ht="15.0" customHeight="1">
      <c r="A214" s="82" t="s">
        <v>8069</v>
      </c>
      <c r="B214" s="563" t="s">
        <v>94</v>
      </c>
      <c r="C214" s="352" t="s">
        <v>12682</v>
      </c>
      <c r="D214" s="489" t="s">
        <v>12683</v>
      </c>
      <c r="E214" s="504">
        <v>20.0</v>
      </c>
      <c r="F214" s="281" t="s">
        <v>907</v>
      </c>
    </row>
    <row r="215" ht="15.0" customHeight="1">
      <c r="A215" s="82" t="s">
        <v>8069</v>
      </c>
      <c r="B215" s="563" t="s">
        <v>94</v>
      </c>
      <c r="C215" s="352" t="s">
        <v>12682</v>
      </c>
      <c r="D215" s="489" t="s">
        <v>12684</v>
      </c>
      <c r="E215" s="504">
        <v>20.0</v>
      </c>
      <c r="F215" s="281" t="s">
        <v>907</v>
      </c>
    </row>
    <row r="216" ht="15.0" customHeight="1">
      <c r="A216" s="82" t="s">
        <v>8090</v>
      </c>
      <c r="B216" s="82" t="s">
        <v>94</v>
      </c>
      <c r="C216" s="82" t="s">
        <v>12685</v>
      </c>
      <c r="D216" s="83">
        <v>30.0</v>
      </c>
      <c r="E216" s="274">
        <v>30.0</v>
      </c>
      <c r="F216" s="281" t="s">
        <v>8094</v>
      </c>
    </row>
    <row r="217" ht="15.0" customHeight="1">
      <c r="A217" s="82" t="s">
        <v>8090</v>
      </c>
      <c r="B217" s="82" t="s">
        <v>94</v>
      </c>
      <c r="C217" s="82" t="s">
        <v>12686</v>
      </c>
      <c r="D217" s="83">
        <v>10.0</v>
      </c>
      <c r="E217" s="274">
        <v>10.0</v>
      </c>
      <c r="F217" s="281" t="s">
        <v>8094</v>
      </c>
    </row>
    <row r="218" ht="15.0" customHeight="1">
      <c r="A218" s="82" t="s">
        <v>954</v>
      </c>
      <c r="B218" s="82" t="s">
        <v>182</v>
      </c>
      <c r="C218" s="82" t="s">
        <v>12687</v>
      </c>
      <c r="D218" s="83">
        <v>20.0</v>
      </c>
      <c r="E218" s="274">
        <v>20.0</v>
      </c>
      <c r="F218" s="281" t="s">
        <v>954</v>
      </c>
    </row>
    <row r="219" ht="15.0" customHeight="1">
      <c r="A219" s="148" t="s">
        <v>9139</v>
      </c>
      <c r="B219" s="148" t="s">
        <v>182</v>
      </c>
      <c r="C219" s="82" t="s">
        <v>12627</v>
      </c>
      <c r="D219" s="191">
        <v>50.0</v>
      </c>
      <c r="E219" s="461">
        <v>50.0</v>
      </c>
      <c r="F219" s="281" t="s">
        <v>5513</v>
      </c>
    </row>
    <row r="220" ht="15.0" customHeight="1">
      <c r="A220" s="148" t="s">
        <v>9139</v>
      </c>
      <c r="B220" s="148" t="s">
        <v>182</v>
      </c>
      <c r="C220" s="148" t="s">
        <v>12688</v>
      </c>
      <c r="D220" s="191">
        <v>10.0</v>
      </c>
      <c r="E220" s="461">
        <v>50.0</v>
      </c>
      <c r="F220" s="281" t="s">
        <v>5513</v>
      </c>
    </row>
    <row r="221" ht="15.0" customHeight="1">
      <c r="A221" s="148" t="s">
        <v>9139</v>
      </c>
      <c r="B221" s="148" t="s">
        <v>182</v>
      </c>
      <c r="C221" s="82" t="s">
        <v>12689</v>
      </c>
      <c r="D221" s="191">
        <v>30.0</v>
      </c>
      <c r="E221" s="461">
        <v>30.0</v>
      </c>
      <c r="F221" s="281" t="s">
        <v>5513</v>
      </c>
    </row>
    <row r="222" ht="15.0" customHeight="1">
      <c r="A222" s="148" t="s">
        <v>9139</v>
      </c>
      <c r="B222" s="148" t="s">
        <v>182</v>
      </c>
      <c r="C222" s="82" t="s">
        <v>12626</v>
      </c>
      <c r="D222" s="191">
        <v>8.0</v>
      </c>
      <c r="E222" s="461">
        <v>16.0</v>
      </c>
      <c r="F222" s="281" t="s">
        <v>5513</v>
      </c>
    </row>
    <row r="223" ht="15.0" customHeight="1">
      <c r="A223" s="148" t="s">
        <v>9139</v>
      </c>
      <c r="B223" s="148" t="s">
        <v>182</v>
      </c>
      <c r="C223" s="82" t="s">
        <v>12628</v>
      </c>
      <c r="D223" s="83">
        <v>50.0</v>
      </c>
      <c r="E223" s="274">
        <v>50.0</v>
      </c>
      <c r="F223" s="281" t="s">
        <v>5513</v>
      </c>
    </row>
    <row r="224" ht="15.0" customHeight="1">
      <c r="A224" s="82" t="s">
        <v>9693</v>
      </c>
      <c r="B224" s="82" t="s">
        <v>94</v>
      </c>
      <c r="C224" s="352" t="s">
        <v>12690</v>
      </c>
      <c r="D224" s="489">
        <v>30.0</v>
      </c>
      <c r="E224" s="504">
        <f>D224</f>
        <v>30</v>
      </c>
      <c r="F224" s="281" t="s">
        <v>9280</v>
      </c>
    </row>
    <row r="225" ht="15.0" customHeight="1">
      <c r="A225" s="82" t="s">
        <v>9693</v>
      </c>
      <c r="B225" s="82" t="s">
        <v>94</v>
      </c>
      <c r="C225" s="82" t="s">
        <v>12691</v>
      </c>
      <c r="D225" s="83">
        <v>10.0</v>
      </c>
      <c r="E225" s="274">
        <v>60.0</v>
      </c>
      <c r="F225" s="281" t="s">
        <v>9280</v>
      </c>
    </row>
    <row r="226" ht="15.0" customHeight="1">
      <c r="A226" s="82" t="s">
        <v>9693</v>
      </c>
      <c r="B226" s="82" t="s">
        <v>94</v>
      </c>
      <c r="C226" s="82" t="s">
        <v>12692</v>
      </c>
      <c r="D226" s="83">
        <v>8.0</v>
      </c>
      <c r="E226" s="274">
        <v>8.0</v>
      </c>
      <c r="F226" s="281" t="s">
        <v>9280</v>
      </c>
    </row>
    <row r="227" ht="15.0" customHeight="1">
      <c r="A227" s="82" t="s">
        <v>9693</v>
      </c>
      <c r="B227" s="82" t="s">
        <v>94</v>
      </c>
      <c r="C227" s="82" t="s">
        <v>12693</v>
      </c>
      <c r="D227" s="83">
        <v>8.0</v>
      </c>
      <c r="E227" s="274">
        <v>8.0</v>
      </c>
      <c r="F227" s="281" t="s">
        <v>9280</v>
      </c>
    </row>
    <row r="228" ht="15.0" customHeight="1">
      <c r="A228" s="82" t="s">
        <v>9693</v>
      </c>
      <c r="B228" s="82" t="s">
        <v>94</v>
      </c>
      <c r="C228" s="82" t="s">
        <v>12694</v>
      </c>
      <c r="D228" s="83">
        <v>8.0</v>
      </c>
      <c r="E228" s="274">
        <v>8.0</v>
      </c>
      <c r="F228" s="281" t="s">
        <v>9280</v>
      </c>
    </row>
    <row r="229" ht="15.0" customHeight="1">
      <c r="A229" s="82" t="s">
        <v>9693</v>
      </c>
      <c r="B229" s="82" t="s">
        <v>94</v>
      </c>
      <c r="C229" s="82" t="s">
        <v>12695</v>
      </c>
      <c r="D229" s="83">
        <v>8.0</v>
      </c>
      <c r="E229" s="274">
        <v>8.0</v>
      </c>
      <c r="F229" s="281" t="s">
        <v>9280</v>
      </c>
    </row>
    <row r="230" ht="15.0" customHeight="1">
      <c r="A230" s="82" t="s">
        <v>9693</v>
      </c>
      <c r="B230" s="82" t="s">
        <v>94</v>
      </c>
      <c r="C230" s="82" t="s">
        <v>12696</v>
      </c>
      <c r="D230" s="83">
        <v>60.0</v>
      </c>
      <c r="E230" s="274">
        <v>60.0</v>
      </c>
      <c r="F230" s="281" t="s">
        <v>9280</v>
      </c>
    </row>
    <row r="231" ht="15.0" customHeight="1">
      <c r="A231" s="148" t="s">
        <v>12697</v>
      </c>
      <c r="B231" s="148" t="s">
        <v>94</v>
      </c>
      <c r="C231" s="148" t="s">
        <v>12698</v>
      </c>
      <c r="D231" s="191" t="s">
        <v>12699</v>
      </c>
      <c r="E231" s="461">
        <v>60.0</v>
      </c>
      <c r="F231" s="281" t="s">
        <v>4024</v>
      </c>
    </row>
    <row r="232" ht="15.0" customHeight="1">
      <c r="A232" s="148" t="s">
        <v>4024</v>
      </c>
      <c r="B232" s="148" t="s">
        <v>94</v>
      </c>
      <c r="C232" s="148" t="s">
        <v>12700</v>
      </c>
      <c r="D232" s="191" t="s">
        <v>12701</v>
      </c>
      <c r="E232" s="461">
        <v>20.0</v>
      </c>
      <c r="F232" s="281" t="s">
        <v>4024</v>
      </c>
    </row>
    <row r="233" ht="15.0" customHeight="1">
      <c r="A233" s="148" t="s">
        <v>4024</v>
      </c>
      <c r="B233" s="148" t="s">
        <v>94</v>
      </c>
      <c r="C233" s="148" t="s">
        <v>12702</v>
      </c>
      <c r="D233" s="191">
        <v>30.0</v>
      </c>
      <c r="E233" s="461">
        <v>30.0</v>
      </c>
      <c r="F233" s="281" t="s">
        <v>4024</v>
      </c>
    </row>
    <row r="234" ht="15.0" customHeight="1">
      <c r="A234" s="148" t="s">
        <v>4024</v>
      </c>
      <c r="B234" s="148" t="s">
        <v>94</v>
      </c>
      <c r="C234" s="148" t="s">
        <v>12703</v>
      </c>
      <c r="D234" s="191" t="s">
        <v>8886</v>
      </c>
      <c r="E234" s="461">
        <v>100.0</v>
      </c>
      <c r="F234" s="281" t="s">
        <v>4024</v>
      </c>
    </row>
    <row r="235" ht="15.0" customHeight="1">
      <c r="A235" s="148" t="s">
        <v>12704</v>
      </c>
      <c r="B235" s="148" t="s">
        <v>94</v>
      </c>
      <c r="C235" s="148" t="s">
        <v>12705</v>
      </c>
      <c r="D235" s="191">
        <v>5.0</v>
      </c>
      <c r="E235" s="461">
        <v>5.0</v>
      </c>
      <c r="F235" s="281" t="s">
        <v>4024</v>
      </c>
    </row>
    <row r="236" ht="15.0" customHeight="1">
      <c r="A236" s="148" t="s">
        <v>4024</v>
      </c>
      <c r="B236" s="148" t="s">
        <v>94</v>
      </c>
      <c r="C236" s="148" t="s">
        <v>12706</v>
      </c>
      <c r="D236" s="191">
        <v>10.0</v>
      </c>
      <c r="E236" s="461">
        <v>10.0</v>
      </c>
      <c r="F236" s="281" t="s">
        <v>4024</v>
      </c>
    </row>
    <row r="237" ht="15.0" customHeight="1">
      <c r="A237" s="82" t="s">
        <v>9283</v>
      </c>
      <c r="B237" s="82" t="s">
        <v>94</v>
      </c>
      <c r="C237" s="82" t="s">
        <v>12707</v>
      </c>
      <c r="D237" s="83">
        <v>10.0</v>
      </c>
      <c r="E237" s="274">
        <f t="shared" ref="E237:E240" si="10">D237</f>
        <v>10</v>
      </c>
      <c r="F237" s="281" t="s">
        <v>4078</v>
      </c>
    </row>
    <row r="238" ht="15.0" customHeight="1">
      <c r="A238" s="82" t="s">
        <v>9283</v>
      </c>
      <c r="B238" s="82" t="s">
        <v>94</v>
      </c>
      <c r="C238" s="82" t="s">
        <v>12708</v>
      </c>
      <c r="D238" s="83">
        <v>10.0</v>
      </c>
      <c r="E238" s="274">
        <f t="shared" si="10"/>
        <v>10</v>
      </c>
      <c r="F238" s="281" t="s">
        <v>4078</v>
      </c>
    </row>
    <row r="239" ht="15.0" customHeight="1">
      <c r="A239" s="82" t="s">
        <v>9283</v>
      </c>
      <c r="B239" s="82" t="s">
        <v>94</v>
      </c>
      <c r="C239" s="82" t="s">
        <v>12709</v>
      </c>
      <c r="D239" s="83">
        <v>10.0</v>
      </c>
      <c r="E239" s="274">
        <f t="shared" si="10"/>
        <v>10</v>
      </c>
      <c r="F239" s="281" t="s">
        <v>4078</v>
      </c>
    </row>
    <row r="240" ht="15.0" customHeight="1">
      <c r="A240" s="82" t="s">
        <v>9283</v>
      </c>
      <c r="B240" s="82" t="s">
        <v>94</v>
      </c>
      <c r="C240" s="82" t="s">
        <v>12710</v>
      </c>
      <c r="D240" s="83">
        <v>10.0</v>
      </c>
      <c r="E240" s="274">
        <f t="shared" si="10"/>
        <v>10</v>
      </c>
      <c r="F240" s="281" t="s">
        <v>4078</v>
      </c>
    </row>
    <row r="241" ht="15.0" customHeight="1">
      <c r="A241" s="82" t="s">
        <v>8161</v>
      </c>
      <c r="B241" s="82" t="s">
        <v>182</v>
      </c>
      <c r="C241" s="82" t="s">
        <v>12711</v>
      </c>
      <c r="D241" s="83">
        <v>10.0</v>
      </c>
      <c r="E241" s="274">
        <v>10.0</v>
      </c>
      <c r="F241" s="281" t="s">
        <v>5570</v>
      </c>
    </row>
    <row r="242" ht="15.0" customHeight="1">
      <c r="A242" s="82" t="s">
        <v>8161</v>
      </c>
      <c r="B242" s="82" t="s">
        <v>1783</v>
      </c>
      <c r="C242" s="82" t="s">
        <v>12712</v>
      </c>
      <c r="D242" s="83">
        <v>10.0</v>
      </c>
      <c r="E242" s="274">
        <v>10.0</v>
      </c>
      <c r="F242" s="281" t="s">
        <v>5570</v>
      </c>
    </row>
    <row r="243" ht="15.0" customHeight="1">
      <c r="A243" s="82" t="s">
        <v>8161</v>
      </c>
      <c r="B243" s="82" t="s">
        <v>7959</v>
      </c>
      <c r="C243" s="82" t="s">
        <v>12713</v>
      </c>
      <c r="D243" s="83">
        <v>10.0</v>
      </c>
      <c r="E243" s="274">
        <v>10.0</v>
      </c>
      <c r="F243" s="281" t="s">
        <v>5570</v>
      </c>
    </row>
    <row r="244" ht="15.0" customHeight="1">
      <c r="A244" s="82" t="s">
        <v>8161</v>
      </c>
      <c r="B244" s="82" t="s">
        <v>7960</v>
      </c>
      <c r="C244" s="82" t="s">
        <v>12714</v>
      </c>
      <c r="D244" s="83">
        <v>30.0</v>
      </c>
      <c r="E244" s="274">
        <v>30.0</v>
      </c>
      <c r="F244" s="281" t="s">
        <v>5570</v>
      </c>
    </row>
    <row r="245" ht="15.0" customHeight="1">
      <c r="A245" s="82" t="s">
        <v>9284</v>
      </c>
      <c r="B245" s="82" t="s">
        <v>957</v>
      </c>
      <c r="C245" s="82" t="s">
        <v>12715</v>
      </c>
      <c r="D245" s="83">
        <v>10.0</v>
      </c>
      <c r="E245" s="274">
        <v>10.0</v>
      </c>
      <c r="F245" s="281" t="s">
        <v>964</v>
      </c>
    </row>
    <row r="246" ht="15.0" customHeight="1">
      <c r="A246" s="82" t="s">
        <v>9284</v>
      </c>
      <c r="B246" s="82" t="s">
        <v>957</v>
      </c>
      <c r="C246" s="82" t="s">
        <v>12716</v>
      </c>
      <c r="D246" s="83">
        <v>10.0</v>
      </c>
      <c r="E246" s="274">
        <v>10.0</v>
      </c>
      <c r="F246" s="281" t="s">
        <v>964</v>
      </c>
    </row>
    <row r="247" ht="15.0" customHeight="1">
      <c r="A247" s="82" t="s">
        <v>9284</v>
      </c>
      <c r="B247" s="82" t="s">
        <v>957</v>
      </c>
      <c r="C247" s="82" t="s">
        <v>12717</v>
      </c>
      <c r="D247" s="83">
        <v>10.0</v>
      </c>
      <c r="E247" s="274">
        <v>10.0</v>
      </c>
      <c r="F247" s="281" t="s">
        <v>964</v>
      </c>
    </row>
    <row r="248" ht="15.0" customHeight="1">
      <c r="A248" s="82" t="s">
        <v>9284</v>
      </c>
      <c r="B248" s="82" t="s">
        <v>957</v>
      </c>
      <c r="C248" s="82" t="s">
        <v>12718</v>
      </c>
      <c r="D248" s="83">
        <v>10.0</v>
      </c>
      <c r="E248" s="274">
        <v>10.0</v>
      </c>
      <c r="F248" s="281" t="s">
        <v>964</v>
      </c>
    </row>
    <row r="249" ht="15.0" customHeight="1">
      <c r="A249" s="82" t="s">
        <v>9284</v>
      </c>
      <c r="B249" s="82" t="s">
        <v>957</v>
      </c>
      <c r="C249" s="82" t="s">
        <v>12719</v>
      </c>
      <c r="D249" s="83">
        <v>10.0</v>
      </c>
      <c r="E249" s="274">
        <v>5.0</v>
      </c>
      <c r="F249" s="281" t="s">
        <v>964</v>
      </c>
    </row>
    <row r="250" ht="15.0" customHeight="1">
      <c r="A250" s="82" t="s">
        <v>9284</v>
      </c>
      <c r="B250" s="82" t="s">
        <v>957</v>
      </c>
      <c r="C250" s="82" t="s">
        <v>12720</v>
      </c>
      <c r="D250" s="83">
        <v>10.0</v>
      </c>
      <c r="E250" s="274">
        <v>5.0</v>
      </c>
      <c r="F250" s="281" t="s">
        <v>964</v>
      </c>
    </row>
    <row r="251" ht="15.0" customHeight="1">
      <c r="A251" s="82" t="s">
        <v>9284</v>
      </c>
      <c r="B251" s="82" t="s">
        <v>957</v>
      </c>
      <c r="C251" s="82" t="s">
        <v>12721</v>
      </c>
      <c r="D251" s="83">
        <v>10.0</v>
      </c>
      <c r="E251" s="274">
        <v>5.0</v>
      </c>
      <c r="F251" s="281" t="s">
        <v>964</v>
      </c>
    </row>
    <row r="252" ht="15.0" customHeight="1">
      <c r="A252" s="82" t="s">
        <v>9284</v>
      </c>
      <c r="B252" s="82" t="s">
        <v>957</v>
      </c>
      <c r="C252" s="82" t="s">
        <v>12722</v>
      </c>
      <c r="D252" s="83">
        <v>10.0</v>
      </c>
      <c r="E252" s="274">
        <v>5.0</v>
      </c>
      <c r="F252" s="281" t="s">
        <v>964</v>
      </c>
    </row>
    <row r="253" ht="15.0" customHeight="1">
      <c r="A253" s="82" t="s">
        <v>9284</v>
      </c>
      <c r="B253" s="82" t="s">
        <v>957</v>
      </c>
      <c r="C253" s="82" t="s">
        <v>12723</v>
      </c>
      <c r="D253" s="83">
        <v>10.0</v>
      </c>
      <c r="E253" s="274">
        <v>5.0</v>
      </c>
      <c r="F253" s="281" t="s">
        <v>964</v>
      </c>
    </row>
    <row r="254" ht="15.0" customHeight="1">
      <c r="A254" s="82" t="s">
        <v>9284</v>
      </c>
      <c r="B254" s="82" t="s">
        <v>957</v>
      </c>
      <c r="C254" s="82" t="s">
        <v>12724</v>
      </c>
      <c r="D254" s="83">
        <v>10.0</v>
      </c>
      <c r="E254" s="274">
        <v>5.0</v>
      </c>
      <c r="F254" s="281" t="s">
        <v>964</v>
      </c>
    </row>
    <row r="255" ht="15.0" customHeight="1">
      <c r="A255" s="82" t="s">
        <v>9284</v>
      </c>
      <c r="B255" s="82" t="s">
        <v>957</v>
      </c>
      <c r="C255" s="82" t="s">
        <v>12725</v>
      </c>
      <c r="D255" s="83">
        <v>10.0</v>
      </c>
      <c r="E255" s="274">
        <v>5.0</v>
      </c>
      <c r="F255" s="281" t="s">
        <v>964</v>
      </c>
    </row>
    <row r="256" ht="15.0" customHeight="1">
      <c r="A256" s="82" t="s">
        <v>9284</v>
      </c>
      <c r="B256" s="82" t="s">
        <v>957</v>
      </c>
      <c r="C256" s="82" t="s">
        <v>12726</v>
      </c>
      <c r="D256" s="83">
        <v>10.0</v>
      </c>
      <c r="E256" s="274">
        <v>5.0</v>
      </c>
      <c r="F256" s="281" t="s">
        <v>964</v>
      </c>
    </row>
    <row r="257" ht="15.0" customHeight="1">
      <c r="A257" s="82" t="s">
        <v>9284</v>
      </c>
      <c r="B257" s="82" t="s">
        <v>957</v>
      </c>
      <c r="C257" s="82" t="s">
        <v>12727</v>
      </c>
      <c r="D257" s="83">
        <v>10.0</v>
      </c>
      <c r="E257" s="274">
        <v>5.0</v>
      </c>
      <c r="F257" s="281" t="s">
        <v>964</v>
      </c>
    </row>
    <row r="258" ht="15.0" customHeight="1">
      <c r="A258" s="82" t="s">
        <v>9284</v>
      </c>
      <c r="B258" s="82" t="s">
        <v>957</v>
      </c>
      <c r="C258" s="82" t="s">
        <v>12728</v>
      </c>
      <c r="D258" s="83">
        <v>10.0</v>
      </c>
      <c r="E258" s="274">
        <v>5.0</v>
      </c>
      <c r="F258" s="281" t="s">
        <v>964</v>
      </c>
    </row>
    <row r="259" ht="15.0" customHeight="1">
      <c r="A259" s="82" t="s">
        <v>9284</v>
      </c>
      <c r="B259" s="82" t="s">
        <v>957</v>
      </c>
      <c r="C259" s="82" t="s">
        <v>12729</v>
      </c>
      <c r="D259" s="83">
        <v>10.0</v>
      </c>
      <c r="E259" s="274">
        <v>5.0</v>
      </c>
      <c r="F259" s="281" t="s">
        <v>964</v>
      </c>
    </row>
    <row r="260" ht="15.0" customHeight="1">
      <c r="A260" s="82" t="s">
        <v>9284</v>
      </c>
      <c r="B260" s="82" t="s">
        <v>957</v>
      </c>
      <c r="C260" s="82" t="s">
        <v>12730</v>
      </c>
      <c r="D260" s="83">
        <v>10.0</v>
      </c>
      <c r="E260" s="274">
        <v>5.0</v>
      </c>
      <c r="F260" s="281" t="s">
        <v>964</v>
      </c>
    </row>
    <row r="261" ht="15.0" customHeight="1">
      <c r="A261" s="82" t="s">
        <v>971</v>
      </c>
      <c r="B261" s="82" t="s">
        <v>182</v>
      </c>
      <c r="C261" s="82" t="s">
        <v>12731</v>
      </c>
      <c r="D261" s="83">
        <v>30.0</v>
      </c>
      <c r="E261" s="274">
        <v>30.0</v>
      </c>
      <c r="F261" s="281" t="s">
        <v>971</v>
      </c>
    </row>
    <row r="262" ht="15.0" customHeight="1">
      <c r="A262" s="564" t="s">
        <v>8241</v>
      </c>
      <c r="B262" s="563" t="s">
        <v>94</v>
      </c>
      <c r="C262" s="352" t="s">
        <v>12682</v>
      </c>
      <c r="D262" s="489" t="s">
        <v>12683</v>
      </c>
      <c r="E262" s="504">
        <v>20.0</v>
      </c>
      <c r="F262" s="281" t="s">
        <v>1047</v>
      </c>
    </row>
    <row r="263" ht="15.0" customHeight="1">
      <c r="A263" s="564" t="s">
        <v>8241</v>
      </c>
      <c r="B263" s="563" t="s">
        <v>94</v>
      </c>
      <c r="C263" s="82" t="s">
        <v>12732</v>
      </c>
      <c r="D263" s="83">
        <v>8.0</v>
      </c>
      <c r="E263" s="274">
        <v>8.0</v>
      </c>
      <c r="F263" s="281" t="s">
        <v>1047</v>
      </c>
    </row>
    <row r="264" ht="15.0" customHeight="1">
      <c r="A264" s="564" t="s">
        <v>8241</v>
      </c>
      <c r="B264" s="563" t="s">
        <v>94</v>
      </c>
      <c r="C264" s="82" t="s">
        <v>12733</v>
      </c>
      <c r="D264" s="83" t="s">
        <v>12734</v>
      </c>
      <c r="E264" s="274">
        <v>40.0</v>
      </c>
      <c r="F264" s="281" t="s">
        <v>1047</v>
      </c>
    </row>
    <row r="265" ht="15.0" customHeight="1">
      <c r="A265" s="82" t="s">
        <v>9289</v>
      </c>
      <c r="B265" s="82" t="s">
        <v>182</v>
      </c>
      <c r="C265" s="82" t="s">
        <v>12735</v>
      </c>
      <c r="D265" s="83">
        <v>10.0</v>
      </c>
      <c r="E265" s="274">
        <v>10.0</v>
      </c>
      <c r="F265" s="281" t="s">
        <v>5745</v>
      </c>
    </row>
    <row r="266" ht="15.0" customHeight="1">
      <c r="A266" s="82" t="s">
        <v>9289</v>
      </c>
      <c r="B266" s="82" t="s">
        <v>182</v>
      </c>
      <c r="C266" s="82" t="s">
        <v>12736</v>
      </c>
      <c r="D266" s="83">
        <v>10.0</v>
      </c>
      <c r="E266" s="274">
        <v>10.0</v>
      </c>
      <c r="F266" s="281" t="s">
        <v>5745</v>
      </c>
    </row>
    <row r="267" ht="15.0" customHeight="1">
      <c r="A267" s="82" t="s">
        <v>9289</v>
      </c>
      <c r="B267" s="82" t="s">
        <v>182</v>
      </c>
      <c r="C267" s="82" t="s">
        <v>12737</v>
      </c>
      <c r="D267" s="83">
        <v>10.0</v>
      </c>
      <c r="E267" s="274">
        <v>10.0</v>
      </c>
      <c r="F267" s="281" t="s">
        <v>5745</v>
      </c>
    </row>
    <row r="268" ht="15.0" customHeight="1">
      <c r="A268" s="82" t="s">
        <v>9289</v>
      </c>
      <c r="B268" s="82" t="s">
        <v>182</v>
      </c>
      <c r="C268" s="82" t="s">
        <v>12738</v>
      </c>
      <c r="D268" s="83">
        <v>10.0</v>
      </c>
      <c r="E268" s="274">
        <v>10.0</v>
      </c>
      <c r="F268" s="281" t="s">
        <v>5745</v>
      </c>
    </row>
    <row r="269" ht="15.0" customHeight="1">
      <c r="A269" s="82" t="s">
        <v>9289</v>
      </c>
      <c r="B269" s="82" t="s">
        <v>182</v>
      </c>
      <c r="C269" s="82" t="s">
        <v>12739</v>
      </c>
      <c r="D269" s="83">
        <v>16.0</v>
      </c>
      <c r="E269" s="274">
        <f>D269</f>
        <v>16</v>
      </c>
      <c r="F269" s="281" t="s">
        <v>5745</v>
      </c>
    </row>
    <row r="270" ht="15.0" customHeight="1">
      <c r="A270" s="82" t="s">
        <v>9034</v>
      </c>
      <c r="B270" s="82" t="s">
        <v>147</v>
      </c>
      <c r="C270" s="82" t="s">
        <v>12740</v>
      </c>
      <c r="D270" s="83">
        <v>40.0</v>
      </c>
      <c r="E270" s="274">
        <v>40.0</v>
      </c>
      <c r="F270" s="282" t="s">
        <v>153</v>
      </c>
    </row>
    <row r="271" ht="15.0" customHeight="1">
      <c r="A271" s="82" t="s">
        <v>9034</v>
      </c>
      <c r="B271" s="82" t="s">
        <v>147</v>
      </c>
      <c r="C271" s="82" t="s">
        <v>12741</v>
      </c>
      <c r="D271" s="83">
        <v>60.0</v>
      </c>
      <c r="E271" s="274">
        <v>60.0</v>
      </c>
      <c r="F271" s="282" t="s">
        <v>153</v>
      </c>
    </row>
    <row r="272" ht="15.0" customHeight="1">
      <c r="A272" s="82" t="s">
        <v>154</v>
      </c>
      <c r="B272" s="82" t="s">
        <v>147</v>
      </c>
      <c r="C272" s="82" t="s">
        <v>12742</v>
      </c>
      <c r="D272" s="83">
        <v>30.0</v>
      </c>
      <c r="E272" s="274">
        <v>30.0</v>
      </c>
      <c r="F272" s="282" t="s">
        <v>154</v>
      </c>
    </row>
    <row r="273" ht="15.0" customHeight="1">
      <c r="A273" s="82" t="s">
        <v>154</v>
      </c>
      <c r="B273" s="82" t="s">
        <v>147</v>
      </c>
      <c r="C273" s="82" t="s">
        <v>12743</v>
      </c>
      <c r="D273" s="83">
        <v>30.0</v>
      </c>
      <c r="E273" s="274">
        <v>30.0</v>
      </c>
      <c r="F273" s="282" t="s">
        <v>154</v>
      </c>
    </row>
    <row r="274" ht="15.0" customHeight="1">
      <c r="A274" s="82" t="s">
        <v>154</v>
      </c>
      <c r="B274" s="82" t="s">
        <v>147</v>
      </c>
      <c r="C274" s="82" t="s">
        <v>12744</v>
      </c>
      <c r="D274" s="83">
        <v>10.0</v>
      </c>
      <c r="E274" s="274">
        <v>10.0</v>
      </c>
      <c r="F274" s="282" t="s">
        <v>154</v>
      </c>
    </row>
    <row r="275" ht="15.0" customHeight="1">
      <c r="A275" s="82" t="s">
        <v>154</v>
      </c>
      <c r="B275" s="82" t="s">
        <v>147</v>
      </c>
      <c r="C275" s="82" t="s">
        <v>12745</v>
      </c>
      <c r="D275" s="83">
        <v>10.0</v>
      </c>
      <c r="E275" s="274">
        <v>10.0</v>
      </c>
      <c r="F275" s="282" t="s">
        <v>154</v>
      </c>
    </row>
    <row r="276" ht="15.0" customHeight="1">
      <c r="A276" s="82" t="s">
        <v>9292</v>
      </c>
      <c r="B276" s="82" t="s">
        <v>147</v>
      </c>
      <c r="C276" s="82" t="s">
        <v>12746</v>
      </c>
      <c r="D276" s="83">
        <v>30.0</v>
      </c>
      <c r="E276" s="274">
        <v>30.0</v>
      </c>
      <c r="F276" s="282" t="s">
        <v>149</v>
      </c>
    </row>
    <row r="277" ht="15.0" customHeight="1">
      <c r="A277" s="82" t="s">
        <v>9294</v>
      </c>
      <c r="B277" s="82" t="s">
        <v>147</v>
      </c>
      <c r="C277" s="82" t="s">
        <v>12747</v>
      </c>
      <c r="D277" s="83">
        <v>30.0</v>
      </c>
      <c r="E277" s="274">
        <v>30.0</v>
      </c>
      <c r="F277" s="282" t="s">
        <v>156</v>
      </c>
    </row>
    <row r="278" ht="15.0" customHeight="1">
      <c r="A278" s="82" t="s">
        <v>9294</v>
      </c>
      <c r="B278" s="82" t="s">
        <v>147</v>
      </c>
      <c r="C278" s="82" t="s">
        <v>12748</v>
      </c>
      <c r="D278" s="83">
        <v>30.0</v>
      </c>
      <c r="E278" s="274">
        <v>30.0</v>
      </c>
      <c r="F278" s="282" t="s">
        <v>156</v>
      </c>
    </row>
    <row r="279" ht="15.0" customHeight="1">
      <c r="A279" s="82" t="s">
        <v>9041</v>
      </c>
      <c r="B279" s="82" t="s">
        <v>147</v>
      </c>
      <c r="C279" s="82" t="s">
        <v>12747</v>
      </c>
      <c r="D279" s="83">
        <v>30.0</v>
      </c>
      <c r="E279" s="274">
        <v>30.0</v>
      </c>
      <c r="F279" s="282" t="s">
        <v>4845</v>
      </c>
    </row>
    <row r="280" ht="15.0" customHeight="1">
      <c r="A280" s="82" t="s">
        <v>12749</v>
      </c>
      <c r="B280" s="82" t="s">
        <v>147</v>
      </c>
      <c r="C280" s="82" t="s">
        <v>12750</v>
      </c>
      <c r="D280" s="83">
        <v>10.0</v>
      </c>
      <c r="E280" s="274">
        <v>10.0</v>
      </c>
      <c r="F280" s="282" t="s">
        <v>4845</v>
      </c>
    </row>
    <row r="281" ht="15.0" customHeight="1">
      <c r="A281" s="82" t="s">
        <v>8328</v>
      </c>
      <c r="B281" s="82" t="s">
        <v>147</v>
      </c>
      <c r="C281" s="82" t="s">
        <v>12747</v>
      </c>
      <c r="D281" s="83">
        <v>30.0</v>
      </c>
      <c r="E281" s="274">
        <v>30.0</v>
      </c>
      <c r="F281" s="282" t="s">
        <v>158</v>
      </c>
    </row>
    <row r="282" ht="15.0" customHeight="1">
      <c r="A282" s="82" t="s">
        <v>8328</v>
      </c>
      <c r="B282" s="82" t="s">
        <v>147</v>
      </c>
      <c r="C282" s="82" t="s">
        <v>12751</v>
      </c>
      <c r="D282" s="83">
        <v>30.0</v>
      </c>
      <c r="E282" s="274">
        <v>30.0</v>
      </c>
      <c r="F282" s="282" t="s">
        <v>158</v>
      </c>
    </row>
    <row r="283" ht="15.0" customHeight="1">
      <c r="A283" s="82" t="s">
        <v>1144</v>
      </c>
      <c r="B283" s="82" t="s">
        <v>147</v>
      </c>
      <c r="C283" s="82" t="s">
        <v>12752</v>
      </c>
      <c r="D283" s="83">
        <v>30.0</v>
      </c>
      <c r="E283" s="274">
        <v>30.0</v>
      </c>
      <c r="F283" s="282" t="s">
        <v>159</v>
      </c>
    </row>
    <row r="284" ht="15.0" customHeight="1">
      <c r="A284" s="82" t="s">
        <v>1144</v>
      </c>
      <c r="B284" s="82" t="s">
        <v>147</v>
      </c>
      <c r="C284" s="82" t="s">
        <v>12753</v>
      </c>
      <c r="D284" s="83">
        <v>30.0</v>
      </c>
      <c r="E284" s="274">
        <v>30.0</v>
      </c>
      <c r="F284" s="282" t="s">
        <v>159</v>
      </c>
    </row>
    <row r="285" ht="15.0" customHeight="1">
      <c r="A285" s="82" t="s">
        <v>8360</v>
      </c>
      <c r="B285" s="82" t="s">
        <v>147</v>
      </c>
      <c r="C285" s="82" t="s">
        <v>12754</v>
      </c>
      <c r="D285" s="83">
        <v>30.0</v>
      </c>
      <c r="E285" s="274">
        <v>30.0</v>
      </c>
      <c r="F285" s="282" t="s">
        <v>161</v>
      </c>
    </row>
    <row r="286" ht="15.0" customHeight="1">
      <c r="A286" s="82" t="s">
        <v>8360</v>
      </c>
      <c r="B286" s="82" t="s">
        <v>147</v>
      </c>
      <c r="C286" s="82" t="s">
        <v>12755</v>
      </c>
      <c r="D286" s="83">
        <v>30.0</v>
      </c>
      <c r="E286" s="274">
        <v>30.0</v>
      </c>
      <c r="F286" s="282" t="s">
        <v>161</v>
      </c>
    </row>
    <row r="287" ht="15.0" customHeight="1">
      <c r="A287" s="82" t="s">
        <v>8879</v>
      </c>
      <c r="B287" s="82" t="s">
        <v>147</v>
      </c>
      <c r="C287" s="82" t="s">
        <v>12756</v>
      </c>
      <c r="D287" s="83">
        <v>30.0</v>
      </c>
      <c r="E287" s="274">
        <v>30.0</v>
      </c>
      <c r="F287" s="282" t="s">
        <v>162</v>
      </c>
    </row>
    <row r="288" ht="15.0" customHeight="1">
      <c r="A288" s="82" t="s">
        <v>9298</v>
      </c>
      <c r="B288" s="82" t="s">
        <v>147</v>
      </c>
      <c r="C288" s="82" t="s">
        <v>12757</v>
      </c>
      <c r="D288" s="83">
        <v>30.0</v>
      </c>
      <c r="E288" s="274">
        <v>30.0</v>
      </c>
      <c r="F288" s="282" t="s">
        <v>164</v>
      </c>
    </row>
    <row r="289" ht="15.0" customHeight="1">
      <c r="A289" s="82" t="s">
        <v>9298</v>
      </c>
      <c r="B289" s="82" t="s">
        <v>147</v>
      </c>
      <c r="C289" s="82" t="s">
        <v>12758</v>
      </c>
      <c r="D289" s="83" t="s">
        <v>12701</v>
      </c>
      <c r="E289" s="274">
        <v>20.0</v>
      </c>
      <c r="F289" s="282" t="s">
        <v>164</v>
      </c>
    </row>
    <row r="290" ht="15.0" customHeight="1">
      <c r="A290" s="82" t="s">
        <v>9356</v>
      </c>
      <c r="B290" s="82" t="s">
        <v>147</v>
      </c>
      <c r="C290" s="82" t="s">
        <v>12759</v>
      </c>
      <c r="D290" s="83">
        <v>30.0</v>
      </c>
      <c r="E290" s="274">
        <v>30.0</v>
      </c>
      <c r="F290" s="282" t="s">
        <v>165</v>
      </c>
    </row>
    <row r="291" ht="15.0" customHeight="1">
      <c r="A291" s="82" t="s">
        <v>9300</v>
      </c>
      <c r="B291" s="82" t="s">
        <v>147</v>
      </c>
      <c r="C291" s="82" t="s">
        <v>12760</v>
      </c>
      <c r="D291" s="83">
        <v>20.0</v>
      </c>
      <c r="E291" s="274">
        <v>20.0</v>
      </c>
      <c r="F291" s="282" t="s">
        <v>5626</v>
      </c>
    </row>
    <row r="292" ht="15.0" customHeight="1">
      <c r="A292" s="82" t="s">
        <v>1211</v>
      </c>
      <c r="B292" s="82" t="s">
        <v>147</v>
      </c>
      <c r="C292" s="82" t="s">
        <v>12761</v>
      </c>
      <c r="D292" s="83">
        <v>30.0</v>
      </c>
      <c r="E292" s="274">
        <v>30.0</v>
      </c>
      <c r="F292" s="282" t="s">
        <v>168</v>
      </c>
    </row>
    <row r="293" ht="15.0" customHeight="1">
      <c r="A293" s="82" t="s">
        <v>1211</v>
      </c>
      <c r="B293" s="82" t="s">
        <v>147</v>
      </c>
      <c r="C293" s="82" t="s">
        <v>12762</v>
      </c>
      <c r="D293" s="83">
        <v>30.0</v>
      </c>
      <c r="E293" s="274">
        <v>30.0</v>
      </c>
      <c r="F293" s="282" t="s">
        <v>168</v>
      </c>
    </row>
    <row r="294" ht="15.0" customHeight="1">
      <c r="A294" s="82" t="s">
        <v>1211</v>
      </c>
      <c r="B294" s="82" t="s">
        <v>147</v>
      </c>
      <c r="C294" s="82" t="s">
        <v>12763</v>
      </c>
      <c r="D294" s="83">
        <v>50.0</v>
      </c>
      <c r="E294" s="274">
        <v>50.0</v>
      </c>
      <c r="F294" s="282" t="s">
        <v>168</v>
      </c>
    </row>
    <row r="295" ht="15.0" customHeight="1">
      <c r="A295" s="82" t="s">
        <v>1211</v>
      </c>
      <c r="B295" s="82" t="s">
        <v>147</v>
      </c>
      <c r="C295" s="82" t="s">
        <v>12764</v>
      </c>
      <c r="D295" s="83">
        <v>10.0</v>
      </c>
      <c r="E295" s="274">
        <v>10.0</v>
      </c>
      <c r="F295" s="282" t="s">
        <v>168</v>
      </c>
    </row>
    <row r="296" ht="15.0" customHeight="1">
      <c r="A296" s="82" t="s">
        <v>1211</v>
      </c>
      <c r="B296" s="82" t="s">
        <v>147</v>
      </c>
      <c r="C296" s="82" t="s">
        <v>12765</v>
      </c>
      <c r="D296" s="83">
        <v>10.0</v>
      </c>
      <c r="E296" s="274">
        <v>10.0</v>
      </c>
      <c r="F296" s="282" t="s">
        <v>168</v>
      </c>
    </row>
    <row r="297" ht="15.0" customHeight="1">
      <c r="A297" s="82" t="s">
        <v>1211</v>
      </c>
      <c r="B297" s="82" t="s">
        <v>147</v>
      </c>
      <c r="C297" s="82" t="s">
        <v>12766</v>
      </c>
      <c r="D297" s="83">
        <v>10.0</v>
      </c>
      <c r="E297" s="274">
        <v>10.0</v>
      </c>
      <c r="F297" s="282" t="s">
        <v>168</v>
      </c>
    </row>
    <row r="298" ht="15.0" customHeight="1">
      <c r="A298" s="82" t="s">
        <v>1211</v>
      </c>
      <c r="B298" s="82" t="s">
        <v>147</v>
      </c>
      <c r="C298" s="82" t="s">
        <v>12767</v>
      </c>
      <c r="D298" s="83">
        <v>10.0</v>
      </c>
      <c r="E298" s="274">
        <v>10.0</v>
      </c>
      <c r="F298" s="282" t="s">
        <v>168</v>
      </c>
    </row>
    <row r="299" ht="15.0" customHeight="1">
      <c r="A299" s="82" t="s">
        <v>9302</v>
      </c>
      <c r="B299" s="82" t="s">
        <v>147</v>
      </c>
      <c r="C299" s="82" t="s">
        <v>12768</v>
      </c>
      <c r="D299" s="83">
        <v>30.0</v>
      </c>
      <c r="E299" s="274">
        <v>30.0</v>
      </c>
      <c r="F299" s="282" t="s">
        <v>170</v>
      </c>
    </row>
    <row r="300" ht="15.0" customHeight="1">
      <c r="A300" s="82" t="s">
        <v>9302</v>
      </c>
      <c r="B300" s="82" t="s">
        <v>147</v>
      </c>
      <c r="C300" s="82" t="s">
        <v>12769</v>
      </c>
      <c r="D300" s="83" t="s">
        <v>12544</v>
      </c>
      <c r="E300" s="274">
        <v>20.0</v>
      </c>
      <c r="F300" s="282" t="s">
        <v>170</v>
      </c>
    </row>
    <row r="301" ht="15.0" customHeight="1">
      <c r="A301" s="82" t="s">
        <v>9302</v>
      </c>
      <c r="B301" s="82" t="s">
        <v>147</v>
      </c>
      <c r="C301" s="82" t="s">
        <v>12770</v>
      </c>
      <c r="D301" s="83">
        <v>30.0</v>
      </c>
      <c r="E301" s="274">
        <v>30.0</v>
      </c>
      <c r="F301" s="282" t="s">
        <v>170</v>
      </c>
    </row>
    <row r="302" ht="15.0" customHeight="1">
      <c r="A302" s="82" t="s">
        <v>8891</v>
      </c>
      <c r="B302" s="82" t="s">
        <v>147</v>
      </c>
      <c r="C302" s="82" t="s">
        <v>12747</v>
      </c>
      <c r="D302" s="83">
        <v>30.0</v>
      </c>
      <c r="E302" s="274">
        <v>30.0</v>
      </c>
      <c r="F302" s="282" t="s">
        <v>171</v>
      </c>
    </row>
    <row r="303" ht="15.0" customHeight="1">
      <c r="A303" s="82" t="s">
        <v>8409</v>
      </c>
      <c r="B303" s="82" t="s">
        <v>147</v>
      </c>
      <c r="C303" s="82" t="s">
        <v>12771</v>
      </c>
      <c r="D303" s="83">
        <v>100.0</v>
      </c>
      <c r="E303" s="274">
        <v>100.0</v>
      </c>
      <c r="F303" s="282" t="s">
        <v>5077</v>
      </c>
    </row>
    <row r="304" ht="15.0" customHeight="1">
      <c r="A304" s="82" t="s">
        <v>8409</v>
      </c>
      <c r="B304" s="82" t="s">
        <v>147</v>
      </c>
      <c r="C304" s="82" t="s">
        <v>12772</v>
      </c>
      <c r="D304" s="83">
        <v>10.0</v>
      </c>
      <c r="E304" s="274">
        <v>50.0</v>
      </c>
      <c r="F304" s="282" t="s">
        <v>5077</v>
      </c>
    </row>
    <row r="305" ht="15.0" customHeight="1">
      <c r="A305" s="82" t="s">
        <v>8409</v>
      </c>
      <c r="B305" s="82" t="s">
        <v>147</v>
      </c>
      <c r="C305" s="82" t="s">
        <v>12773</v>
      </c>
      <c r="D305" s="83">
        <v>30.0</v>
      </c>
      <c r="E305" s="274">
        <v>30.0</v>
      </c>
      <c r="F305" s="282" t="s">
        <v>5077</v>
      </c>
    </row>
    <row r="306" ht="15.0" customHeight="1">
      <c r="A306" s="82" t="s">
        <v>8409</v>
      </c>
      <c r="B306" s="82" t="s">
        <v>147</v>
      </c>
      <c r="C306" s="82" t="s">
        <v>12774</v>
      </c>
      <c r="D306" s="83">
        <v>30.0</v>
      </c>
      <c r="E306" s="274">
        <v>30.0</v>
      </c>
      <c r="F306" s="282" t="s">
        <v>5077</v>
      </c>
    </row>
    <row r="307" ht="15.0" customHeight="1">
      <c r="A307" s="82" t="s">
        <v>8409</v>
      </c>
      <c r="B307" s="82" t="s">
        <v>147</v>
      </c>
      <c r="C307" s="82" t="s">
        <v>12775</v>
      </c>
      <c r="D307" s="83">
        <v>50.0</v>
      </c>
      <c r="E307" s="274">
        <v>50.0</v>
      </c>
      <c r="F307" s="282" t="s">
        <v>5077</v>
      </c>
    </row>
    <row r="308" ht="15.0" customHeight="1">
      <c r="A308" s="82" t="s">
        <v>8417</v>
      </c>
      <c r="B308" s="82" t="s">
        <v>147</v>
      </c>
      <c r="C308" s="82" t="s">
        <v>12776</v>
      </c>
      <c r="D308" s="83">
        <v>10.0</v>
      </c>
      <c r="E308" s="274">
        <v>10.0</v>
      </c>
      <c r="F308" s="282" t="s">
        <v>5101</v>
      </c>
    </row>
    <row r="309" ht="15.0" customHeight="1">
      <c r="A309" s="82" t="s">
        <v>8417</v>
      </c>
      <c r="B309" s="82" t="s">
        <v>147</v>
      </c>
      <c r="C309" s="82" t="s">
        <v>12777</v>
      </c>
      <c r="D309" s="83">
        <v>30.0</v>
      </c>
      <c r="E309" s="274">
        <v>30.0</v>
      </c>
      <c r="F309" s="282" t="s">
        <v>5101</v>
      </c>
    </row>
    <row r="310" ht="15.0" customHeight="1">
      <c r="A310" s="82" t="s">
        <v>9306</v>
      </c>
      <c r="B310" s="82" t="s">
        <v>147</v>
      </c>
      <c r="C310" s="82" t="s">
        <v>12778</v>
      </c>
      <c r="D310" s="83">
        <v>20.0</v>
      </c>
      <c r="E310" s="274">
        <v>20.0</v>
      </c>
      <c r="F310" s="282" t="s">
        <v>5104</v>
      </c>
    </row>
    <row r="311" ht="15.0" customHeight="1">
      <c r="A311" s="82" t="s">
        <v>9307</v>
      </c>
      <c r="B311" s="82" t="s">
        <v>147</v>
      </c>
      <c r="C311" s="82" t="s">
        <v>12779</v>
      </c>
      <c r="D311" s="83">
        <v>30.0</v>
      </c>
      <c r="E311" s="274">
        <v>30.0</v>
      </c>
      <c r="F311" s="282" t="s">
        <v>5108</v>
      </c>
    </row>
    <row r="312" ht="15.0" customHeight="1">
      <c r="A312" s="82" t="s">
        <v>9307</v>
      </c>
      <c r="B312" s="82" t="s">
        <v>147</v>
      </c>
      <c r="C312" s="82" t="s">
        <v>12780</v>
      </c>
      <c r="D312" s="83">
        <v>30.0</v>
      </c>
      <c r="E312" s="274">
        <v>30.0</v>
      </c>
      <c r="F312" s="282" t="s">
        <v>5108</v>
      </c>
    </row>
    <row r="313" ht="15.0" customHeight="1">
      <c r="A313" s="82" t="s">
        <v>9307</v>
      </c>
      <c r="B313" s="82" t="s">
        <v>147</v>
      </c>
      <c r="C313" s="82" t="s">
        <v>12781</v>
      </c>
      <c r="D313" s="83">
        <v>20.0</v>
      </c>
      <c r="E313" s="274">
        <v>20.0</v>
      </c>
      <c r="F313" s="282" t="s">
        <v>5108</v>
      </c>
    </row>
    <row r="314" ht="15.0" customHeight="1">
      <c r="A314" s="82" t="s">
        <v>9307</v>
      </c>
      <c r="B314" s="82" t="s">
        <v>147</v>
      </c>
      <c r="C314" s="82" t="s">
        <v>12782</v>
      </c>
      <c r="D314" s="83">
        <v>20.0</v>
      </c>
      <c r="E314" s="274">
        <v>20.0</v>
      </c>
      <c r="F314" s="282" t="s">
        <v>5108</v>
      </c>
    </row>
    <row r="315" ht="15.0" customHeight="1">
      <c r="A315" s="82" t="s">
        <v>9310</v>
      </c>
      <c r="B315" s="82" t="s">
        <v>147</v>
      </c>
      <c r="C315" s="82" t="s">
        <v>12783</v>
      </c>
      <c r="D315" s="83">
        <v>30.0</v>
      </c>
      <c r="E315" s="274">
        <v>30.0</v>
      </c>
      <c r="F315" s="282" t="s">
        <v>180</v>
      </c>
    </row>
    <row r="316" ht="15.0" customHeight="1">
      <c r="A316" s="82" t="s">
        <v>8898</v>
      </c>
      <c r="B316" s="82" t="s">
        <v>147</v>
      </c>
      <c r="C316" s="82" t="s">
        <v>12784</v>
      </c>
      <c r="D316" s="83">
        <v>20.0</v>
      </c>
      <c r="E316" s="274">
        <v>20.0</v>
      </c>
      <c r="F316" s="282" t="s">
        <v>8902</v>
      </c>
    </row>
    <row r="317" ht="15.0" customHeight="1">
      <c r="A317" s="82" t="s">
        <v>8898</v>
      </c>
      <c r="B317" s="82" t="s">
        <v>147</v>
      </c>
      <c r="C317" s="82" t="s">
        <v>12785</v>
      </c>
      <c r="D317" s="83" t="s">
        <v>12786</v>
      </c>
      <c r="E317" s="274">
        <v>40.0</v>
      </c>
      <c r="F317" s="282" t="s">
        <v>8902</v>
      </c>
    </row>
    <row r="318" ht="15.75" customHeight="1">
      <c r="A318" s="110"/>
      <c r="B318" s="285"/>
      <c r="C318" s="285"/>
      <c r="D318" s="476"/>
      <c r="E318" s="476">
        <f>SUM(E10:E317)</f>
        <v>7263</v>
      </c>
    </row>
    <row r="319" ht="15.75" customHeight="1">
      <c r="A319" s="104"/>
      <c r="B319" s="104"/>
      <c r="C319" s="61"/>
      <c r="D319" s="61"/>
      <c r="E319" s="61"/>
      <c r="F319" s="1"/>
      <c r="G319" s="1"/>
      <c r="H319" s="1"/>
    </row>
    <row r="320" ht="15.75" customHeight="1">
      <c r="A320" s="144" t="s">
        <v>1169</v>
      </c>
      <c r="B320" s="103"/>
      <c r="C320" s="103"/>
      <c r="D320" s="103"/>
      <c r="E320" s="103"/>
      <c r="F320" s="103"/>
      <c r="G320" s="103"/>
      <c r="H320" s="103"/>
      <c r="I320" s="104"/>
      <c r="J320" s="104"/>
      <c r="K320" s="104"/>
      <c r="L320" s="104"/>
      <c r="M320" s="104"/>
      <c r="N320" s="104"/>
      <c r="O320" s="104"/>
      <c r="P320" s="104"/>
      <c r="Q320" s="104"/>
      <c r="R320" s="104"/>
      <c r="S320" s="104"/>
      <c r="T320" s="104"/>
      <c r="U320" s="104"/>
      <c r="V320" s="104"/>
      <c r="W320" s="104"/>
      <c r="X320" s="104"/>
      <c r="Y320" s="104"/>
    </row>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320:H320"/>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29"/>
    <col customWidth="1" min="9" max="9" width="9.14"/>
    <col customWidth="1" min="10" max="12" width="8.0"/>
    <col customWidth="1" min="13" max="13" width="13.43"/>
    <col customWidth="1" min="14" max="25" width="8.0"/>
  </cols>
  <sheetData>
    <row r="1">
      <c r="A1" s="104"/>
      <c r="B1" s="104"/>
      <c r="C1" s="61"/>
      <c r="D1" s="61"/>
      <c r="E1" s="61"/>
      <c r="F1" s="1"/>
      <c r="G1" s="1"/>
      <c r="H1" s="1"/>
    </row>
    <row r="2" ht="15.75" customHeight="1">
      <c r="A2" s="556" t="s">
        <v>12787</v>
      </c>
      <c r="B2" s="64"/>
      <c r="C2" s="64"/>
      <c r="D2" s="64"/>
      <c r="E2" s="64"/>
      <c r="F2" s="64"/>
      <c r="G2" s="64"/>
      <c r="H2" s="64"/>
      <c r="I2" s="64"/>
      <c r="J2" s="64"/>
      <c r="K2" s="64"/>
      <c r="L2" s="65"/>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7.25" customHeight="1">
      <c r="A4" s="226" t="s">
        <v>12788</v>
      </c>
      <c r="B4" s="64"/>
      <c r="C4" s="64"/>
      <c r="D4" s="64"/>
      <c r="E4" s="64"/>
      <c r="F4" s="64"/>
      <c r="G4" s="64"/>
      <c r="H4" s="64"/>
      <c r="I4" s="64"/>
      <c r="J4" s="64"/>
      <c r="K4" s="64"/>
      <c r="L4" s="65"/>
      <c r="M4" s="107"/>
      <c r="N4" s="107"/>
      <c r="O4" s="107"/>
      <c r="P4" s="107"/>
      <c r="Q4" s="107"/>
      <c r="R4" s="107"/>
      <c r="S4" s="107"/>
      <c r="T4" s="107"/>
      <c r="U4" s="107"/>
      <c r="V4" s="107"/>
      <c r="W4" s="107"/>
      <c r="X4" s="107"/>
      <c r="Y4" s="107"/>
    </row>
    <row r="5" ht="16.5" customHeight="1">
      <c r="A5" s="226" t="s">
        <v>12789</v>
      </c>
      <c r="B5" s="64"/>
      <c r="C5" s="64"/>
      <c r="D5" s="64"/>
      <c r="E5" s="64"/>
      <c r="F5" s="64"/>
      <c r="G5" s="64"/>
      <c r="H5" s="64"/>
      <c r="I5" s="64"/>
      <c r="J5" s="64"/>
      <c r="K5" s="64"/>
      <c r="L5" s="65"/>
      <c r="M5" s="107"/>
      <c r="N5" s="107"/>
      <c r="O5" s="107"/>
      <c r="P5" s="107"/>
      <c r="Q5" s="107"/>
      <c r="R5" s="107"/>
      <c r="S5" s="107"/>
      <c r="T5" s="107"/>
      <c r="U5" s="107"/>
      <c r="V5" s="107"/>
      <c r="W5" s="107"/>
      <c r="X5" s="107"/>
      <c r="Y5" s="107"/>
    </row>
    <row r="6" ht="17.25" customHeight="1">
      <c r="A6" s="565" t="s">
        <v>8947</v>
      </c>
      <c r="B6" s="64"/>
      <c r="C6" s="64"/>
      <c r="D6" s="64"/>
      <c r="E6" s="64"/>
      <c r="F6" s="64"/>
      <c r="G6" s="64"/>
      <c r="H6" s="64"/>
      <c r="I6" s="64"/>
      <c r="J6" s="64"/>
      <c r="K6" s="64"/>
      <c r="L6" s="65"/>
      <c r="M6" s="107"/>
      <c r="N6" s="107"/>
      <c r="O6" s="107"/>
      <c r="P6" s="107"/>
      <c r="Q6" s="107"/>
      <c r="R6" s="107"/>
      <c r="S6" s="107"/>
      <c r="T6" s="107"/>
      <c r="U6" s="107"/>
      <c r="V6" s="107"/>
      <c r="W6" s="107"/>
      <c r="X6" s="107"/>
      <c r="Y6" s="107"/>
    </row>
    <row r="7" ht="17.25" customHeight="1">
      <c r="A7" s="226" t="s">
        <v>8948</v>
      </c>
      <c r="B7" s="64"/>
      <c r="C7" s="64"/>
      <c r="D7" s="64"/>
      <c r="E7" s="64"/>
      <c r="F7" s="64"/>
      <c r="G7" s="64"/>
      <c r="H7" s="64"/>
      <c r="I7" s="64"/>
      <c r="J7" s="64"/>
      <c r="K7" s="64"/>
      <c r="L7" s="65"/>
      <c r="M7" s="107"/>
      <c r="N7" s="107"/>
      <c r="O7" s="107"/>
      <c r="P7" s="107"/>
      <c r="Q7" s="107"/>
      <c r="R7" s="107"/>
      <c r="S7" s="107"/>
      <c r="T7" s="107"/>
      <c r="U7" s="107"/>
      <c r="V7" s="107"/>
      <c r="W7" s="107"/>
      <c r="X7" s="107"/>
      <c r="Y7" s="107"/>
    </row>
    <row r="8" ht="17.25" customHeight="1">
      <c r="A8" s="226" t="s">
        <v>12790</v>
      </c>
      <c r="B8" s="64"/>
      <c r="C8" s="64"/>
      <c r="D8" s="64"/>
      <c r="E8" s="64"/>
      <c r="F8" s="64"/>
      <c r="G8" s="64"/>
      <c r="H8" s="64"/>
      <c r="I8" s="64"/>
      <c r="J8" s="64"/>
      <c r="K8" s="64"/>
      <c r="L8" s="65"/>
      <c r="M8" s="107"/>
      <c r="N8" s="107"/>
      <c r="O8" s="107"/>
      <c r="P8" s="107"/>
      <c r="Q8" s="107"/>
      <c r="R8" s="107"/>
      <c r="S8" s="107"/>
      <c r="T8" s="107"/>
      <c r="U8" s="107"/>
      <c r="V8" s="107"/>
      <c r="W8" s="107"/>
      <c r="X8" s="107"/>
      <c r="Y8" s="107"/>
    </row>
    <row r="9" ht="28.5" customHeight="1">
      <c r="A9" s="226" t="s">
        <v>5766</v>
      </c>
      <c r="B9" s="64"/>
      <c r="C9" s="64"/>
      <c r="D9" s="64"/>
      <c r="E9" s="64"/>
      <c r="F9" s="64"/>
      <c r="G9" s="64"/>
      <c r="H9" s="64"/>
      <c r="I9" s="64"/>
      <c r="J9" s="64"/>
      <c r="K9" s="64"/>
      <c r="L9" s="65"/>
      <c r="M9" s="107"/>
      <c r="N9" s="107"/>
      <c r="O9" s="107"/>
      <c r="P9" s="107"/>
      <c r="Q9" s="107"/>
      <c r="R9" s="107"/>
      <c r="S9" s="107"/>
      <c r="T9" s="107"/>
      <c r="U9" s="107"/>
      <c r="V9" s="107"/>
      <c r="W9" s="107"/>
      <c r="X9" s="107"/>
      <c r="Y9" s="107"/>
    </row>
    <row r="10" ht="97.5" customHeight="1">
      <c r="A10" s="477" t="s">
        <v>12791</v>
      </c>
      <c r="B10" s="64"/>
      <c r="C10" s="64"/>
      <c r="D10" s="64"/>
      <c r="E10" s="64"/>
      <c r="F10" s="64"/>
      <c r="G10" s="64"/>
      <c r="H10" s="64"/>
      <c r="I10" s="64"/>
      <c r="J10" s="64"/>
      <c r="K10" s="64"/>
      <c r="L10" s="65"/>
      <c r="M10" s="107"/>
      <c r="N10" s="107"/>
      <c r="O10" s="107"/>
      <c r="P10" s="107"/>
      <c r="Q10" s="107"/>
      <c r="R10" s="107"/>
      <c r="S10" s="107"/>
      <c r="T10" s="107"/>
      <c r="U10" s="107"/>
      <c r="V10" s="107"/>
      <c r="W10" s="107"/>
      <c r="X10" s="107"/>
      <c r="Y10" s="107"/>
    </row>
    <row r="11">
      <c r="A11" s="109"/>
      <c r="B11" s="109"/>
      <c r="C11" s="110"/>
      <c r="D11" s="110"/>
      <c r="E11" s="110"/>
      <c r="F11" s="109"/>
      <c r="G11" s="109"/>
      <c r="H11" s="109"/>
      <c r="I11" s="107"/>
      <c r="J11" s="107"/>
      <c r="K11" s="107"/>
      <c r="L11" s="107"/>
      <c r="M11" s="107"/>
      <c r="N11" s="107"/>
      <c r="O11" s="107"/>
      <c r="P11" s="107"/>
      <c r="Q11" s="107"/>
      <c r="R11" s="107"/>
      <c r="S11" s="107"/>
      <c r="T11" s="107"/>
      <c r="U11" s="107"/>
      <c r="V11" s="107"/>
      <c r="W11" s="107"/>
      <c r="X11" s="107"/>
      <c r="Y11" s="107"/>
    </row>
    <row r="12" ht="61.5" customHeight="1">
      <c r="A12" s="131" t="s">
        <v>7</v>
      </c>
      <c r="B12" s="131" t="s">
        <v>1196</v>
      </c>
      <c r="C12" s="131" t="s">
        <v>1197</v>
      </c>
      <c r="D12" s="131" t="s">
        <v>1198</v>
      </c>
      <c r="E12" s="131" t="s">
        <v>1199</v>
      </c>
      <c r="F12" s="132" t="s">
        <v>8</v>
      </c>
      <c r="G12" s="131" t="s">
        <v>1200</v>
      </c>
      <c r="H12" s="131" t="s">
        <v>1201</v>
      </c>
      <c r="I12" s="131" t="s">
        <v>1202</v>
      </c>
      <c r="J12" s="131" t="s">
        <v>12792</v>
      </c>
      <c r="K12" s="131" t="s">
        <v>1204</v>
      </c>
      <c r="L12" s="133" t="s">
        <v>221</v>
      </c>
      <c r="M12" s="113" t="s">
        <v>222</v>
      </c>
      <c r="N12" s="107"/>
      <c r="O12" s="107"/>
      <c r="P12" s="107"/>
      <c r="Q12" s="107"/>
      <c r="R12" s="107"/>
      <c r="S12" s="107"/>
      <c r="T12" s="107"/>
      <c r="U12" s="107"/>
      <c r="V12" s="107"/>
      <c r="W12" s="107"/>
      <c r="X12" s="107"/>
      <c r="Y12" s="107"/>
    </row>
    <row r="13" ht="15.75" customHeight="1">
      <c r="A13" s="566" t="s">
        <v>8632</v>
      </c>
      <c r="B13" s="566" t="s">
        <v>12793</v>
      </c>
      <c r="C13" s="566" t="s">
        <v>12794</v>
      </c>
      <c r="D13" s="566" t="s">
        <v>1208</v>
      </c>
      <c r="E13" s="566" t="s">
        <v>8632</v>
      </c>
      <c r="F13" s="567" t="s">
        <v>94</v>
      </c>
      <c r="G13" s="566"/>
      <c r="H13" s="566">
        <v>2022.0</v>
      </c>
      <c r="I13" s="566">
        <v>2022.0</v>
      </c>
      <c r="J13" s="566">
        <v>2380.0</v>
      </c>
      <c r="K13" s="566">
        <v>100.0</v>
      </c>
      <c r="L13" s="568">
        <v>100.0</v>
      </c>
      <c r="M13" s="534" t="s">
        <v>8632</v>
      </c>
    </row>
    <row r="14">
      <c r="A14" s="224" t="s">
        <v>852</v>
      </c>
      <c r="B14" s="569" t="s">
        <v>12795</v>
      </c>
      <c r="C14" s="569" t="s">
        <v>12796</v>
      </c>
      <c r="D14" s="569" t="s">
        <v>1208</v>
      </c>
      <c r="E14" s="569" t="s">
        <v>12797</v>
      </c>
      <c r="F14" s="570" t="s">
        <v>94</v>
      </c>
      <c r="G14" s="571" t="s">
        <v>12798</v>
      </c>
      <c r="H14" s="569">
        <v>2023.0</v>
      </c>
      <c r="I14" s="569">
        <v>2023.0</v>
      </c>
      <c r="J14" s="566">
        <v>200000.0</v>
      </c>
      <c r="K14" s="566">
        <v>300.0</v>
      </c>
      <c r="L14" s="568">
        <f t="shared" ref="L14:L15" si="1">K14/10*2</f>
        <v>60</v>
      </c>
      <c r="M14" s="534" t="s">
        <v>852</v>
      </c>
    </row>
    <row r="15">
      <c r="A15" s="416" t="s">
        <v>852</v>
      </c>
      <c r="B15" s="569" t="s">
        <v>12799</v>
      </c>
      <c r="C15" s="572" t="s">
        <v>12800</v>
      </c>
      <c r="D15" s="569" t="s">
        <v>1208</v>
      </c>
      <c r="E15" s="569" t="s">
        <v>12801</v>
      </c>
      <c r="F15" s="570" t="s">
        <v>94</v>
      </c>
      <c r="G15" s="569" t="s">
        <v>12798</v>
      </c>
      <c r="H15" s="569">
        <v>2023.0</v>
      </c>
      <c r="I15" s="569">
        <v>2023.0</v>
      </c>
      <c r="J15" s="566">
        <v>200000.0</v>
      </c>
      <c r="K15" s="566">
        <v>300.0</v>
      </c>
      <c r="L15" s="568">
        <f t="shared" si="1"/>
        <v>60</v>
      </c>
      <c r="M15" s="534" t="s">
        <v>852</v>
      </c>
    </row>
    <row r="16">
      <c r="A16" s="573" t="s">
        <v>4024</v>
      </c>
      <c r="B16" s="573" t="s">
        <v>12802</v>
      </c>
      <c r="C16" s="573" t="s">
        <v>12803</v>
      </c>
      <c r="D16" s="573" t="s">
        <v>12804</v>
      </c>
      <c r="E16" s="573" t="s">
        <v>12805</v>
      </c>
      <c r="F16" s="573" t="s">
        <v>94</v>
      </c>
      <c r="G16" s="255" t="s">
        <v>12806</v>
      </c>
      <c r="H16" s="573">
        <v>2022.0</v>
      </c>
      <c r="I16" s="573">
        <v>2023.0</v>
      </c>
      <c r="J16" s="573" t="s">
        <v>12807</v>
      </c>
      <c r="K16" s="573">
        <v>300.0</v>
      </c>
      <c r="L16" s="574">
        <v>300.0</v>
      </c>
      <c r="M16" s="534" t="s">
        <v>4024</v>
      </c>
    </row>
    <row r="17" ht="15.0" customHeight="1">
      <c r="A17" s="142" t="s">
        <v>1214</v>
      </c>
      <c r="B17" s="142"/>
      <c r="C17" s="142"/>
      <c r="D17" s="142"/>
      <c r="E17" s="142"/>
      <c r="F17" s="142"/>
      <c r="G17" s="142"/>
      <c r="H17" s="142"/>
      <c r="I17" s="142"/>
      <c r="J17" s="142"/>
      <c r="K17" s="142"/>
      <c r="L17" s="143">
        <f>SUM(L13:L16)</f>
        <v>520</v>
      </c>
    </row>
    <row r="18" ht="15.0" customHeight="1">
      <c r="A18" s="110"/>
      <c r="B18" s="285"/>
      <c r="C18" s="285"/>
      <c r="D18" s="476"/>
      <c r="E18" s="476"/>
    </row>
    <row r="19" ht="15.0" customHeight="1">
      <c r="A19" s="104"/>
      <c r="B19" s="104"/>
      <c r="C19" s="61"/>
      <c r="D19" s="61"/>
      <c r="E19" s="61"/>
      <c r="F19" s="1"/>
      <c r="G19" s="1"/>
      <c r="H19" s="1"/>
    </row>
    <row r="20" ht="15.0" customHeight="1">
      <c r="A20" s="144" t="s">
        <v>1169</v>
      </c>
      <c r="B20" s="103"/>
      <c r="C20" s="103"/>
      <c r="D20" s="103"/>
      <c r="E20" s="103"/>
      <c r="F20" s="103"/>
      <c r="G20" s="103"/>
      <c r="H20" s="103"/>
      <c r="I20" s="104"/>
      <c r="J20" s="104"/>
      <c r="K20" s="104"/>
      <c r="L20" s="10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20:H20"/>
    <mergeCell ref="A2:L2"/>
    <mergeCell ref="A4:L4"/>
    <mergeCell ref="A5:L5"/>
    <mergeCell ref="A6:L6"/>
    <mergeCell ref="A7:L7"/>
    <mergeCell ref="A8:L8"/>
    <mergeCell ref="A9:L9"/>
  </mergeCells>
  <hyperlinks>
    <hyperlink r:id="rId1" ref="G14"/>
    <hyperlink r:id="rId2" ref="G16"/>
  </hyperlinks>
  <printOptions/>
  <pageMargins bottom="0.75" footer="0.0" header="0.0" left="0.7" right="0.7" top="0.75"/>
  <pageSetup orientation="landscape"/>
  <drawing r:id="rId3"/>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29"/>
    <col customWidth="1" min="4" max="4" width="17.71"/>
    <col customWidth="1" min="5" max="5" width="26.43"/>
    <col customWidth="1" min="6" max="6" width="27.71"/>
    <col customWidth="1" min="7" max="8" width="13.71"/>
    <col customWidth="1" min="9" max="25" width="8.0"/>
  </cols>
  <sheetData>
    <row r="1">
      <c r="A1" s="104"/>
      <c r="B1" s="104"/>
      <c r="C1" s="61"/>
      <c r="D1" s="61"/>
      <c r="E1" s="61"/>
      <c r="F1" s="1"/>
      <c r="G1" s="1"/>
      <c r="H1" s="1"/>
    </row>
    <row r="2" ht="15.75" customHeight="1">
      <c r="A2" s="556" t="s">
        <v>12808</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21.0" customHeight="1">
      <c r="A4" s="128" t="s">
        <v>12809</v>
      </c>
      <c r="B4" s="64"/>
      <c r="C4" s="64"/>
      <c r="D4" s="64"/>
      <c r="E4" s="65"/>
      <c r="F4" s="474"/>
      <c r="G4" s="474"/>
      <c r="H4" s="474"/>
      <c r="I4" s="107"/>
      <c r="J4" s="107"/>
      <c r="K4" s="107"/>
      <c r="L4" s="107"/>
      <c r="M4" s="107"/>
      <c r="N4" s="107"/>
      <c r="O4" s="107"/>
      <c r="P4" s="107"/>
      <c r="Q4" s="107"/>
      <c r="R4" s="107"/>
      <c r="S4" s="107"/>
      <c r="T4" s="107"/>
      <c r="U4" s="107"/>
      <c r="V4" s="107"/>
      <c r="W4" s="107"/>
      <c r="X4" s="107"/>
      <c r="Y4" s="107"/>
    </row>
    <row r="5" ht="28.5" customHeight="1">
      <c r="A5" s="226" t="s">
        <v>12810</v>
      </c>
      <c r="B5" s="64"/>
      <c r="C5" s="64"/>
      <c r="D5" s="64"/>
      <c r="E5" s="65"/>
      <c r="F5" s="474"/>
      <c r="G5" s="474"/>
      <c r="H5" s="474"/>
      <c r="I5" s="107"/>
      <c r="J5" s="107"/>
      <c r="K5" s="107"/>
      <c r="L5" s="107"/>
      <c r="M5" s="107"/>
      <c r="N5" s="107"/>
      <c r="O5" s="107"/>
      <c r="P5" s="107"/>
      <c r="Q5" s="107"/>
      <c r="R5" s="107"/>
      <c r="S5" s="107"/>
      <c r="T5" s="107"/>
      <c r="U5" s="107"/>
      <c r="V5" s="107"/>
      <c r="W5" s="107"/>
      <c r="X5" s="107"/>
      <c r="Y5" s="107"/>
    </row>
    <row r="6" ht="39.75" customHeight="1">
      <c r="A6" s="477" t="s">
        <v>12811</v>
      </c>
      <c r="B6" s="64"/>
      <c r="C6" s="64"/>
      <c r="D6" s="64"/>
      <c r="E6" s="65"/>
      <c r="F6" s="474"/>
      <c r="G6" s="474"/>
      <c r="H6" s="474"/>
      <c r="I6" s="107"/>
      <c r="J6" s="107"/>
      <c r="K6" s="107"/>
      <c r="L6" s="107"/>
      <c r="M6" s="107"/>
      <c r="N6" s="107"/>
      <c r="O6" s="107"/>
      <c r="P6" s="107"/>
      <c r="Q6" s="107"/>
      <c r="R6" s="107"/>
      <c r="S6" s="107"/>
      <c r="T6" s="107"/>
      <c r="U6" s="107"/>
      <c r="V6" s="107"/>
      <c r="W6" s="107"/>
      <c r="X6" s="107"/>
      <c r="Y6" s="107"/>
    </row>
    <row r="7">
      <c r="A7" s="109"/>
      <c r="B7" s="109"/>
      <c r="C7" s="110"/>
      <c r="D7" s="110"/>
      <c r="E7" s="110"/>
      <c r="F7" s="109"/>
      <c r="G7" s="109"/>
      <c r="H7" s="109"/>
      <c r="I7" s="107"/>
      <c r="J7" s="107"/>
      <c r="K7" s="107"/>
      <c r="L7" s="107"/>
      <c r="M7" s="107"/>
      <c r="N7" s="107"/>
      <c r="O7" s="107"/>
      <c r="P7" s="107"/>
      <c r="Q7" s="107"/>
      <c r="R7" s="107"/>
      <c r="S7" s="107"/>
      <c r="T7" s="107"/>
      <c r="U7" s="107"/>
      <c r="V7" s="107"/>
      <c r="W7" s="107"/>
      <c r="X7" s="107"/>
      <c r="Y7" s="107"/>
    </row>
    <row r="8" ht="61.5" customHeight="1">
      <c r="A8" s="228" t="s">
        <v>5174</v>
      </c>
      <c r="B8" s="132" t="s">
        <v>8</v>
      </c>
      <c r="C8" s="132" t="s">
        <v>12812</v>
      </c>
      <c r="D8" s="131" t="s">
        <v>217</v>
      </c>
      <c r="E8" s="131" t="s">
        <v>221</v>
      </c>
      <c r="F8" s="113" t="s">
        <v>222</v>
      </c>
      <c r="I8" s="107"/>
      <c r="J8" s="107"/>
      <c r="K8" s="107"/>
      <c r="L8" s="107"/>
      <c r="M8" s="107"/>
      <c r="N8" s="107"/>
      <c r="O8" s="107"/>
      <c r="P8" s="107"/>
      <c r="Q8" s="107"/>
      <c r="R8" s="107"/>
      <c r="S8" s="107"/>
      <c r="T8" s="107"/>
      <c r="U8" s="107"/>
      <c r="V8" s="107"/>
      <c r="W8" s="107"/>
      <c r="X8" s="107"/>
      <c r="Y8" s="107"/>
    </row>
    <row r="9" ht="15.0" customHeight="1">
      <c r="A9" s="82" t="s">
        <v>1764</v>
      </c>
      <c r="B9" s="82" t="s">
        <v>52</v>
      </c>
      <c r="C9" s="82" t="s">
        <v>12813</v>
      </c>
      <c r="D9" s="83">
        <v>50.0</v>
      </c>
      <c r="E9" s="92">
        <v>50.0</v>
      </c>
      <c r="F9" s="288" t="s">
        <v>1764</v>
      </c>
    </row>
    <row r="10" ht="15.0" customHeight="1">
      <c r="A10" s="82" t="s">
        <v>9205</v>
      </c>
      <c r="B10" s="82" t="s">
        <v>52</v>
      </c>
      <c r="C10" s="82" t="s">
        <v>12814</v>
      </c>
      <c r="D10" s="83">
        <v>50.0</v>
      </c>
      <c r="E10" s="92">
        <v>50.0</v>
      </c>
      <c r="F10" s="288" t="s">
        <v>71</v>
      </c>
    </row>
    <row r="11" ht="15.0" customHeight="1">
      <c r="A11" s="82" t="s">
        <v>9205</v>
      </c>
      <c r="B11" s="82" t="s">
        <v>52</v>
      </c>
      <c r="C11" s="82" t="s">
        <v>12815</v>
      </c>
      <c r="D11" s="83">
        <v>50.0</v>
      </c>
      <c r="E11" s="92">
        <v>50.0</v>
      </c>
      <c r="F11" s="288" t="s">
        <v>71</v>
      </c>
    </row>
    <row r="12" ht="15.0" customHeight="1">
      <c r="A12" s="82" t="s">
        <v>9211</v>
      </c>
      <c r="B12" s="82" t="s">
        <v>52</v>
      </c>
      <c r="C12" s="82" t="s">
        <v>12816</v>
      </c>
      <c r="D12" s="83">
        <v>50.0</v>
      </c>
      <c r="E12" s="92">
        <v>50.0</v>
      </c>
      <c r="F12" s="288" t="s">
        <v>76</v>
      </c>
    </row>
    <row r="13" ht="15.0" customHeight="1">
      <c r="A13" s="82" t="s">
        <v>9211</v>
      </c>
      <c r="B13" s="82" t="s">
        <v>52</v>
      </c>
      <c r="C13" s="82" t="s">
        <v>12817</v>
      </c>
      <c r="D13" s="83">
        <v>50.0</v>
      </c>
      <c r="E13" s="92">
        <v>50.0</v>
      </c>
      <c r="F13" s="288" t="s">
        <v>76</v>
      </c>
    </row>
    <row r="14" ht="15.0" customHeight="1">
      <c r="A14" s="82" t="s">
        <v>9211</v>
      </c>
      <c r="B14" s="82" t="s">
        <v>52</v>
      </c>
      <c r="C14" s="82" t="s">
        <v>12818</v>
      </c>
      <c r="D14" s="83">
        <v>50.0</v>
      </c>
      <c r="E14" s="92">
        <v>50.0</v>
      </c>
      <c r="F14" s="288" t="s">
        <v>76</v>
      </c>
    </row>
    <row r="15" ht="15.0" customHeight="1">
      <c r="A15" s="82" t="s">
        <v>80</v>
      </c>
      <c r="B15" s="82" t="s">
        <v>52</v>
      </c>
      <c r="C15" s="82" t="s">
        <v>12819</v>
      </c>
      <c r="D15" s="83">
        <v>50.0</v>
      </c>
      <c r="E15" s="92">
        <v>50.0</v>
      </c>
      <c r="F15" s="288" t="s">
        <v>80</v>
      </c>
    </row>
    <row r="16" ht="15.0" customHeight="1">
      <c r="A16" s="82" t="s">
        <v>80</v>
      </c>
      <c r="B16" s="82" t="s">
        <v>52</v>
      </c>
      <c r="C16" s="82" t="s">
        <v>12820</v>
      </c>
      <c r="D16" s="83">
        <v>50.0</v>
      </c>
      <c r="E16" s="92">
        <v>50.0</v>
      </c>
      <c r="F16" s="288" t="s">
        <v>80</v>
      </c>
    </row>
    <row r="17" ht="15.0" customHeight="1">
      <c r="A17" s="82" t="s">
        <v>8566</v>
      </c>
      <c r="B17" s="82" t="s">
        <v>94</v>
      </c>
      <c r="C17" s="82" t="s">
        <v>12821</v>
      </c>
      <c r="D17" s="83">
        <v>50.0</v>
      </c>
      <c r="E17" s="92">
        <v>50.0</v>
      </c>
      <c r="F17" s="288" t="s">
        <v>5698</v>
      </c>
    </row>
    <row r="18" ht="15.0" customHeight="1">
      <c r="A18" s="82" t="s">
        <v>566</v>
      </c>
      <c r="B18" s="82" t="s">
        <v>182</v>
      </c>
      <c r="C18" s="82" t="s">
        <v>12822</v>
      </c>
      <c r="D18" s="83">
        <v>50.0</v>
      </c>
      <c r="E18" s="92">
        <v>50.0</v>
      </c>
      <c r="F18" s="288" t="s">
        <v>566</v>
      </c>
    </row>
    <row r="19" ht="15.0" customHeight="1">
      <c r="A19" s="82" t="s">
        <v>566</v>
      </c>
      <c r="B19" s="82" t="s">
        <v>182</v>
      </c>
      <c r="C19" s="82" t="s">
        <v>12823</v>
      </c>
      <c r="D19" s="83">
        <v>50.0</v>
      </c>
      <c r="E19" s="92">
        <v>50.0</v>
      </c>
      <c r="F19" s="288" t="s">
        <v>566</v>
      </c>
    </row>
    <row r="20" ht="15.0" customHeight="1">
      <c r="A20" s="82" t="s">
        <v>566</v>
      </c>
      <c r="B20" s="82" t="s">
        <v>182</v>
      </c>
      <c r="C20" s="82" t="s">
        <v>12824</v>
      </c>
      <c r="D20" s="83">
        <v>50.0</v>
      </c>
      <c r="E20" s="92">
        <v>50.0</v>
      </c>
      <c r="F20" s="288" t="s">
        <v>566</v>
      </c>
    </row>
    <row r="21" ht="15.0" customHeight="1">
      <c r="A21" s="82" t="s">
        <v>566</v>
      </c>
      <c r="B21" s="82" t="s">
        <v>182</v>
      </c>
      <c r="C21" s="82" t="s">
        <v>12825</v>
      </c>
      <c r="D21" s="83">
        <v>50.0</v>
      </c>
      <c r="E21" s="92">
        <v>50.0</v>
      </c>
      <c r="F21" s="288" t="s">
        <v>566</v>
      </c>
    </row>
    <row r="22" ht="15.0" customHeight="1">
      <c r="A22" s="82" t="s">
        <v>9011</v>
      </c>
      <c r="B22" s="82" t="s">
        <v>94</v>
      </c>
      <c r="C22" s="352" t="s">
        <v>12826</v>
      </c>
      <c r="D22" s="83">
        <v>50.0</v>
      </c>
      <c r="E22" s="92">
        <v>50.0</v>
      </c>
      <c r="F22" s="288" t="s">
        <v>646</v>
      </c>
    </row>
    <row r="23" ht="15.0" customHeight="1">
      <c r="A23" s="82" t="s">
        <v>9011</v>
      </c>
      <c r="B23" s="82" t="s">
        <v>94</v>
      </c>
      <c r="C23" s="82" t="s">
        <v>12827</v>
      </c>
      <c r="D23" s="83">
        <v>50.0</v>
      </c>
      <c r="E23" s="92">
        <v>50.0</v>
      </c>
      <c r="F23" s="288" t="s">
        <v>646</v>
      </c>
    </row>
    <row r="24" ht="15.0" customHeight="1">
      <c r="A24" s="82" t="s">
        <v>9011</v>
      </c>
      <c r="B24" s="82" t="s">
        <v>94</v>
      </c>
      <c r="C24" s="575" t="s">
        <v>12828</v>
      </c>
      <c r="D24" s="521">
        <v>50.0</v>
      </c>
      <c r="E24" s="440">
        <v>50.0</v>
      </c>
      <c r="F24" s="288" t="s">
        <v>646</v>
      </c>
    </row>
    <row r="25" ht="15.0" customHeight="1">
      <c r="A25" s="82" t="s">
        <v>9011</v>
      </c>
      <c r="B25" s="82" t="s">
        <v>94</v>
      </c>
      <c r="C25" s="82" t="s">
        <v>12829</v>
      </c>
      <c r="D25" s="521">
        <v>50.0</v>
      </c>
      <c r="E25" s="440">
        <v>50.0</v>
      </c>
      <c r="F25" s="288" t="s">
        <v>646</v>
      </c>
    </row>
    <row r="26" ht="15.0" customHeight="1">
      <c r="A26" s="82" t="s">
        <v>9011</v>
      </c>
      <c r="B26" s="82" t="s">
        <v>94</v>
      </c>
      <c r="C26" s="576" t="s">
        <v>12830</v>
      </c>
      <c r="D26" s="503">
        <v>50.0</v>
      </c>
      <c r="E26" s="419">
        <v>50.0</v>
      </c>
      <c r="F26" s="288" t="s">
        <v>646</v>
      </c>
    </row>
    <row r="27" ht="15.0" customHeight="1">
      <c r="A27" s="82" t="s">
        <v>9011</v>
      </c>
      <c r="B27" s="82" t="s">
        <v>94</v>
      </c>
      <c r="C27" s="352" t="s">
        <v>12831</v>
      </c>
      <c r="D27" s="503">
        <v>50.0</v>
      </c>
      <c r="E27" s="419">
        <v>50.0</v>
      </c>
      <c r="F27" s="288" t="s">
        <v>646</v>
      </c>
    </row>
    <row r="28" ht="15.0" customHeight="1">
      <c r="A28" s="82" t="s">
        <v>7955</v>
      </c>
      <c r="B28" s="82" t="s">
        <v>94</v>
      </c>
      <c r="C28" s="82" t="s">
        <v>12832</v>
      </c>
      <c r="D28" s="83">
        <v>50.0</v>
      </c>
      <c r="E28" s="92">
        <v>50.0</v>
      </c>
      <c r="F28" s="288" t="s">
        <v>3018</v>
      </c>
    </row>
    <row r="29" ht="15.0" customHeight="1">
      <c r="A29" s="82" t="s">
        <v>7955</v>
      </c>
      <c r="B29" s="82" t="s">
        <v>52</v>
      </c>
      <c r="C29" s="82" t="s">
        <v>12833</v>
      </c>
      <c r="D29" s="83">
        <v>50.0</v>
      </c>
      <c r="E29" s="92">
        <v>50.0</v>
      </c>
      <c r="F29" s="288" t="s">
        <v>3018</v>
      </c>
    </row>
    <row r="30" ht="15.75" customHeight="1">
      <c r="A30" s="134" t="s">
        <v>3203</v>
      </c>
      <c r="B30" s="134" t="s">
        <v>94</v>
      </c>
      <c r="C30" s="577" t="s">
        <v>12834</v>
      </c>
      <c r="D30" s="526">
        <v>50.0</v>
      </c>
      <c r="E30" s="523">
        <v>50.0</v>
      </c>
      <c r="F30" s="288" t="s">
        <v>3203</v>
      </c>
    </row>
    <row r="31" ht="15.75" customHeight="1">
      <c r="A31" s="148" t="s">
        <v>3203</v>
      </c>
      <c r="B31" s="148" t="s">
        <v>94</v>
      </c>
      <c r="C31" s="148" t="s">
        <v>12835</v>
      </c>
      <c r="D31" s="191">
        <v>50.0</v>
      </c>
      <c r="E31" s="162">
        <v>50.0</v>
      </c>
      <c r="F31" s="288" t="s">
        <v>3203</v>
      </c>
    </row>
    <row r="32" ht="15.0" customHeight="1">
      <c r="A32" s="82" t="s">
        <v>12836</v>
      </c>
      <c r="B32" s="82" t="s">
        <v>94</v>
      </c>
      <c r="C32" s="82" t="s">
        <v>12821</v>
      </c>
      <c r="D32" s="83">
        <v>50.0</v>
      </c>
      <c r="E32" s="92">
        <v>50.0</v>
      </c>
      <c r="F32" s="288" t="s">
        <v>8962</v>
      </c>
    </row>
    <row r="33" ht="15.0" customHeight="1">
      <c r="A33" s="82" t="s">
        <v>852</v>
      </c>
      <c r="B33" s="82" t="s">
        <v>94</v>
      </c>
      <c r="C33" s="82" t="s">
        <v>12837</v>
      </c>
      <c r="D33" s="83">
        <v>50.0</v>
      </c>
      <c r="E33" s="92">
        <v>50.0</v>
      </c>
      <c r="F33" s="288" t="s">
        <v>852</v>
      </c>
    </row>
    <row r="34" ht="15.0" customHeight="1">
      <c r="A34" s="82" t="s">
        <v>852</v>
      </c>
      <c r="B34" s="82" t="s">
        <v>94</v>
      </c>
      <c r="C34" s="352" t="s">
        <v>12838</v>
      </c>
      <c r="D34" s="489">
        <v>50.0</v>
      </c>
      <c r="E34" s="419">
        <v>50.0</v>
      </c>
      <c r="F34" s="288" t="s">
        <v>852</v>
      </c>
    </row>
    <row r="35" ht="15.75" customHeight="1">
      <c r="A35" s="82" t="s">
        <v>870</v>
      </c>
      <c r="B35" s="326" t="s">
        <v>182</v>
      </c>
      <c r="C35" s="578" t="s">
        <v>12839</v>
      </c>
      <c r="D35" s="148">
        <v>50.0</v>
      </c>
      <c r="E35" s="148">
        <f t="shared" ref="E35:E38" si="1">D35</f>
        <v>50</v>
      </c>
      <c r="F35" s="579" t="s">
        <v>870</v>
      </c>
    </row>
    <row r="36" ht="15.75" customHeight="1">
      <c r="A36" s="82" t="s">
        <v>870</v>
      </c>
      <c r="B36" s="326" t="s">
        <v>1783</v>
      </c>
      <c r="C36" s="578" t="s">
        <v>12840</v>
      </c>
      <c r="D36" s="148">
        <v>50.0</v>
      </c>
      <c r="E36" s="148">
        <f t="shared" si="1"/>
        <v>50</v>
      </c>
      <c r="F36" s="579" t="s">
        <v>870</v>
      </c>
    </row>
    <row r="37" ht="15.75" customHeight="1">
      <c r="A37" s="82" t="s">
        <v>870</v>
      </c>
      <c r="B37" s="326" t="s">
        <v>7959</v>
      </c>
      <c r="C37" s="578" t="s">
        <v>12841</v>
      </c>
      <c r="D37" s="148">
        <v>50.0</v>
      </c>
      <c r="E37" s="148">
        <f t="shared" si="1"/>
        <v>50</v>
      </c>
      <c r="F37" s="579" t="s">
        <v>870</v>
      </c>
    </row>
    <row r="38" ht="15.75" customHeight="1">
      <c r="A38" s="82" t="s">
        <v>870</v>
      </c>
      <c r="B38" s="326" t="s">
        <v>7960</v>
      </c>
      <c r="C38" s="578" t="s">
        <v>12842</v>
      </c>
      <c r="D38" s="148">
        <v>50.0</v>
      </c>
      <c r="E38" s="148">
        <f t="shared" si="1"/>
        <v>50</v>
      </c>
      <c r="F38" s="579" t="s">
        <v>870</v>
      </c>
    </row>
    <row r="39" ht="15.75" customHeight="1">
      <c r="A39" s="148" t="s">
        <v>8094</v>
      </c>
      <c r="B39" s="148" t="s">
        <v>94</v>
      </c>
      <c r="C39" s="500" t="s">
        <v>12843</v>
      </c>
      <c r="D39" s="532">
        <v>50.0</v>
      </c>
      <c r="E39" s="522">
        <v>50.0</v>
      </c>
      <c r="F39" s="288" t="s">
        <v>8094</v>
      </c>
    </row>
    <row r="40" ht="15.75" customHeight="1">
      <c r="A40" s="148" t="s">
        <v>8094</v>
      </c>
      <c r="B40" s="148" t="s">
        <v>52</v>
      </c>
      <c r="C40" s="148" t="s">
        <v>12844</v>
      </c>
      <c r="D40" s="191">
        <v>50.0</v>
      </c>
      <c r="E40" s="162">
        <v>50.0</v>
      </c>
      <c r="F40" s="288" t="s">
        <v>8094</v>
      </c>
    </row>
    <row r="41" ht="15.75" customHeight="1">
      <c r="A41" s="148" t="s">
        <v>4024</v>
      </c>
      <c r="B41" s="148" t="s">
        <v>94</v>
      </c>
      <c r="C41" s="148" t="s">
        <v>12845</v>
      </c>
      <c r="D41" s="191">
        <v>50.0</v>
      </c>
      <c r="E41" s="162">
        <v>50.0</v>
      </c>
      <c r="F41" s="288" t="s">
        <v>4024</v>
      </c>
    </row>
    <row r="42" ht="15.75" customHeight="1">
      <c r="A42" s="148" t="s">
        <v>4024</v>
      </c>
      <c r="B42" s="148" t="s">
        <v>94</v>
      </c>
      <c r="C42" s="148" t="s">
        <v>12846</v>
      </c>
      <c r="D42" s="191">
        <v>50.0</v>
      </c>
      <c r="E42" s="162">
        <v>50.0</v>
      </c>
      <c r="F42" s="288" t="s">
        <v>4024</v>
      </c>
    </row>
    <row r="43" ht="15.75" customHeight="1">
      <c r="A43" s="148" t="s">
        <v>4024</v>
      </c>
      <c r="B43" s="148" t="s">
        <v>94</v>
      </c>
      <c r="C43" s="148" t="s">
        <v>12847</v>
      </c>
      <c r="D43" s="191">
        <v>50.0</v>
      </c>
      <c r="E43" s="162">
        <v>50.0</v>
      </c>
      <c r="F43" s="288" t="s">
        <v>4024</v>
      </c>
    </row>
    <row r="44" ht="15.0" customHeight="1">
      <c r="A44" s="85" t="s">
        <v>8128</v>
      </c>
      <c r="B44" s="580" t="s">
        <v>94</v>
      </c>
      <c r="C44" s="82" t="s">
        <v>12848</v>
      </c>
      <c r="D44" s="83">
        <v>50.0</v>
      </c>
      <c r="E44" s="92">
        <v>50.0</v>
      </c>
      <c r="F44" s="288" t="s">
        <v>4028</v>
      </c>
    </row>
    <row r="45" ht="15.0" customHeight="1">
      <c r="A45" s="82" t="s">
        <v>12849</v>
      </c>
      <c r="B45" s="82" t="s">
        <v>94</v>
      </c>
      <c r="C45" s="82" t="s">
        <v>12848</v>
      </c>
      <c r="D45" s="83">
        <v>50.0</v>
      </c>
      <c r="E45" s="92">
        <v>50.0</v>
      </c>
      <c r="F45" s="288" t="s">
        <v>4076</v>
      </c>
    </row>
    <row r="46" ht="15.0" customHeight="1">
      <c r="A46" s="82" t="s">
        <v>9284</v>
      </c>
      <c r="B46" s="82" t="s">
        <v>957</v>
      </c>
      <c r="C46" s="82" t="s">
        <v>12850</v>
      </c>
      <c r="D46" s="83">
        <v>50.0</v>
      </c>
      <c r="E46" s="92">
        <v>50.0</v>
      </c>
      <c r="F46" s="288" t="s">
        <v>964</v>
      </c>
    </row>
    <row r="47" ht="15.0" customHeight="1">
      <c r="A47" s="82" t="s">
        <v>9284</v>
      </c>
      <c r="B47" s="82" t="s">
        <v>957</v>
      </c>
      <c r="C47" s="82" t="s">
        <v>12851</v>
      </c>
      <c r="D47" s="83">
        <v>50.0</v>
      </c>
      <c r="E47" s="92">
        <v>50.0</v>
      </c>
      <c r="F47" s="288" t="s">
        <v>964</v>
      </c>
    </row>
    <row r="48" ht="15.0" customHeight="1">
      <c r="A48" s="82" t="s">
        <v>9788</v>
      </c>
      <c r="B48" s="82" t="s">
        <v>147</v>
      </c>
      <c r="C48" s="82" t="s">
        <v>12852</v>
      </c>
      <c r="D48" s="83">
        <v>50.0</v>
      </c>
      <c r="E48" s="274">
        <v>50.0</v>
      </c>
      <c r="F48" s="473" t="s">
        <v>153</v>
      </c>
    </row>
    <row r="49" ht="15.0" customHeight="1">
      <c r="A49" s="82" t="s">
        <v>9788</v>
      </c>
      <c r="B49" s="82" t="s">
        <v>147</v>
      </c>
      <c r="C49" s="82" t="s">
        <v>12853</v>
      </c>
      <c r="D49" s="83">
        <v>50.0</v>
      </c>
      <c r="E49" s="274">
        <v>50.0</v>
      </c>
      <c r="F49" s="473" t="s">
        <v>153</v>
      </c>
    </row>
    <row r="50" ht="15.0" customHeight="1">
      <c r="A50" s="82" t="s">
        <v>9788</v>
      </c>
      <c r="B50" s="82" t="s">
        <v>147</v>
      </c>
      <c r="C50" s="82" t="s">
        <v>12854</v>
      </c>
      <c r="D50" s="83">
        <v>50.0</v>
      </c>
      <c r="E50" s="274">
        <v>50.0</v>
      </c>
      <c r="F50" s="473" t="s">
        <v>153</v>
      </c>
    </row>
    <row r="51" ht="15.0" customHeight="1">
      <c r="A51" s="82" t="s">
        <v>8304</v>
      </c>
      <c r="B51" s="82" t="s">
        <v>147</v>
      </c>
      <c r="C51" s="82" t="s">
        <v>12813</v>
      </c>
      <c r="D51" s="83">
        <v>50.0</v>
      </c>
      <c r="E51" s="274">
        <v>50.0</v>
      </c>
      <c r="F51" s="473" t="s">
        <v>149</v>
      </c>
    </row>
    <row r="52" ht="15.0" customHeight="1">
      <c r="A52" s="82" t="s">
        <v>8304</v>
      </c>
      <c r="B52" s="82" t="s">
        <v>147</v>
      </c>
      <c r="C52" s="82" t="s">
        <v>12855</v>
      </c>
      <c r="D52" s="83">
        <v>50.0</v>
      </c>
      <c r="E52" s="274">
        <v>50.0</v>
      </c>
      <c r="F52" s="473" t="s">
        <v>149</v>
      </c>
    </row>
    <row r="53" ht="15.0" customHeight="1">
      <c r="A53" s="82" t="s">
        <v>1144</v>
      </c>
      <c r="B53" s="82" t="s">
        <v>147</v>
      </c>
      <c r="C53" s="82" t="s">
        <v>12856</v>
      </c>
      <c r="D53" s="83">
        <v>50.0</v>
      </c>
      <c r="E53" s="274">
        <v>50.0</v>
      </c>
      <c r="F53" s="473" t="s">
        <v>159</v>
      </c>
    </row>
    <row r="54" ht="15.0" customHeight="1">
      <c r="A54" s="82" t="s">
        <v>1144</v>
      </c>
      <c r="B54" s="82" t="s">
        <v>147</v>
      </c>
      <c r="C54" s="82" t="s">
        <v>12857</v>
      </c>
      <c r="D54" s="83">
        <v>50.0</v>
      </c>
      <c r="E54" s="274">
        <v>50.0</v>
      </c>
      <c r="F54" s="473" t="s">
        <v>159</v>
      </c>
    </row>
    <row r="55" ht="15.0" customHeight="1">
      <c r="A55" s="82" t="s">
        <v>1144</v>
      </c>
      <c r="B55" s="82" t="s">
        <v>147</v>
      </c>
      <c r="C55" s="82" t="s">
        <v>12858</v>
      </c>
      <c r="D55" s="83">
        <v>50.0</v>
      </c>
      <c r="E55" s="274">
        <v>50.0</v>
      </c>
      <c r="F55" s="473" t="s">
        <v>159</v>
      </c>
    </row>
    <row r="56" ht="15.0" customHeight="1">
      <c r="A56" s="82" t="s">
        <v>1160</v>
      </c>
      <c r="B56" s="82" t="s">
        <v>147</v>
      </c>
      <c r="C56" s="82" t="s">
        <v>12826</v>
      </c>
      <c r="D56" s="83">
        <v>50.0</v>
      </c>
      <c r="E56" s="274">
        <v>50.0</v>
      </c>
      <c r="F56" s="473" t="s">
        <v>165</v>
      </c>
    </row>
    <row r="57" ht="15.0" customHeight="1">
      <c r="A57" s="82" t="s">
        <v>1160</v>
      </c>
      <c r="B57" s="82" t="s">
        <v>147</v>
      </c>
      <c r="C57" s="82" t="s">
        <v>12830</v>
      </c>
      <c r="D57" s="83">
        <v>50.0</v>
      </c>
      <c r="E57" s="274">
        <v>50.0</v>
      </c>
      <c r="F57" s="473" t="s">
        <v>165</v>
      </c>
    </row>
    <row r="58" ht="15.0" customHeight="1">
      <c r="A58" s="82" t="s">
        <v>1160</v>
      </c>
      <c r="B58" s="82" t="s">
        <v>94</v>
      </c>
      <c r="C58" s="82" t="s">
        <v>12859</v>
      </c>
      <c r="D58" s="83">
        <v>50.0</v>
      </c>
      <c r="E58" s="274">
        <v>50.0</v>
      </c>
      <c r="F58" s="473" t="s">
        <v>165</v>
      </c>
    </row>
    <row r="59" ht="15.0" customHeight="1">
      <c r="A59" s="82" t="s">
        <v>1160</v>
      </c>
      <c r="B59" s="82" t="s">
        <v>147</v>
      </c>
      <c r="C59" s="82" t="s">
        <v>12828</v>
      </c>
      <c r="D59" s="83">
        <v>50.0</v>
      </c>
      <c r="E59" s="274">
        <v>50.0</v>
      </c>
      <c r="F59" s="473" t="s">
        <v>165</v>
      </c>
    </row>
    <row r="60" ht="15.0" customHeight="1">
      <c r="A60" s="82" t="s">
        <v>9310</v>
      </c>
      <c r="B60" s="82" t="s">
        <v>147</v>
      </c>
      <c r="C60" s="82" t="s">
        <v>12860</v>
      </c>
      <c r="D60" s="83">
        <v>50.0</v>
      </c>
      <c r="E60" s="274">
        <v>50.0</v>
      </c>
      <c r="F60" s="473" t="s">
        <v>180</v>
      </c>
    </row>
    <row r="61" ht="15.75" customHeight="1">
      <c r="A61" s="110"/>
      <c r="B61" s="285"/>
      <c r="C61" s="285"/>
      <c r="D61" s="476"/>
      <c r="E61" s="476">
        <f>SUM(E9:E60)</f>
        <v>2600</v>
      </c>
    </row>
    <row r="62" ht="15.75" customHeight="1">
      <c r="A62" s="104"/>
      <c r="B62" s="104"/>
      <c r="C62" s="61"/>
      <c r="D62" s="61"/>
      <c r="E62" s="61"/>
      <c r="F62" s="1"/>
      <c r="G62" s="1"/>
      <c r="H62" s="1"/>
    </row>
    <row r="63" ht="15.75" customHeight="1">
      <c r="A63" s="144" t="s">
        <v>1169</v>
      </c>
      <c r="B63" s="103"/>
      <c r="C63" s="103"/>
      <c r="D63" s="103"/>
      <c r="E63" s="103"/>
      <c r="F63" s="103"/>
      <c r="G63" s="103"/>
      <c r="H63" s="103"/>
      <c r="I63" s="104"/>
      <c r="J63" s="104"/>
      <c r="K63" s="104"/>
      <c r="L63" s="104"/>
      <c r="M63" s="104"/>
      <c r="N63" s="104"/>
      <c r="O63" s="104"/>
      <c r="P63" s="104"/>
      <c r="Q63" s="104"/>
      <c r="R63" s="104"/>
      <c r="S63" s="104"/>
      <c r="T63" s="104"/>
      <c r="U63" s="104"/>
      <c r="V63" s="104"/>
      <c r="W63" s="104"/>
      <c r="X63" s="104"/>
      <c r="Y63" s="104"/>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63:H63"/>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8.0"/>
    <col customWidth="1" min="15" max="25" width="8.0"/>
  </cols>
  <sheetData>
    <row r="1">
      <c r="A1" s="104"/>
      <c r="B1" s="104"/>
      <c r="C1" s="61"/>
      <c r="D1" s="61"/>
      <c r="E1" s="61"/>
      <c r="F1" s="1"/>
      <c r="G1" s="1"/>
      <c r="H1" s="1"/>
    </row>
    <row r="2" ht="15.75" customHeight="1">
      <c r="A2" s="581" t="s">
        <v>12861</v>
      </c>
      <c r="B2" s="103"/>
      <c r="C2" s="103"/>
      <c r="D2" s="103"/>
      <c r="E2" s="103"/>
      <c r="F2" s="103"/>
      <c r="G2" s="103"/>
      <c r="H2" s="103"/>
      <c r="I2" s="103"/>
      <c r="J2" s="103"/>
      <c r="K2" s="103"/>
      <c r="L2" s="103"/>
      <c r="M2" s="103"/>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21.0" customHeight="1">
      <c r="A4" s="128" t="s">
        <v>12862</v>
      </c>
      <c r="B4" s="64"/>
      <c r="C4" s="64"/>
      <c r="D4" s="64"/>
      <c r="E4" s="64"/>
      <c r="F4" s="64"/>
      <c r="G4" s="64"/>
      <c r="H4" s="64"/>
      <c r="I4" s="64"/>
      <c r="J4" s="64"/>
      <c r="K4" s="64"/>
      <c r="L4" s="64"/>
      <c r="M4" s="65"/>
      <c r="N4" s="107"/>
      <c r="O4" s="107"/>
      <c r="P4" s="107"/>
      <c r="Q4" s="107"/>
      <c r="R4" s="107"/>
      <c r="S4" s="107"/>
      <c r="T4" s="107"/>
      <c r="U4" s="107"/>
      <c r="V4" s="107"/>
      <c r="W4" s="107"/>
      <c r="X4" s="107"/>
      <c r="Y4" s="107"/>
    </row>
    <row r="5" ht="27.0" customHeight="1">
      <c r="A5" s="226" t="s">
        <v>5664</v>
      </c>
      <c r="B5" s="64"/>
      <c r="C5" s="64"/>
      <c r="D5" s="64"/>
      <c r="E5" s="64"/>
      <c r="F5" s="64"/>
      <c r="G5" s="64"/>
      <c r="H5" s="64"/>
      <c r="I5" s="64"/>
      <c r="J5" s="64"/>
      <c r="K5" s="64"/>
      <c r="L5" s="64"/>
      <c r="M5" s="65"/>
      <c r="N5" s="107"/>
      <c r="O5" s="107"/>
      <c r="P5" s="107"/>
      <c r="Q5" s="107"/>
      <c r="R5" s="107"/>
      <c r="S5" s="107"/>
      <c r="T5" s="107"/>
      <c r="U5" s="107"/>
      <c r="V5" s="107"/>
      <c r="W5" s="107"/>
      <c r="X5" s="107"/>
      <c r="Y5" s="107"/>
    </row>
    <row r="6" ht="30.0" customHeight="1">
      <c r="A6" s="226" t="s">
        <v>12863</v>
      </c>
      <c r="B6" s="64"/>
      <c r="C6" s="64"/>
      <c r="D6" s="64"/>
      <c r="E6" s="64"/>
      <c r="F6" s="64"/>
      <c r="G6" s="64"/>
      <c r="H6" s="64"/>
      <c r="I6" s="64"/>
      <c r="J6" s="64"/>
      <c r="K6" s="64"/>
      <c r="L6" s="64"/>
      <c r="M6" s="65"/>
      <c r="N6" s="107"/>
      <c r="O6" s="107"/>
      <c r="P6" s="107"/>
      <c r="Q6" s="107"/>
      <c r="R6" s="107"/>
      <c r="S6" s="107"/>
      <c r="T6" s="107"/>
      <c r="U6" s="107"/>
      <c r="V6" s="107"/>
      <c r="W6" s="107"/>
      <c r="X6" s="107"/>
      <c r="Y6" s="107"/>
    </row>
    <row r="7" ht="29.25" customHeight="1">
      <c r="A7" s="226" t="s">
        <v>12864</v>
      </c>
      <c r="B7" s="64"/>
      <c r="C7" s="64"/>
      <c r="D7" s="64"/>
      <c r="E7" s="64"/>
      <c r="F7" s="64"/>
      <c r="G7" s="64"/>
      <c r="H7" s="64"/>
      <c r="I7" s="64"/>
      <c r="J7" s="64"/>
      <c r="K7" s="64"/>
      <c r="L7" s="64"/>
      <c r="M7" s="65"/>
      <c r="N7" s="107"/>
      <c r="O7" s="107"/>
      <c r="P7" s="107"/>
      <c r="Q7" s="107"/>
      <c r="R7" s="107"/>
      <c r="S7" s="107"/>
      <c r="T7" s="107"/>
      <c r="U7" s="107"/>
      <c r="V7" s="107"/>
      <c r="W7" s="107"/>
      <c r="X7" s="107"/>
      <c r="Y7" s="107"/>
    </row>
    <row r="8" ht="18.75" customHeight="1">
      <c r="A8" s="226" t="s">
        <v>5667</v>
      </c>
      <c r="B8" s="64"/>
      <c r="C8" s="64"/>
      <c r="D8" s="64"/>
      <c r="E8" s="64"/>
      <c r="F8" s="64"/>
      <c r="G8" s="64"/>
      <c r="H8" s="64"/>
      <c r="I8" s="64"/>
      <c r="J8" s="64"/>
      <c r="K8" s="64"/>
      <c r="L8" s="64"/>
      <c r="M8" s="65"/>
      <c r="N8" s="107"/>
      <c r="O8" s="107"/>
      <c r="P8" s="107"/>
      <c r="Q8" s="107"/>
      <c r="R8" s="107"/>
      <c r="S8" s="107"/>
      <c r="T8" s="107"/>
      <c r="U8" s="107"/>
      <c r="V8" s="107"/>
      <c r="W8" s="107"/>
      <c r="X8" s="107"/>
      <c r="Y8" s="107"/>
    </row>
    <row r="9" ht="44.25" customHeight="1">
      <c r="A9" s="226" t="s">
        <v>12865</v>
      </c>
      <c r="B9" s="64"/>
      <c r="C9" s="64"/>
      <c r="D9" s="64"/>
      <c r="E9" s="64"/>
      <c r="F9" s="64"/>
      <c r="G9" s="64"/>
      <c r="H9" s="64"/>
      <c r="I9" s="64"/>
      <c r="J9" s="64"/>
      <c r="K9" s="64"/>
      <c r="L9" s="64"/>
      <c r="M9" s="65"/>
      <c r="N9" s="107"/>
      <c r="O9" s="107"/>
      <c r="P9" s="107"/>
      <c r="Q9" s="107"/>
      <c r="R9" s="107"/>
      <c r="S9" s="107"/>
      <c r="T9" s="107"/>
      <c r="U9" s="107"/>
      <c r="V9" s="107"/>
      <c r="W9" s="107"/>
      <c r="X9" s="107"/>
      <c r="Y9" s="107"/>
    </row>
    <row r="10" ht="26.25" customHeight="1">
      <c r="A10" s="226" t="s">
        <v>12866</v>
      </c>
      <c r="B10" s="64"/>
      <c r="C10" s="64"/>
      <c r="D10" s="64"/>
      <c r="E10" s="64"/>
      <c r="F10" s="64"/>
      <c r="G10" s="64"/>
      <c r="H10" s="64"/>
      <c r="I10" s="64"/>
      <c r="J10" s="64"/>
      <c r="K10" s="64"/>
      <c r="L10" s="64"/>
      <c r="M10" s="65"/>
      <c r="N10" s="107"/>
      <c r="O10" s="107"/>
      <c r="P10" s="107"/>
      <c r="Q10" s="107"/>
      <c r="R10" s="107"/>
      <c r="S10" s="107"/>
      <c r="T10" s="107"/>
      <c r="U10" s="107"/>
      <c r="V10" s="107"/>
      <c r="W10" s="107"/>
      <c r="X10" s="107"/>
      <c r="Y10" s="107"/>
    </row>
    <row r="11" ht="72.0" customHeight="1">
      <c r="A11" s="477" t="s">
        <v>12867</v>
      </c>
      <c r="B11" s="64"/>
      <c r="C11" s="64"/>
      <c r="D11" s="64"/>
      <c r="E11" s="64"/>
      <c r="F11" s="64"/>
      <c r="G11" s="64"/>
      <c r="H11" s="64"/>
      <c r="I11" s="64"/>
      <c r="J11" s="64"/>
      <c r="K11" s="64"/>
      <c r="L11" s="64"/>
      <c r="M11" s="65"/>
      <c r="N11" s="107"/>
      <c r="O11" s="107"/>
      <c r="P11" s="107"/>
      <c r="Q11" s="107"/>
      <c r="R11" s="107"/>
      <c r="S11" s="107"/>
      <c r="T11" s="107"/>
      <c r="U11" s="107"/>
      <c r="V11" s="107"/>
      <c r="W11" s="107"/>
      <c r="X11" s="107"/>
      <c r="Y11" s="107"/>
    </row>
    <row r="12">
      <c r="A12" s="109"/>
      <c r="B12" s="109"/>
      <c r="C12" s="110"/>
      <c r="D12" s="110"/>
      <c r="E12" s="110"/>
      <c r="F12" s="109"/>
      <c r="G12" s="109"/>
      <c r="H12" s="109"/>
      <c r="I12" s="107"/>
      <c r="J12" s="107"/>
      <c r="K12" s="107"/>
      <c r="L12" s="107"/>
      <c r="M12" s="107"/>
      <c r="N12" s="107"/>
      <c r="O12" s="107"/>
      <c r="P12" s="107"/>
      <c r="Q12" s="107"/>
      <c r="R12" s="107"/>
      <c r="S12" s="107"/>
      <c r="T12" s="107"/>
      <c r="U12" s="107"/>
      <c r="V12" s="107"/>
      <c r="W12" s="107"/>
      <c r="X12" s="107"/>
      <c r="Y12" s="107"/>
    </row>
    <row r="13" ht="61.5" customHeight="1">
      <c r="A13" s="131" t="s">
        <v>8944</v>
      </c>
      <c r="B13" s="228" t="s">
        <v>5672</v>
      </c>
      <c r="C13" s="132" t="s">
        <v>8</v>
      </c>
      <c r="D13" s="271" t="s">
        <v>5673</v>
      </c>
      <c r="E13" s="228" t="s">
        <v>5674</v>
      </c>
      <c r="F13" s="228" t="s">
        <v>212</v>
      </c>
      <c r="G13" s="228" t="s">
        <v>5675</v>
      </c>
      <c r="H13" s="228" t="s">
        <v>5676</v>
      </c>
      <c r="I13" s="112" t="s">
        <v>214</v>
      </c>
      <c r="J13" s="112" t="s">
        <v>215</v>
      </c>
      <c r="K13" s="112" t="s">
        <v>216</v>
      </c>
      <c r="L13" s="131" t="s">
        <v>217</v>
      </c>
      <c r="M13" s="131" t="s">
        <v>221</v>
      </c>
      <c r="N13" s="113" t="s">
        <v>222</v>
      </c>
      <c r="O13" s="107"/>
      <c r="P13" s="107"/>
      <c r="Q13" s="107"/>
      <c r="R13" s="107"/>
      <c r="S13" s="107"/>
      <c r="T13" s="107"/>
      <c r="U13" s="107"/>
      <c r="V13" s="107"/>
      <c r="W13" s="107"/>
      <c r="X13" s="107"/>
      <c r="Y13" s="107"/>
    </row>
    <row r="14" ht="15.75" customHeight="1">
      <c r="A14" s="288" t="s">
        <v>12868</v>
      </c>
      <c r="B14" s="288" t="s">
        <v>12869</v>
      </c>
      <c r="C14" s="288" t="s">
        <v>94</v>
      </c>
      <c r="D14" s="313" t="s">
        <v>12870</v>
      </c>
      <c r="E14" s="293" t="s">
        <v>12871</v>
      </c>
      <c r="F14" s="509">
        <v>2023.0</v>
      </c>
      <c r="G14" s="509"/>
      <c r="H14" s="582">
        <v>312.0</v>
      </c>
      <c r="I14" s="290"/>
      <c r="J14" s="290">
        <v>2.0</v>
      </c>
      <c r="K14" s="290">
        <v>2.0</v>
      </c>
      <c r="L14" s="473">
        <v>624.0</v>
      </c>
      <c r="M14" s="473">
        <v>312.0</v>
      </c>
      <c r="N14" s="288" t="s">
        <v>2853</v>
      </c>
    </row>
    <row r="15" ht="15.75" customHeight="1">
      <c r="A15" s="288" t="s">
        <v>12872</v>
      </c>
      <c r="B15" s="288" t="s">
        <v>12873</v>
      </c>
      <c r="C15" s="288" t="s">
        <v>94</v>
      </c>
      <c r="D15" s="313" t="s">
        <v>12874</v>
      </c>
      <c r="E15" s="293" t="s">
        <v>12875</v>
      </c>
      <c r="F15" s="509">
        <v>2023.0</v>
      </c>
      <c r="G15" s="509" t="s">
        <v>5725</v>
      </c>
      <c r="H15" s="583">
        <v>312.0</v>
      </c>
      <c r="I15" s="509">
        <v>2.0</v>
      </c>
      <c r="J15" s="509">
        <v>2.0</v>
      </c>
      <c r="K15" s="509">
        <v>2.0</v>
      </c>
      <c r="L15" s="288">
        <v>624.0</v>
      </c>
      <c r="M15" s="288">
        <v>312.0</v>
      </c>
      <c r="N15" s="288" t="s">
        <v>954</v>
      </c>
    </row>
    <row r="16" ht="15.75" customHeight="1">
      <c r="A16" s="288" t="s">
        <v>12876</v>
      </c>
      <c r="B16" s="288" t="s">
        <v>12877</v>
      </c>
      <c r="C16" s="288" t="s">
        <v>94</v>
      </c>
      <c r="D16" s="313" t="s">
        <v>12874</v>
      </c>
      <c r="E16" s="293" t="s">
        <v>12878</v>
      </c>
      <c r="F16" s="509">
        <v>2023.0</v>
      </c>
      <c r="G16" s="509" t="s">
        <v>5725</v>
      </c>
      <c r="H16" s="510">
        <v>160.0</v>
      </c>
      <c r="I16" s="509">
        <v>1.0</v>
      </c>
      <c r="J16" s="509">
        <v>1.0</v>
      </c>
      <c r="K16" s="509">
        <v>1.0</v>
      </c>
      <c r="L16" s="288">
        <v>160.0</v>
      </c>
      <c r="M16" s="288">
        <v>160.0</v>
      </c>
      <c r="N16" s="288" t="s">
        <v>954</v>
      </c>
    </row>
    <row r="17" ht="15.0" customHeight="1">
      <c r="A17" s="288" t="s">
        <v>12879</v>
      </c>
      <c r="B17" s="288" t="s">
        <v>9313</v>
      </c>
      <c r="C17" s="288" t="s">
        <v>5753</v>
      </c>
      <c r="D17" s="313" t="s">
        <v>5754</v>
      </c>
      <c r="E17" s="293" t="s">
        <v>12880</v>
      </c>
      <c r="F17" s="509">
        <v>2023.0</v>
      </c>
      <c r="G17" s="509" t="s">
        <v>12881</v>
      </c>
      <c r="H17" s="583">
        <v>151.0</v>
      </c>
      <c r="I17" s="290">
        <v>1.0</v>
      </c>
      <c r="J17" s="290">
        <v>1.0</v>
      </c>
      <c r="K17" s="290">
        <v>1.0</v>
      </c>
      <c r="L17" s="473" t="s">
        <v>12882</v>
      </c>
      <c r="M17" s="584">
        <v>302.0</v>
      </c>
      <c r="N17" s="564" t="s">
        <v>174</v>
      </c>
    </row>
    <row r="18" ht="13.5" customHeight="1">
      <c r="A18" s="288" t="s">
        <v>12883</v>
      </c>
      <c r="B18" s="288" t="s">
        <v>12884</v>
      </c>
      <c r="C18" s="288" t="s">
        <v>147</v>
      </c>
      <c r="D18" s="313" t="s">
        <v>12885</v>
      </c>
      <c r="E18" s="293" t="s">
        <v>12886</v>
      </c>
      <c r="F18" s="509">
        <v>2023.0</v>
      </c>
      <c r="G18" s="509"/>
      <c r="H18" s="510">
        <v>148.0</v>
      </c>
      <c r="I18" s="290">
        <v>5.0</v>
      </c>
      <c r="J18" s="290">
        <v>1.0</v>
      </c>
      <c r="K18" s="290">
        <v>5.0</v>
      </c>
      <c r="L18" s="473">
        <v>286.0</v>
      </c>
      <c r="M18" s="585">
        <v>60.0</v>
      </c>
      <c r="N18" s="473" t="s">
        <v>12887</v>
      </c>
    </row>
    <row r="19">
      <c r="A19" s="193" t="s">
        <v>185</v>
      </c>
      <c r="B19" s="61"/>
      <c r="C19" s="61"/>
      <c r="D19" s="61"/>
      <c r="E19" s="106"/>
      <c r="F19" s="283"/>
      <c r="G19" s="283"/>
      <c r="M19" s="283">
        <f>SUM(M14:M18)</f>
        <v>1146</v>
      </c>
    </row>
    <row r="20">
      <c r="A20" s="104"/>
      <c r="B20" s="104"/>
      <c r="C20" s="61"/>
      <c r="D20" s="61"/>
      <c r="E20" s="61"/>
      <c r="F20" s="1"/>
      <c r="G20" s="1"/>
      <c r="H20" s="1"/>
    </row>
    <row r="21" ht="15.75" customHeight="1">
      <c r="A21" s="144" t="s">
        <v>1169</v>
      </c>
      <c r="B21" s="103"/>
      <c r="C21" s="103"/>
      <c r="D21" s="103"/>
      <c r="E21" s="103"/>
      <c r="F21" s="103"/>
      <c r="G21" s="103"/>
      <c r="H21" s="103"/>
      <c r="I21" s="104"/>
      <c r="J21" s="104"/>
      <c r="K21" s="104"/>
      <c r="L21" s="104"/>
      <c r="M21" s="104"/>
      <c r="N21" s="104"/>
      <c r="O21" s="104"/>
      <c r="P21" s="104"/>
      <c r="Q21" s="104"/>
      <c r="R21" s="104"/>
      <c r="S21" s="104"/>
      <c r="T21" s="104"/>
      <c r="U21" s="104"/>
      <c r="V21" s="104"/>
      <c r="W21" s="104"/>
      <c r="X21" s="104"/>
      <c r="Y21" s="104"/>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1:H21"/>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57"/>
    <col customWidth="1" min="3" max="3" width="30.0"/>
    <col customWidth="1" min="4" max="4" width="17.71"/>
    <col customWidth="1" min="5" max="5" width="26.43"/>
    <col customWidth="1" min="6" max="6" width="28.57"/>
    <col customWidth="1" min="7" max="8" width="13.71"/>
    <col customWidth="1" min="9" max="25" width="8.0"/>
  </cols>
  <sheetData>
    <row r="1">
      <c r="A1" s="104"/>
      <c r="B1" s="104"/>
      <c r="C1" s="61"/>
      <c r="D1" s="61"/>
      <c r="E1" s="61"/>
      <c r="F1" s="1"/>
      <c r="G1" s="1"/>
      <c r="H1" s="1"/>
    </row>
    <row r="2" ht="15.75" customHeight="1">
      <c r="A2" s="586" t="s">
        <v>12888</v>
      </c>
      <c r="B2" s="64"/>
      <c r="C2" s="64"/>
      <c r="D2" s="64"/>
      <c r="E2" s="65"/>
      <c r="F2" s="474"/>
      <c r="G2" s="474"/>
      <c r="H2" s="474"/>
      <c r="I2" s="107"/>
      <c r="J2" s="107"/>
      <c r="K2" s="107"/>
      <c r="L2" s="107"/>
      <c r="M2" s="107"/>
      <c r="N2" s="107"/>
      <c r="O2" s="107"/>
      <c r="P2" s="107"/>
      <c r="Q2" s="107"/>
      <c r="R2" s="107"/>
      <c r="S2" s="107"/>
      <c r="T2" s="107"/>
      <c r="U2" s="107"/>
      <c r="V2" s="107"/>
      <c r="W2" s="107"/>
      <c r="X2" s="107"/>
      <c r="Y2" s="107"/>
    </row>
    <row r="3" ht="15.75" customHeight="1">
      <c r="A3" s="145"/>
      <c r="B3" s="145"/>
      <c r="C3" s="145"/>
      <c r="D3" s="145"/>
      <c r="E3" s="475"/>
      <c r="F3" s="474"/>
      <c r="G3" s="474"/>
      <c r="H3" s="474"/>
      <c r="I3" s="107"/>
      <c r="J3" s="107"/>
      <c r="K3" s="107"/>
      <c r="L3" s="107"/>
      <c r="M3" s="107"/>
      <c r="N3" s="107"/>
      <c r="O3" s="107"/>
      <c r="P3" s="107"/>
      <c r="Q3" s="107"/>
      <c r="R3" s="107"/>
      <c r="S3" s="107"/>
      <c r="T3" s="107"/>
      <c r="U3" s="107"/>
      <c r="V3" s="107"/>
      <c r="W3" s="107"/>
      <c r="X3" s="107"/>
      <c r="Y3" s="107"/>
    </row>
    <row r="4" ht="18.0" customHeight="1">
      <c r="A4" s="128" t="s">
        <v>12889</v>
      </c>
      <c r="B4" s="64"/>
      <c r="C4" s="64"/>
      <c r="D4" s="64"/>
      <c r="E4" s="65"/>
      <c r="F4" s="474"/>
      <c r="G4" s="474"/>
      <c r="H4" s="474"/>
      <c r="I4" s="107"/>
      <c r="J4" s="107"/>
      <c r="K4" s="107"/>
      <c r="L4" s="107"/>
      <c r="M4" s="107"/>
      <c r="N4" s="107"/>
      <c r="O4" s="107"/>
      <c r="P4" s="107"/>
      <c r="Q4" s="107"/>
      <c r="R4" s="107"/>
      <c r="S4" s="107"/>
      <c r="T4" s="107"/>
      <c r="U4" s="107"/>
      <c r="V4" s="107"/>
      <c r="W4" s="107"/>
      <c r="X4" s="107"/>
      <c r="Y4" s="107"/>
    </row>
    <row r="5" ht="15.0" customHeight="1">
      <c r="A5" s="226" t="s">
        <v>12890</v>
      </c>
      <c r="B5" s="64"/>
      <c r="C5" s="64"/>
      <c r="D5" s="64"/>
      <c r="E5" s="65"/>
      <c r="F5" s="474"/>
      <c r="G5" s="474"/>
      <c r="H5" s="474"/>
      <c r="I5" s="107"/>
      <c r="J5" s="107"/>
      <c r="K5" s="107"/>
      <c r="L5" s="107"/>
      <c r="M5" s="107"/>
      <c r="N5" s="107"/>
      <c r="O5" s="107"/>
      <c r="P5" s="107"/>
      <c r="Q5" s="107"/>
      <c r="R5" s="107"/>
      <c r="S5" s="107"/>
      <c r="T5" s="107"/>
      <c r="U5" s="107"/>
      <c r="V5" s="107"/>
      <c r="W5" s="107"/>
      <c r="X5" s="107"/>
      <c r="Y5" s="107"/>
    </row>
    <row r="6" ht="104.25" customHeight="1">
      <c r="A6" s="226" t="s">
        <v>12891</v>
      </c>
      <c r="B6" s="64"/>
      <c r="C6" s="64"/>
      <c r="D6" s="64"/>
      <c r="E6" s="65"/>
      <c r="F6" s="474"/>
      <c r="G6" s="474"/>
      <c r="H6" s="474"/>
      <c r="I6" s="107"/>
      <c r="J6" s="107"/>
      <c r="K6" s="107"/>
      <c r="L6" s="107"/>
      <c r="M6" s="107"/>
      <c r="N6" s="107"/>
      <c r="O6" s="107"/>
      <c r="P6" s="107"/>
      <c r="Q6" s="107"/>
      <c r="R6" s="107"/>
      <c r="S6" s="107"/>
      <c r="T6" s="107"/>
      <c r="U6" s="107"/>
      <c r="V6" s="107"/>
      <c r="W6" s="107"/>
      <c r="X6" s="107"/>
      <c r="Y6" s="107"/>
    </row>
    <row r="7" ht="56.25" customHeight="1">
      <c r="A7" s="226" t="s">
        <v>12892</v>
      </c>
      <c r="B7" s="64"/>
      <c r="C7" s="64"/>
      <c r="D7" s="64"/>
      <c r="E7" s="65"/>
      <c r="F7" s="474"/>
      <c r="G7" s="474"/>
      <c r="H7" s="474"/>
      <c r="I7" s="107"/>
      <c r="J7" s="107"/>
      <c r="K7" s="107"/>
      <c r="L7" s="107"/>
      <c r="M7" s="107"/>
      <c r="N7" s="107"/>
      <c r="O7" s="107"/>
      <c r="P7" s="107"/>
      <c r="Q7" s="107"/>
      <c r="R7" s="107"/>
      <c r="S7" s="107"/>
      <c r="T7" s="107"/>
      <c r="U7" s="107"/>
      <c r="V7" s="107"/>
      <c r="W7" s="107"/>
      <c r="X7" s="107"/>
      <c r="Y7" s="107"/>
    </row>
    <row r="8" ht="17.25" customHeight="1">
      <c r="A8" s="226" t="s">
        <v>12893</v>
      </c>
      <c r="B8" s="64"/>
      <c r="C8" s="64"/>
      <c r="D8" s="64"/>
      <c r="E8" s="65"/>
      <c r="F8" s="474"/>
      <c r="G8" s="474"/>
      <c r="H8" s="474"/>
      <c r="I8" s="107"/>
      <c r="J8" s="107"/>
      <c r="K8" s="107"/>
      <c r="L8" s="107"/>
      <c r="M8" s="107"/>
      <c r="N8" s="107"/>
      <c r="O8" s="107"/>
      <c r="P8" s="107"/>
      <c r="Q8" s="107"/>
      <c r="R8" s="107"/>
      <c r="S8" s="107"/>
      <c r="T8" s="107"/>
      <c r="U8" s="107"/>
      <c r="V8" s="107"/>
      <c r="W8" s="107"/>
      <c r="X8" s="107"/>
      <c r="Y8" s="107"/>
    </row>
    <row r="9" ht="210.0" customHeight="1">
      <c r="A9" s="477" t="s">
        <v>12894</v>
      </c>
      <c r="B9" s="64"/>
      <c r="C9" s="64"/>
      <c r="D9" s="64"/>
      <c r="E9" s="65"/>
      <c r="F9" s="474"/>
      <c r="G9" s="474"/>
      <c r="H9" s="474"/>
      <c r="I9" s="107"/>
      <c r="J9" s="107"/>
      <c r="K9" s="107"/>
      <c r="L9" s="107"/>
      <c r="M9" s="107"/>
      <c r="N9" s="107"/>
      <c r="O9" s="107"/>
      <c r="P9" s="107"/>
      <c r="Q9" s="107"/>
      <c r="R9" s="107"/>
      <c r="S9" s="107"/>
      <c r="T9" s="107"/>
      <c r="U9" s="107"/>
      <c r="V9" s="107"/>
      <c r="W9" s="107"/>
      <c r="X9" s="107"/>
      <c r="Y9" s="107"/>
    </row>
    <row r="10">
      <c r="A10" s="109"/>
      <c r="B10" s="109"/>
      <c r="C10" s="110"/>
      <c r="D10" s="110"/>
      <c r="E10" s="110"/>
      <c r="F10" s="109"/>
      <c r="G10" s="109"/>
      <c r="H10" s="109"/>
      <c r="I10" s="107"/>
      <c r="J10" s="107"/>
      <c r="K10" s="107"/>
      <c r="L10" s="107"/>
      <c r="M10" s="107"/>
      <c r="N10" s="107"/>
      <c r="O10" s="107"/>
      <c r="P10" s="107"/>
      <c r="Q10" s="107"/>
      <c r="R10" s="107"/>
      <c r="S10" s="107"/>
      <c r="T10" s="107"/>
      <c r="U10" s="107"/>
      <c r="V10" s="107"/>
      <c r="W10" s="107"/>
      <c r="X10" s="107"/>
      <c r="Y10" s="107"/>
    </row>
    <row r="11" ht="61.5" customHeight="1">
      <c r="A11" s="228" t="s">
        <v>5174</v>
      </c>
      <c r="B11" s="132" t="s">
        <v>8</v>
      </c>
      <c r="C11" s="132" t="s">
        <v>12895</v>
      </c>
      <c r="D11" s="131" t="s">
        <v>217</v>
      </c>
      <c r="E11" s="131" t="s">
        <v>221</v>
      </c>
      <c r="F11" s="113" t="s">
        <v>222</v>
      </c>
      <c r="I11" s="107"/>
      <c r="J11" s="107"/>
      <c r="K11" s="107"/>
      <c r="L11" s="107"/>
      <c r="M11" s="107"/>
      <c r="N11" s="107"/>
      <c r="O11" s="107"/>
      <c r="P11" s="107"/>
      <c r="Q11" s="107"/>
      <c r="R11" s="107"/>
      <c r="S11" s="107"/>
      <c r="T11" s="107"/>
      <c r="U11" s="107"/>
      <c r="V11" s="107"/>
      <c r="W11" s="107"/>
      <c r="X11" s="107"/>
      <c r="Y11" s="107"/>
    </row>
    <row r="12" ht="15.75" customHeight="1">
      <c r="A12" s="82" t="s">
        <v>61</v>
      </c>
      <c r="B12" s="82" t="s">
        <v>52</v>
      </c>
      <c r="C12" s="82" t="s">
        <v>12896</v>
      </c>
      <c r="D12" s="83">
        <v>100.0</v>
      </c>
      <c r="E12" s="92">
        <v>100.0</v>
      </c>
      <c r="F12" s="288" t="s">
        <v>61</v>
      </c>
    </row>
    <row r="13" ht="15.75" customHeight="1">
      <c r="A13" s="82" t="s">
        <v>12897</v>
      </c>
      <c r="B13" s="82" t="s">
        <v>52</v>
      </c>
      <c r="C13" s="82" t="s">
        <v>12898</v>
      </c>
      <c r="D13" s="83">
        <v>8.0</v>
      </c>
      <c r="E13" s="83">
        <v>8.0</v>
      </c>
      <c r="F13" s="288" t="s">
        <v>79</v>
      </c>
    </row>
    <row r="14" ht="15.75" customHeight="1">
      <c r="A14" s="82" t="s">
        <v>7526</v>
      </c>
      <c r="B14" s="82" t="s">
        <v>52</v>
      </c>
      <c r="C14" s="82" t="s">
        <v>12899</v>
      </c>
      <c r="D14" s="83">
        <v>400.0</v>
      </c>
      <c r="E14" s="92">
        <v>400.0</v>
      </c>
      <c r="F14" s="288" t="s">
        <v>51</v>
      </c>
    </row>
    <row r="15" ht="15.0" customHeight="1">
      <c r="A15" s="82" t="s">
        <v>7526</v>
      </c>
      <c r="B15" s="82" t="s">
        <v>52</v>
      </c>
      <c r="C15" s="82" t="s">
        <v>12900</v>
      </c>
      <c r="D15" s="83">
        <v>100.0</v>
      </c>
      <c r="E15" s="92">
        <v>100.0</v>
      </c>
      <c r="F15" s="288" t="s">
        <v>51</v>
      </c>
    </row>
    <row r="16" ht="15.0" customHeight="1">
      <c r="A16" s="82" t="s">
        <v>73</v>
      </c>
      <c r="B16" s="82" t="s">
        <v>52</v>
      </c>
      <c r="C16" s="82" t="s">
        <v>12901</v>
      </c>
      <c r="D16" s="83">
        <v>8.0</v>
      </c>
      <c r="E16" s="92">
        <v>8.0</v>
      </c>
      <c r="F16" s="288" t="s">
        <v>73</v>
      </c>
    </row>
    <row r="17" ht="15.0" customHeight="1">
      <c r="A17" s="82" t="s">
        <v>73</v>
      </c>
      <c r="B17" s="82" t="s">
        <v>52</v>
      </c>
      <c r="C17" s="82" t="s">
        <v>12902</v>
      </c>
      <c r="D17" s="83">
        <v>8.0</v>
      </c>
      <c r="E17" s="92">
        <v>8.0</v>
      </c>
      <c r="F17" s="288" t="s">
        <v>73</v>
      </c>
    </row>
    <row r="18" ht="15.0" customHeight="1">
      <c r="A18" s="82" t="s">
        <v>73</v>
      </c>
      <c r="B18" s="82" t="s">
        <v>52</v>
      </c>
      <c r="C18" s="82" t="s">
        <v>12903</v>
      </c>
      <c r="D18" s="83">
        <v>8.0</v>
      </c>
      <c r="E18" s="92">
        <v>8.0</v>
      </c>
      <c r="F18" s="288" t="s">
        <v>73</v>
      </c>
    </row>
    <row r="19" ht="15.0" customHeight="1">
      <c r="A19" s="82" t="s">
        <v>73</v>
      </c>
      <c r="B19" s="82" t="s">
        <v>52</v>
      </c>
      <c r="C19" s="82" t="s">
        <v>12904</v>
      </c>
      <c r="D19" s="83">
        <v>100.0</v>
      </c>
      <c r="E19" s="92">
        <v>100.0</v>
      </c>
      <c r="F19" s="288" t="s">
        <v>73</v>
      </c>
    </row>
    <row r="20" ht="15.0" customHeight="1">
      <c r="A20" s="82" t="s">
        <v>58</v>
      </c>
      <c r="B20" s="82" t="s">
        <v>52</v>
      </c>
      <c r="C20" s="82" t="s">
        <v>12905</v>
      </c>
      <c r="D20" s="83">
        <v>100.0</v>
      </c>
      <c r="E20" s="92">
        <v>100.0</v>
      </c>
      <c r="F20" s="288" t="s">
        <v>58</v>
      </c>
    </row>
    <row r="21" ht="15.0" customHeight="1">
      <c r="A21" s="82" t="s">
        <v>75</v>
      </c>
      <c r="B21" s="82" t="s">
        <v>52</v>
      </c>
      <c r="C21" s="82" t="s">
        <v>12906</v>
      </c>
      <c r="D21" s="83">
        <v>50.0</v>
      </c>
      <c r="E21" s="92">
        <v>50.0</v>
      </c>
      <c r="F21" s="288" t="s">
        <v>75</v>
      </c>
    </row>
    <row r="22" ht="15.0" customHeight="1">
      <c r="A22" s="82" t="s">
        <v>9203</v>
      </c>
      <c r="B22" s="82" t="s">
        <v>52</v>
      </c>
      <c r="C22" s="82" t="s">
        <v>12907</v>
      </c>
      <c r="D22" s="83">
        <v>8.0</v>
      </c>
      <c r="E22" s="92">
        <v>8.0</v>
      </c>
      <c r="F22" s="288" t="s">
        <v>1764</v>
      </c>
    </row>
    <row r="23" ht="15.0" customHeight="1">
      <c r="A23" s="82" t="s">
        <v>9203</v>
      </c>
      <c r="B23" s="82" t="s">
        <v>52</v>
      </c>
      <c r="C23" s="82" t="s">
        <v>12908</v>
      </c>
      <c r="D23" s="83">
        <v>8.0</v>
      </c>
      <c r="E23" s="92">
        <v>8.0</v>
      </c>
      <c r="F23" s="288" t="s">
        <v>1764</v>
      </c>
    </row>
    <row r="24" ht="15.0" customHeight="1">
      <c r="A24" s="82" t="s">
        <v>9203</v>
      </c>
      <c r="B24" s="82" t="s">
        <v>9236</v>
      </c>
      <c r="C24" s="82" t="s">
        <v>12909</v>
      </c>
      <c r="D24" s="83">
        <v>20.0</v>
      </c>
      <c r="E24" s="92">
        <v>20.0</v>
      </c>
      <c r="F24" s="288" t="s">
        <v>1764</v>
      </c>
    </row>
    <row r="25" ht="15.0" customHeight="1">
      <c r="A25" s="82" t="s">
        <v>9205</v>
      </c>
      <c r="B25" s="82" t="s">
        <v>52</v>
      </c>
      <c r="C25" s="82" t="s">
        <v>12910</v>
      </c>
      <c r="D25" s="83">
        <v>80.0</v>
      </c>
      <c r="E25" s="92">
        <f>D25</f>
        <v>80</v>
      </c>
      <c r="F25" s="288" t="s">
        <v>71</v>
      </c>
    </row>
    <row r="26" ht="15.0" customHeight="1">
      <c r="A26" s="82" t="s">
        <v>9205</v>
      </c>
      <c r="B26" s="82" t="s">
        <v>52</v>
      </c>
      <c r="C26" s="82" t="s">
        <v>12911</v>
      </c>
      <c r="D26" s="83">
        <v>100.0</v>
      </c>
      <c r="E26" s="92">
        <v>100.0</v>
      </c>
      <c r="F26" s="288" t="s">
        <v>71</v>
      </c>
    </row>
    <row r="27" ht="15.0" customHeight="1">
      <c r="A27" s="82" t="s">
        <v>9207</v>
      </c>
      <c r="B27" s="82" t="s">
        <v>52</v>
      </c>
      <c r="C27" s="82" t="s">
        <v>12912</v>
      </c>
      <c r="D27" s="83">
        <v>8.0</v>
      </c>
      <c r="E27" s="92">
        <v>8.0</v>
      </c>
      <c r="F27" s="288" t="s">
        <v>296</v>
      </c>
    </row>
    <row r="28" ht="15.0" customHeight="1">
      <c r="A28" s="82" t="s">
        <v>9207</v>
      </c>
      <c r="B28" s="82" t="s">
        <v>52</v>
      </c>
      <c r="C28" s="82" t="s">
        <v>12913</v>
      </c>
      <c r="D28" s="83">
        <v>8.0</v>
      </c>
      <c r="E28" s="92">
        <v>8.0</v>
      </c>
      <c r="F28" s="288" t="s">
        <v>296</v>
      </c>
    </row>
    <row r="29" ht="15.0" customHeight="1">
      <c r="A29" s="82" t="s">
        <v>9207</v>
      </c>
      <c r="B29" s="82" t="s">
        <v>52</v>
      </c>
      <c r="C29" s="82" t="s">
        <v>12914</v>
      </c>
      <c r="D29" s="83">
        <v>8.0</v>
      </c>
      <c r="E29" s="92">
        <v>8.0</v>
      </c>
      <c r="F29" s="288" t="s">
        <v>296</v>
      </c>
    </row>
    <row r="30" ht="15.0" customHeight="1">
      <c r="A30" s="82" t="s">
        <v>9207</v>
      </c>
      <c r="B30" s="82" t="s">
        <v>52</v>
      </c>
      <c r="C30" s="82" t="s">
        <v>12915</v>
      </c>
      <c r="D30" s="83">
        <v>8.0</v>
      </c>
      <c r="E30" s="92">
        <v>8.0</v>
      </c>
      <c r="F30" s="288" t="s">
        <v>296</v>
      </c>
    </row>
    <row r="31" ht="15.0" customHeight="1">
      <c r="A31" s="352" t="s">
        <v>9207</v>
      </c>
      <c r="B31" s="352" t="s">
        <v>52</v>
      </c>
      <c r="C31" s="82" t="s">
        <v>12916</v>
      </c>
      <c r="D31" s="83">
        <v>8.0</v>
      </c>
      <c r="E31" s="92">
        <v>8.0</v>
      </c>
      <c r="F31" s="288" t="s">
        <v>296</v>
      </c>
    </row>
    <row r="32" ht="15.0" customHeight="1">
      <c r="A32" s="352" t="s">
        <v>9207</v>
      </c>
      <c r="B32" s="352" t="s">
        <v>52</v>
      </c>
      <c r="C32" s="424" t="s">
        <v>12917</v>
      </c>
      <c r="D32" s="489">
        <v>8.0</v>
      </c>
      <c r="E32" s="419">
        <v>8.0</v>
      </c>
      <c r="F32" s="288" t="s">
        <v>296</v>
      </c>
    </row>
    <row r="33" ht="15.0" customHeight="1">
      <c r="A33" s="352" t="s">
        <v>9207</v>
      </c>
      <c r="B33" s="352" t="s">
        <v>52</v>
      </c>
      <c r="C33" s="424" t="s">
        <v>12904</v>
      </c>
      <c r="D33" s="489">
        <v>100.0</v>
      </c>
      <c r="E33" s="419">
        <v>100.0</v>
      </c>
      <c r="F33" s="288" t="s">
        <v>296</v>
      </c>
    </row>
    <row r="34" ht="15.0" customHeight="1">
      <c r="A34" s="82" t="s">
        <v>7653</v>
      </c>
      <c r="B34" s="82" t="s">
        <v>52</v>
      </c>
      <c r="C34" s="82" t="s">
        <v>12918</v>
      </c>
      <c r="D34" s="83">
        <v>30.0</v>
      </c>
      <c r="E34" s="92">
        <v>30.0</v>
      </c>
      <c r="F34" s="288" t="s">
        <v>90</v>
      </c>
    </row>
    <row r="35" ht="15.0" customHeight="1">
      <c r="A35" s="82" t="s">
        <v>7653</v>
      </c>
      <c r="B35" s="82" t="s">
        <v>52</v>
      </c>
      <c r="C35" s="82" t="s">
        <v>12919</v>
      </c>
      <c r="D35" s="83">
        <v>30.0</v>
      </c>
      <c r="E35" s="92">
        <v>30.0</v>
      </c>
      <c r="F35" s="288" t="s">
        <v>90</v>
      </c>
    </row>
    <row r="36" ht="15.0" customHeight="1">
      <c r="A36" s="82" t="s">
        <v>7653</v>
      </c>
      <c r="B36" s="82" t="s">
        <v>52</v>
      </c>
      <c r="C36" s="82" t="s">
        <v>12920</v>
      </c>
      <c r="D36" s="83">
        <v>8.0</v>
      </c>
      <c r="E36" s="92">
        <v>8.0</v>
      </c>
      <c r="F36" s="288" t="s">
        <v>90</v>
      </c>
    </row>
    <row r="37" ht="15.0" customHeight="1">
      <c r="A37" s="82" t="s">
        <v>7653</v>
      </c>
      <c r="B37" s="82" t="s">
        <v>52</v>
      </c>
      <c r="C37" s="82" t="s">
        <v>12921</v>
      </c>
      <c r="D37" s="83">
        <v>8.0</v>
      </c>
      <c r="E37" s="92">
        <v>8.0</v>
      </c>
      <c r="F37" s="288" t="s">
        <v>90</v>
      </c>
    </row>
    <row r="38" ht="15.0" customHeight="1">
      <c r="A38" s="82" t="s">
        <v>7653</v>
      </c>
      <c r="B38" s="82" t="s">
        <v>52</v>
      </c>
      <c r="C38" s="82" t="s">
        <v>12922</v>
      </c>
      <c r="D38" s="83">
        <v>8.0</v>
      </c>
      <c r="E38" s="92">
        <v>8.0</v>
      </c>
      <c r="F38" s="288" t="s">
        <v>90</v>
      </c>
    </row>
    <row r="39" ht="15.0" customHeight="1">
      <c r="A39" s="82" t="s">
        <v>7653</v>
      </c>
      <c r="B39" s="82" t="s">
        <v>52</v>
      </c>
      <c r="C39" s="82" t="s">
        <v>12923</v>
      </c>
      <c r="D39" s="83">
        <v>8.0</v>
      </c>
      <c r="E39" s="92">
        <v>8.0</v>
      </c>
      <c r="F39" s="288" t="s">
        <v>90</v>
      </c>
    </row>
    <row r="40" ht="15.0" customHeight="1">
      <c r="A40" s="82" t="s">
        <v>7653</v>
      </c>
      <c r="B40" s="82" t="s">
        <v>52</v>
      </c>
      <c r="C40" s="82" t="s">
        <v>12904</v>
      </c>
      <c r="D40" s="83">
        <v>8.0</v>
      </c>
      <c r="E40" s="92">
        <v>100.0</v>
      </c>
      <c r="F40" s="288" t="s">
        <v>90</v>
      </c>
    </row>
    <row r="41" ht="15.0" customHeight="1">
      <c r="A41" s="82" t="s">
        <v>92</v>
      </c>
      <c r="B41" s="82" t="s">
        <v>52</v>
      </c>
      <c r="C41" s="82" t="s">
        <v>12924</v>
      </c>
      <c r="D41" s="83">
        <v>8.0</v>
      </c>
      <c r="E41" s="92">
        <v>8.0</v>
      </c>
      <c r="F41" s="288" t="s">
        <v>92</v>
      </c>
    </row>
    <row r="42" ht="15.0" customHeight="1">
      <c r="A42" s="82" t="s">
        <v>92</v>
      </c>
      <c r="B42" s="82" t="s">
        <v>52</v>
      </c>
      <c r="C42" s="82" t="s">
        <v>12925</v>
      </c>
      <c r="D42" s="83">
        <v>8.0</v>
      </c>
      <c r="E42" s="92">
        <v>8.0</v>
      </c>
      <c r="F42" s="288" t="s">
        <v>92</v>
      </c>
    </row>
    <row r="43" ht="15.0" customHeight="1">
      <c r="A43" s="82" t="s">
        <v>92</v>
      </c>
      <c r="B43" s="82" t="s">
        <v>52</v>
      </c>
      <c r="C43" s="82" t="s">
        <v>12926</v>
      </c>
      <c r="D43" s="83">
        <v>8.0</v>
      </c>
      <c r="E43" s="92">
        <v>8.0</v>
      </c>
      <c r="F43" s="288" t="s">
        <v>92</v>
      </c>
    </row>
    <row r="44" ht="15.0" customHeight="1">
      <c r="A44" s="82" t="s">
        <v>92</v>
      </c>
      <c r="B44" s="82" t="s">
        <v>52</v>
      </c>
      <c r="C44" s="82" t="s">
        <v>12927</v>
      </c>
      <c r="D44" s="83">
        <v>8.0</v>
      </c>
      <c r="E44" s="92">
        <v>8.0</v>
      </c>
      <c r="F44" s="288" t="s">
        <v>92</v>
      </c>
    </row>
    <row r="45" ht="15.0" customHeight="1">
      <c r="A45" s="82" t="s">
        <v>92</v>
      </c>
      <c r="B45" s="82" t="s">
        <v>52</v>
      </c>
      <c r="C45" s="82" t="s">
        <v>12928</v>
      </c>
      <c r="D45" s="92">
        <v>8.0</v>
      </c>
      <c r="E45" s="92">
        <v>8.0</v>
      </c>
      <c r="F45" s="288" t="s">
        <v>92</v>
      </c>
    </row>
    <row r="46" ht="15.0" customHeight="1">
      <c r="A46" s="352" t="s">
        <v>8503</v>
      </c>
      <c r="B46" s="352" t="s">
        <v>52</v>
      </c>
      <c r="C46" s="352" t="s">
        <v>12929</v>
      </c>
      <c r="D46" s="489">
        <v>8.0</v>
      </c>
      <c r="E46" s="419">
        <v>8.0</v>
      </c>
      <c r="F46" s="288" t="s">
        <v>72</v>
      </c>
    </row>
    <row r="47" ht="15.0" customHeight="1">
      <c r="A47" s="82" t="s">
        <v>8503</v>
      </c>
      <c r="B47" s="82" t="s">
        <v>52</v>
      </c>
      <c r="C47" s="177" t="s">
        <v>12930</v>
      </c>
      <c r="D47" s="83">
        <v>8.0</v>
      </c>
      <c r="E47" s="92">
        <v>8.0</v>
      </c>
      <c r="F47" s="288" t="s">
        <v>72</v>
      </c>
    </row>
    <row r="48" ht="15.0" customHeight="1">
      <c r="A48" s="82" t="s">
        <v>8503</v>
      </c>
      <c r="B48" s="82" t="s">
        <v>52</v>
      </c>
      <c r="C48" s="294" t="s">
        <v>12931</v>
      </c>
      <c r="D48" s="83">
        <v>8.0</v>
      </c>
      <c r="E48" s="83">
        <v>8.0</v>
      </c>
      <c r="F48" s="288" t="s">
        <v>72</v>
      </c>
    </row>
    <row r="49" ht="15.0" customHeight="1">
      <c r="A49" s="82" t="s">
        <v>8503</v>
      </c>
      <c r="B49" s="82" t="s">
        <v>52</v>
      </c>
      <c r="C49" s="294" t="s">
        <v>12932</v>
      </c>
      <c r="D49" s="83">
        <v>8.0</v>
      </c>
      <c r="E49" s="83">
        <v>8.0</v>
      </c>
      <c r="F49" s="288" t="s">
        <v>72</v>
      </c>
    </row>
    <row r="50" ht="15.0" customHeight="1">
      <c r="A50" s="82" t="s">
        <v>8503</v>
      </c>
      <c r="B50" s="82" t="s">
        <v>52</v>
      </c>
      <c r="C50" s="177" t="s">
        <v>12933</v>
      </c>
      <c r="D50" s="83">
        <v>8.0</v>
      </c>
      <c r="E50" s="83">
        <v>8.0</v>
      </c>
      <c r="F50" s="288" t="s">
        <v>72</v>
      </c>
    </row>
    <row r="51" ht="15.0" customHeight="1">
      <c r="A51" s="82" t="s">
        <v>8503</v>
      </c>
      <c r="B51" s="82" t="s">
        <v>52</v>
      </c>
      <c r="C51" s="177" t="s">
        <v>12934</v>
      </c>
      <c r="D51" s="83">
        <v>8.0</v>
      </c>
      <c r="E51" s="83">
        <v>8.0</v>
      </c>
      <c r="F51" s="288" t="s">
        <v>72</v>
      </c>
    </row>
    <row r="52" ht="15.0" customHeight="1">
      <c r="A52" s="82" t="s">
        <v>8503</v>
      </c>
      <c r="B52" s="82" t="s">
        <v>52</v>
      </c>
      <c r="C52" s="177" t="s">
        <v>12935</v>
      </c>
      <c r="D52" s="83">
        <v>50.0</v>
      </c>
      <c r="E52" s="83">
        <v>50.0</v>
      </c>
      <c r="F52" s="288" t="s">
        <v>72</v>
      </c>
    </row>
    <row r="53" ht="15.0" customHeight="1">
      <c r="A53" s="82" t="s">
        <v>8931</v>
      </c>
      <c r="B53" s="82" t="s">
        <v>52</v>
      </c>
      <c r="C53" s="82" t="s">
        <v>12936</v>
      </c>
      <c r="D53" s="83">
        <v>80.0</v>
      </c>
      <c r="E53" s="92">
        <v>80.0</v>
      </c>
      <c r="F53" s="288" t="s">
        <v>76</v>
      </c>
    </row>
    <row r="54" ht="15.0" customHeight="1">
      <c r="A54" s="82" t="s">
        <v>8931</v>
      </c>
      <c r="B54" s="82" t="s">
        <v>52</v>
      </c>
      <c r="C54" s="82" t="s">
        <v>12937</v>
      </c>
      <c r="D54" s="83">
        <v>100.0</v>
      </c>
      <c r="E54" s="92">
        <v>100.0</v>
      </c>
      <c r="F54" s="288" t="s">
        <v>76</v>
      </c>
    </row>
    <row r="55" ht="15.0" customHeight="1">
      <c r="A55" s="82" t="s">
        <v>57</v>
      </c>
      <c r="B55" s="82" t="s">
        <v>52</v>
      </c>
      <c r="C55" s="82" t="s">
        <v>12938</v>
      </c>
      <c r="D55" s="83">
        <v>50.0</v>
      </c>
      <c r="E55" s="92">
        <f>D55</f>
        <v>50</v>
      </c>
      <c r="F55" s="288" t="s">
        <v>57</v>
      </c>
    </row>
    <row r="56" ht="15.0" customHeight="1">
      <c r="A56" s="82" t="s">
        <v>7659</v>
      </c>
      <c r="B56" s="82" t="s">
        <v>52</v>
      </c>
      <c r="C56" s="82" t="s">
        <v>12939</v>
      </c>
      <c r="D56" s="83">
        <v>80.0</v>
      </c>
      <c r="E56" s="92">
        <v>80.0</v>
      </c>
      <c r="F56" s="288" t="s">
        <v>60</v>
      </c>
    </row>
    <row r="57" ht="15.0" customHeight="1">
      <c r="A57" s="82" t="s">
        <v>7659</v>
      </c>
      <c r="B57" s="82" t="s">
        <v>52</v>
      </c>
      <c r="C57" s="82" t="s">
        <v>12940</v>
      </c>
      <c r="D57" s="83">
        <v>30.0</v>
      </c>
      <c r="E57" s="92">
        <v>30.0</v>
      </c>
      <c r="F57" s="288" t="s">
        <v>60</v>
      </c>
    </row>
    <row r="58" ht="15.0" customHeight="1">
      <c r="A58" s="82" t="s">
        <v>7659</v>
      </c>
      <c r="B58" s="82" t="s">
        <v>52</v>
      </c>
      <c r="C58" s="82" t="s">
        <v>12941</v>
      </c>
      <c r="D58" s="83">
        <v>30.0</v>
      </c>
      <c r="E58" s="92">
        <v>30.0</v>
      </c>
      <c r="F58" s="288" t="s">
        <v>60</v>
      </c>
    </row>
    <row r="59" ht="15.0" customHeight="1">
      <c r="A59" s="82" t="s">
        <v>7659</v>
      </c>
      <c r="B59" s="82" t="s">
        <v>52</v>
      </c>
      <c r="C59" s="82" t="s">
        <v>12942</v>
      </c>
      <c r="D59" s="83">
        <v>50.0</v>
      </c>
      <c r="E59" s="92">
        <v>50.0</v>
      </c>
      <c r="F59" s="288" t="s">
        <v>60</v>
      </c>
    </row>
    <row r="60" ht="15.0" customHeight="1">
      <c r="A60" s="82" t="s">
        <v>7659</v>
      </c>
      <c r="B60" s="82" t="s">
        <v>52</v>
      </c>
      <c r="C60" s="82" t="s">
        <v>12937</v>
      </c>
      <c r="D60" s="83">
        <v>100.0</v>
      </c>
      <c r="E60" s="92">
        <v>100.0</v>
      </c>
      <c r="F60" s="288" t="s">
        <v>60</v>
      </c>
    </row>
    <row r="61" ht="15.0" customHeight="1">
      <c r="A61" s="82" t="s">
        <v>7704</v>
      </c>
      <c r="B61" s="82" t="s">
        <v>52</v>
      </c>
      <c r="C61" s="82" t="s">
        <v>12943</v>
      </c>
      <c r="D61" s="83">
        <f t="shared" ref="D61:D62" si="1">30</f>
        <v>30</v>
      </c>
      <c r="E61" s="92">
        <f t="shared" ref="E61:E62" si="2">D61</f>
        <v>30</v>
      </c>
      <c r="F61" s="288" t="s">
        <v>82</v>
      </c>
    </row>
    <row r="62" ht="15.0" customHeight="1">
      <c r="A62" s="82" t="s">
        <v>7704</v>
      </c>
      <c r="B62" s="82" t="s">
        <v>52</v>
      </c>
      <c r="C62" s="82" t="s">
        <v>12944</v>
      </c>
      <c r="D62" s="83">
        <f t="shared" si="1"/>
        <v>30</v>
      </c>
      <c r="E62" s="92">
        <f t="shared" si="2"/>
        <v>30</v>
      </c>
      <c r="F62" s="288" t="s">
        <v>82</v>
      </c>
    </row>
    <row r="63" ht="15.0" customHeight="1">
      <c r="A63" s="82" t="s">
        <v>7704</v>
      </c>
      <c r="B63" s="82" t="s">
        <v>52</v>
      </c>
      <c r="C63" s="82" t="s">
        <v>12945</v>
      </c>
      <c r="D63" s="83">
        <v>8.0</v>
      </c>
      <c r="E63" s="92">
        <v>8.0</v>
      </c>
      <c r="F63" s="288" t="s">
        <v>82</v>
      </c>
    </row>
    <row r="64" ht="15.0" customHeight="1">
      <c r="A64" s="82" t="s">
        <v>7704</v>
      </c>
      <c r="B64" s="82" t="s">
        <v>52</v>
      </c>
      <c r="C64" s="82" t="s">
        <v>12946</v>
      </c>
      <c r="D64" s="83">
        <v>50.0</v>
      </c>
      <c r="E64" s="92">
        <v>50.0</v>
      </c>
      <c r="F64" s="288" t="s">
        <v>82</v>
      </c>
    </row>
    <row r="65" ht="15.0" customHeight="1">
      <c r="A65" s="82" t="s">
        <v>7704</v>
      </c>
      <c r="B65" s="82" t="s">
        <v>52</v>
      </c>
      <c r="C65" s="82" t="s">
        <v>12947</v>
      </c>
      <c r="D65" s="83">
        <f t="shared" ref="D65:D66" si="3">8</f>
        <v>8</v>
      </c>
      <c r="E65" s="92">
        <v>8.0</v>
      </c>
      <c r="F65" s="288" t="s">
        <v>82</v>
      </c>
    </row>
    <row r="66" ht="15.0" customHeight="1">
      <c r="A66" s="82" t="s">
        <v>7704</v>
      </c>
      <c r="B66" s="82" t="s">
        <v>52</v>
      </c>
      <c r="C66" s="82" t="s">
        <v>12948</v>
      </c>
      <c r="D66" s="83">
        <f t="shared" si="3"/>
        <v>8</v>
      </c>
      <c r="E66" s="92">
        <v>8.0</v>
      </c>
      <c r="F66" s="288" t="s">
        <v>82</v>
      </c>
    </row>
    <row r="67" ht="15.0" customHeight="1">
      <c r="A67" s="82" t="s">
        <v>7704</v>
      </c>
      <c r="B67" s="82" t="s">
        <v>52</v>
      </c>
      <c r="C67" s="82" t="s">
        <v>12949</v>
      </c>
      <c r="D67" s="83">
        <v>100.0</v>
      </c>
      <c r="E67" s="92">
        <v>100.0</v>
      </c>
      <c r="F67" s="288" t="s">
        <v>82</v>
      </c>
    </row>
    <row r="68" ht="15.0" customHeight="1">
      <c r="A68" s="82" t="s">
        <v>80</v>
      </c>
      <c r="B68" s="82" t="s">
        <v>52</v>
      </c>
      <c r="C68" s="473" t="s">
        <v>12931</v>
      </c>
      <c r="D68" s="83">
        <v>8.0</v>
      </c>
      <c r="E68" s="83">
        <v>8.0</v>
      </c>
      <c r="F68" s="288" t="s">
        <v>80</v>
      </c>
    </row>
    <row r="69" ht="15.0" customHeight="1">
      <c r="A69" s="82" t="s">
        <v>80</v>
      </c>
      <c r="B69" s="82" t="s">
        <v>52</v>
      </c>
      <c r="C69" s="473" t="s">
        <v>12932</v>
      </c>
      <c r="D69" s="83">
        <v>8.0</v>
      </c>
      <c r="E69" s="83">
        <v>8.0</v>
      </c>
      <c r="F69" s="288" t="s">
        <v>80</v>
      </c>
    </row>
    <row r="70" ht="15.0" customHeight="1">
      <c r="A70" s="82" t="s">
        <v>80</v>
      </c>
      <c r="B70" s="82" t="s">
        <v>52</v>
      </c>
      <c r="C70" s="155" t="s">
        <v>12950</v>
      </c>
      <c r="D70" s="83">
        <v>8.0</v>
      </c>
      <c r="E70" s="83">
        <v>8.0</v>
      </c>
      <c r="F70" s="288" t="s">
        <v>80</v>
      </c>
    </row>
    <row r="71" ht="15.0" customHeight="1">
      <c r="A71" s="82" t="s">
        <v>80</v>
      </c>
      <c r="B71" s="82" t="s">
        <v>52</v>
      </c>
      <c r="C71" s="155" t="s">
        <v>12951</v>
      </c>
      <c r="D71" s="83">
        <v>8.0</v>
      </c>
      <c r="E71" s="83">
        <v>8.0</v>
      </c>
      <c r="F71" s="288" t="s">
        <v>80</v>
      </c>
    </row>
    <row r="72" ht="15.0" customHeight="1">
      <c r="A72" s="82" t="s">
        <v>80</v>
      </c>
      <c r="B72" s="82" t="s">
        <v>52</v>
      </c>
      <c r="C72" s="155" t="s">
        <v>12952</v>
      </c>
      <c r="D72" s="83">
        <v>8.0</v>
      </c>
      <c r="E72" s="83">
        <v>8.0</v>
      </c>
      <c r="F72" s="288" t="s">
        <v>80</v>
      </c>
    </row>
    <row r="73" ht="15.0" customHeight="1">
      <c r="A73" s="82" t="s">
        <v>80</v>
      </c>
      <c r="B73" s="82" t="s">
        <v>52</v>
      </c>
      <c r="C73" s="155" t="s">
        <v>12953</v>
      </c>
      <c r="D73" s="83">
        <v>8.0</v>
      </c>
      <c r="E73" s="83">
        <v>8.0</v>
      </c>
      <c r="F73" s="288" t="s">
        <v>80</v>
      </c>
    </row>
    <row r="74" ht="15.0" customHeight="1">
      <c r="A74" s="82" t="s">
        <v>80</v>
      </c>
      <c r="B74" s="82" t="s">
        <v>52</v>
      </c>
      <c r="C74" s="155" t="s">
        <v>12954</v>
      </c>
      <c r="D74" s="83">
        <v>8.0</v>
      </c>
      <c r="E74" s="83">
        <v>8.0</v>
      </c>
      <c r="F74" s="288" t="s">
        <v>80</v>
      </c>
    </row>
    <row r="75" ht="15.0" customHeight="1">
      <c r="A75" s="82" t="s">
        <v>80</v>
      </c>
      <c r="B75" s="82" t="s">
        <v>52</v>
      </c>
      <c r="C75" s="100" t="s">
        <v>12955</v>
      </c>
      <c r="D75" s="156">
        <v>30.0</v>
      </c>
      <c r="E75" s="156">
        <v>10.0</v>
      </c>
      <c r="F75" s="288" t="s">
        <v>80</v>
      </c>
    </row>
    <row r="76" ht="15.0" customHeight="1">
      <c r="A76" s="82" t="s">
        <v>8536</v>
      </c>
      <c r="B76" s="82" t="s">
        <v>52</v>
      </c>
      <c r="C76" s="82" t="s">
        <v>12945</v>
      </c>
      <c r="D76" s="83">
        <v>8.0</v>
      </c>
      <c r="E76" s="92">
        <f>D76</f>
        <v>8</v>
      </c>
      <c r="F76" s="288" t="s">
        <v>87</v>
      </c>
    </row>
    <row r="77" ht="15.0" customHeight="1">
      <c r="A77" s="82" t="s">
        <v>8536</v>
      </c>
      <c r="B77" s="82" t="s">
        <v>52</v>
      </c>
      <c r="C77" s="82" t="s">
        <v>12956</v>
      </c>
      <c r="D77" s="83">
        <v>8.0</v>
      </c>
      <c r="E77" s="92">
        <v>8.0</v>
      </c>
      <c r="F77" s="288" t="s">
        <v>87</v>
      </c>
    </row>
    <row r="78" ht="15.0" customHeight="1">
      <c r="A78" s="82" t="s">
        <v>8536</v>
      </c>
      <c r="B78" s="82" t="s">
        <v>52</v>
      </c>
      <c r="C78" s="82" t="s">
        <v>12957</v>
      </c>
      <c r="D78" s="83">
        <v>8.0</v>
      </c>
      <c r="E78" s="92">
        <v>8.0</v>
      </c>
      <c r="F78" s="288" t="s">
        <v>87</v>
      </c>
    </row>
    <row r="79" ht="15.0" customHeight="1">
      <c r="A79" s="82" t="s">
        <v>8536</v>
      </c>
      <c r="B79" s="82" t="s">
        <v>52</v>
      </c>
      <c r="C79" s="82" t="s">
        <v>12958</v>
      </c>
      <c r="D79" s="83">
        <v>30.0</v>
      </c>
      <c r="E79" s="92">
        <v>30.0</v>
      </c>
      <c r="F79" s="288" t="s">
        <v>87</v>
      </c>
    </row>
    <row r="80" ht="15.0" customHeight="1">
      <c r="A80" s="82" t="s">
        <v>8536</v>
      </c>
      <c r="B80" s="82" t="s">
        <v>52</v>
      </c>
      <c r="C80" s="82" t="s">
        <v>12959</v>
      </c>
      <c r="D80" s="83">
        <v>100.0</v>
      </c>
      <c r="E80" s="92">
        <v>100.0</v>
      </c>
      <c r="F80" s="288" t="s">
        <v>87</v>
      </c>
    </row>
    <row r="81" ht="15.0" customHeight="1">
      <c r="A81" s="148" t="s">
        <v>9219</v>
      </c>
      <c r="B81" s="148" t="s">
        <v>52</v>
      </c>
      <c r="C81" s="82" t="s">
        <v>12896</v>
      </c>
      <c r="D81" s="83">
        <v>100.0</v>
      </c>
      <c r="E81" s="92">
        <v>100.0</v>
      </c>
      <c r="F81" s="288" t="s">
        <v>59</v>
      </c>
    </row>
    <row r="82" ht="15.0" customHeight="1">
      <c r="A82" s="82" t="s">
        <v>7730</v>
      </c>
      <c r="B82" s="82" t="s">
        <v>52</v>
      </c>
      <c r="C82" s="82" t="s">
        <v>12960</v>
      </c>
      <c r="D82" s="83">
        <v>8.0</v>
      </c>
      <c r="E82" s="92">
        <v>8.0</v>
      </c>
      <c r="F82" s="288" t="s">
        <v>91</v>
      </c>
    </row>
    <row r="83" ht="15.0" customHeight="1">
      <c r="A83" s="82" t="s">
        <v>7730</v>
      </c>
      <c r="B83" s="82" t="s">
        <v>52</v>
      </c>
      <c r="C83" s="82" t="s">
        <v>12961</v>
      </c>
      <c r="D83" s="83">
        <v>8.0</v>
      </c>
      <c r="E83" s="92">
        <v>8.0</v>
      </c>
      <c r="F83" s="288" t="s">
        <v>91</v>
      </c>
    </row>
    <row r="84" ht="15.0" customHeight="1">
      <c r="A84" s="82" t="s">
        <v>7730</v>
      </c>
      <c r="B84" s="82" t="s">
        <v>52</v>
      </c>
      <c r="C84" s="82" t="s">
        <v>12920</v>
      </c>
      <c r="D84" s="83">
        <v>8.0</v>
      </c>
      <c r="E84" s="92">
        <v>8.0</v>
      </c>
      <c r="F84" s="288" t="s">
        <v>91</v>
      </c>
    </row>
    <row r="85" ht="15.0" customHeight="1">
      <c r="A85" s="82" t="s">
        <v>7730</v>
      </c>
      <c r="B85" s="82" t="s">
        <v>52</v>
      </c>
      <c r="C85" s="82" t="s">
        <v>12921</v>
      </c>
      <c r="D85" s="83">
        <v>8.0</v>
      </c>
      <c r="E85" s="92">
        <v>8.0</v>
      </c>
      <c r="F85" s="288" t="s">
        <v>91</v>
      </c>
    </row>
    <row r="86" ht="15.0" customHeight="1">
      <c r="A86" s="82" t="s">
        <v>7730</v>
      </c>
      <c r="B86" s="82" t="s">
        <v>52</v>
      </c>
      <c r="C86" s="82" t="s">
        <v>12922</v>
      </c>
      <c r="D86" s="83">
        <v>8.0</v>
      </c>
      <c r="E86" s="92">
        <v>8.0</v>
      </c>
      <c r="F86" s="288" t="s">
        <v>91</v>
      </c>
    </row>
    <row r="87" ht="15.0" customHeight="1">
      <c r="A87" s="82" t="s">
        <v>7730</v>
      </c>
      <c r="B87" s="82" t="s">
        <v>52</v>
      </c>
      <c r="C87" s="82" t="s">
        <v>12923</v>
      </c>
      <c r="D87" s="83">
        <v>8.0</v>
      </c>
      <c r="E87" s="92">
        <v>8.0</v>
      </c>
      <c r="F87" s="288" t="s">
        <v>91</v>
      </c>
    </row>
    <row r="88" ht="15.0" customHeight="1">
      <c r="A88" s="82" t="s">
        <v>7730</v>
      </c>
      <c r="B88" s="82" t="s">
        <v>9236</v>
      </c>
      <c r="C88" s="82" t="s">
        <v>12909</v>
      </c>
      <c r="D88" s="83">
        <v>100.0</v>
      </c>
      <c r="E88" s="92">
        <v>100.0</v>
      </c>
      <c r="F88" s="288" t="s">
        <v>91</v>
      </c>
    </row>
    <row r="89" ht="15.0" customHeight="1">
      <c r="A89" s="82" t="s">
        <v>85</v>
      </c>
      <c r="B89" s="82" t="s">
        <v>52</v>
      </c>
      <c r="C89" s="82" t="s">
        <v>12962</v>
      </c>
      <c r="D89" s="83">
        <f t="shared" ref="D89:D91" si="4">8</f>
        <v>8</v>
      </c>
      <c r="E89" s="92">
        <v>8.0</v>
      </c>
      <c r="F89" s="288" t="s">
        <v>85</v>
      </c>
    </row>
    <row r="90" ht="15.0" customHeight="1">
      <c r="A90" s="82" t="s">
        <v>85</v>
      </c>
      <c r="B90" s="82" t="s">
        <v>52</v>
      </c>
      <c r="C90" s="82" t="s">
        <v>12963</v>
      </c>
      <c r="D90" s="83">
        <f t="shared" si="4"/>
        <v>8</v>
      </c>
      <c r="E90" s="92">
        <v>8.0</v>
      </c>
      <c r="F90" s="288" t="s">
        <v>85</v>
      </c>
    </row>
    <row r="91" ht="15.0" customHeight="1">
      <c r="A91" s="82" t="s">
        <v>85</v>
      </c>
      <c r="B91" s="82" t="s">
        <v>52</v>
      </c>
      <c r="C91" s="82" t="s">
        <v>12964</v>
      </c>
      <c r="D91" s="83">
        <f t="shared" si="4"/>
        <v>8</v>
      </c>
      <c r="E91" s="92">
        <v>8.0</v>
      </c>
      <c r="F91" s="288" t="s">
        <v>85</v>
      </c>
    </row>
    <row r="92" ht="15.0" customHeight="1">
      <c r="A92" s="82" t="s">
        <v>85</v>
      </c>
      <c r="B92" s="82" t="s">
        <v>52</v>
      </c>
      <c r="C92" s="82" t="s">
        <v>12945</v>
      </c>
      <c r="D92" s="83">
        <v>8.0</v>
      </c>
      <c r="E92" s="92">
        <v>8.0</v>
      </c>
      <c r="F92" s="288" t="s">
        <v>85</v>
      </c>
    </row>
    <row r="93" ht="15.0" customHeight="1">
      <c r="A93" s="82" t="s">
        <v>85</v>
      </c>
      <c r="B93" s="82" t="s">
        <v>52</v>
      </c>
      <c r="C93" s="82" t="s">
        <v>12965</v>
      </c>
      <c r="D93" s="83">
        <v>100.0</v>
      </c>
      <c r="E93" s="92">
        <v>100.0</v>
      </c>
      <c r="F93" s="288" t="s">
        <v>85</v>
      </c>
    </row>
    <row r="94" ht="15.0" customHeight="1">
      <c r="A94" s="82" t="s">
        <v>12966</v>
      </c>
      <c r="B94" s="82" t="s">
        <v>52</v>
      </c>
      <c r="C94" s="82" t="s">
        <v>12967</v>
      </c>
      <c r="D94" s="83">
        <v>8.0</v>
      </c>
      <c r="E94" s="92">
        <v>8.0</v>
      </c>
      <c r="F94" s="288" t="s">
        <v>81</v>
      </c>
    </row>
    <row r="95" ht="15.0" customHeight="1">
      <c r="A95" s="82" t="s">
        <v>10646</v>
      </c>
      <c r="B95" s="82" t="s">
        <v>52</v>
      </c>
      <c r="C95" s="82" t="s">
        <v>12939</v>
      </c>
      <c r="D95" s="83">
        <v>80.0</v>
      </c>
      <c r="E95" s="92">
        <v>80.0</v>
      </c>
      <c r="F95" s="288" t="s">
        <v>515</v>
      </c>
    </row>
    <row r="96" ht="15.0" customHeight="1">
      <c r="A96" s="82" t="s">
        <v>10646</v>
      </c>
      <c r="B96" s="82" t="s">
        <v>52</v>
      </c>
      <c r="C96" s="82" t="s">
        <v>12896</v>
      </c>
      <c r="D96" s="83">
        <v>100.0</v>
      </c>
      <c r="E96" s="92">
        <v>100.0</v>
      </c>
      <c r="F96" s="288" t="s">
        <v>515</v>
      </c>
    </row>
    <row r="97" ht="15.0" customHeight="1">
      <c r="A97" s="82" t="s">
        <v>10646</v>
      </c>
      <c r="B97" s="82" t="s">
        <v>9236</v>
      </c>
      <c r="C97" s="82" t="s">
        <v>12968</v>
      </c>
      <c r="D97" s="92">
        <v>30.0</v>
      </c>
      <c r="E97" s="92">
        <v>30.0</v>
      </c>
      <c r="F97" s="288" t="s">
        <v>515</v>
      </c>
    </row>
    <row r="98" ht="15.0" customHeight="1">
      <c r="A98" s="82" t="s">
        <v>10646</v>
      </c>
      <c r="B98" s="82" t="s">
        <v>12579</v>
      </c>
      <c r="C98" s="82" t="s">
        <v>12969</v>
      </c>
      <c r="D98" s="92">
        <v>30.0</v>
      </c>
      <c r="E98" s="92">
        <v>30.0</v>
      </c>
      <c r="F98" s="288" t="s">
        <v>515</v>
      </c>
    </row>
    <row r="99" ht="15.0" customHeight="1">
      <c r="A99" s="82" t="s">
        <v>10646</v>
      </c>
      <c r="B99" s="82" t="s">
        <v>12970</v>
      </c>
      <c r="C99" s="82" t="s">
        <v>12971</v>
      </c>
      <c r="D99" s="92">
        <v>50.0</v>
      </c>
      <c r="E99" s="92">
        <v>50.0</v>
      </c>
      <c r="F99" s="288" t="s">
        <v>515</v>
      </c>
    </row>
    <row r="100" ht="15.0" customHeight="1">
      <c r="A100" s="82" t="s">
        <v>8556</v>
      </c>
      <c r="B100" s="82" t="s">
        <v>52</v>
      </c>
      <c r="C100" s="82" t="s">
        <v>12972</v>
      </c>
      <c r="D100" s="83">
        <v>100.0</v>
      </c>
      <c r="E100" s="92">
        <v>100.0</v>
      </c>
      <c r="F100" s="288" t="s">
        <v>528</v>
      </c>
    </row>
    <row r="101" ht="15.0" customHeight="1">
      <c r="A101" s="82" t="s">
        <v>8558</v>
      </c>
      <c r="B101" s="82" t="s">
        <v>52</v>
      </c>
      <c r="C101" s="82" t="s">
        <v>12973</v>
      </c>
      <c r="D101" s="83">
        <v>80.0</v>
      </c>
      <c r="E101" s="92">
        <v>80.0</v>
      </c>
      <c r="F101" s="288" t="s">
        <v>533</v>
      </c>
    </row>
    <row r="102" ht="15.0" customHeight="1">
      <c r="A102" s="82" t="s">
        <v>8558</v>
      </c>
      <c r="B102" s="82" t="s">
        <v>52</v>
      </c>
      <c r="C102" s="82" t="s">
        <v>12974</v>
      </c>
      <c r="D102" s="83">
        <v>100.0</v>
      </c>
      <c r="E102" s="92">
        <f>D102</f>
        <v>100</v>
      </c>
      <c r="F102" s="288" t="s">
        <v>533</v>
      </c>
    </row>
    <row r="103" ht="15.0" customHeight="1">
      <c r="A103" s="82" t="s">
        <v>77</v>
      </c>
      <c r="B103" s="82" t="s">
        <v>52</v>
      </c>
      <c r="C103" s="82" t="s">
        <v>12975</v>
      </c>
      <c r="D103" s="83">
        <v>100.0</v>
      </c>
      <c r="E103" s="92">
        <v>100.0</v>
      </c>
      <c r="F103" s="288" t="s">
        <v>77</v>
      </c>
    </row>
    <row r="104" ht="15.0" customHeight="1">
      <c r="A104" s="82" t="s">
        <v>9224</v>
      </c>
      <c r="B104" s="82" t="s">
        <v>52</v>
      </c>
      <c r="C104" s="82" t="s">
        <v>12976</v>
      </c>
      <c r="D104" s="83">
        <v>8.0</v>
      </c>
      <c r="E104" s="92">
        <v>8.0</v>
      </c>
      <c r="F104" s="288" t="s">
        <v>542</v>
      </c>
    </row>
    <row r="105" ht="15.0" customHeight="1">
      <c r="A105" s="82" t="s">
        <v>9224</v>
      </c>
      <c r="B105" s="82" t="s">
        <v>52</v>
      </c>
      <c r="C105" s="82" t="s">
        <v>12977</v>
      </c>
      <c r="D105" s="83">
        <v>8.0</v>
      </c>
      <c r="E105" s="92">
        <v>8.0</v>
      </c>
      <c r="F105" s="288" t="s">
        <v>542</v>
      </c>
    </row>
    <row r="106" ht="15.0" customHeight="1">
      <c r="A106" s="82" t="s">
        <v>9224</v>
      </c>
      <c r="B106" s="82" t="s">
        <v>52</v>
      </c>
      <c r="C106" s="82" t="s">
        <v>12928</v>
      </c>
      <c r="D106" s="86">
        <v>8.0</v>
      </c>
      <c r="E106" s="92">
        <v>8.0</v>
      </c>
      <c r="F106" s="288" t="s">
        <v>542</v>
      </c>
    </row>
    <row r="107" ht="15.0" customHeight="1">
      <c r="A107" s="82" t="s">
        <v>74</v>
      </c>
      <c r="B107" s="82" t="s">
        <v>1783</v>
      </c>
      <c r="C107" s="82" t="s">
        <v>12905</v>
      </c>
      <c r="D107" s="83">
        <v>100.0</v>
      </c>
      <c r="E107" s="92">
        <v>100.0</v>
      </c>
      <c r="F107" s="288" t="s">
        <v>74</v>
      </c>
    </row>
    <row r="108" ht="15.0" customHeight="1">
      <c r="A108" s="82" t="s">
        <v>9226</v>
      </c>
      <c r="B108" s="82" t="s">
        <v>52</v>
      </c>
      <c r="C108" s="82" t="s">
        <v>12978</v>
      </c>
      <c r="D108" s="83">
        <v>3.0</v>
      </c>
      <c r="E108" s="92">
        <v>3.0</v>
      </c>
      <c r="F108" s="288" t="s">
        <v>56</v>
      </c>
    </row>
    <row r="109" ht="15.0" customHeight="1">
      <c r="A109" s="82" t="s">
        <v>89</v>
      </c>
      <c r="B109" s="82" t="s">
        <v>52</v>
      </c>
      <c r="C109" s="82" t="s">
        <v>12979</v>
      </c>
      <c r="D109" s="83" t="s">
        <v>12658</v>
      </c>
      <c r="E109" s="92">
        <f>8*2</f>
        <v>16</v>
      </c>
      <c r="F109" s="288" t="s">
        <v>89</v>
      </c>
    </row>
    <row r="110" ht="15.0" customHeight="1">
      <c r="A110" s="82" t="s">
        <v>89</v>
      </c>
      <c r="B110" s="82" t="s">
        <v>52</v>
      </c>
      <c r="C110" s="82" t="s">
        <v>12980</v>
      </c>
      <c r="D110" s="83">
        <v>8.0</v>
      </c>
      <c r="E110" s="92">
        <v>8.0</v>
      </c>
      <c r="F110" s="288" t="s">
        <v>89</v>
      </c>
    </row>
    <row r="111" ht="15.0" customHeight="1">
      <c r="A111" s="82" t="s">
        <v>89</v>
      </c>
      <c r="B111" s="82" t="s">
        <v>52</v>
      </c>
      <c r="C111" s="82" t="s">
        <v>12981</v>
      </c>
      <c r="D111" s="83">
        <v>8.0</v>
      </c>
      <c r="E111" s="92">
        <v>8.0</v>
      </c>
      <c r="F111" s="288" t="s">
        <v>89</v>
      </c>
    </row>
    <row r="112" ht="15.0" customHeight="1">
      <c r="A112" s="82" t="s">
        <v>89</v>
      </c>
      <c r="B112" s="82" t="s">
        <v>52</v>
      </c>
      <c r="C112" s="82" t="s">
        <v>12982</v>
      </c>
      <c r="D112" s="83">
        <v>8.0</v>
      </c>
      <c r="E112" s="92">
        <v>8.0</v>
      </c>
      <c r="F112" s="288" t="s">
        <v>89</v>
      </c>
    </row>
    <row r="113" ht="15.0" customHeight="1">
      <c r="A113" s="82" t="s">
        <v>89</v>
      </c>
      <c r="B113" s="82" t="s">
        <v>52</v>
      </c>
      <c r="C113" s="82" t="s">
        <v>12983</v>
      </c>
      <c r="D113" s="83">
        <v>8.0</v>
      </c>
      <c r="E113" s="92">
        <v>8.0</v>
      </c>
      <c r="F113" s="288" t="s">
        <v>89</v>
      </c>
    </row>
    <row r="114" ht="15.0" customHeight="1">
      <c r="A114" s="82" t="s">
        <v>89</v>
      </c>
      <c r="B114" s="82" t="s">
        <v>52</v>
      </c>
      <c r="C114" s="82" t="s">
        <v>12984</v>
      </c>
      <c r="D114" s="83">
        <v>8.0</v>
      </c>
      <c r="E114" s="92">
        <v>8.0</v>
      </c>
      <c r="F114" s="288" t="s">
        <v>89</v>
      </c>
    </row>
    <row r="115" ht="15.0" customHeight="1">
      <c r="A115" s="82" t="s">
        <v>89</v>
      </c>
      <c r="B115" s="82" t="s">
        <v>52</v>
      </c>
      <c r="C115" s="82" t="s">
        <v>12959</v>
      </c>
      <c r="D115" s="83">
        <v>100.0</v>
      </c>
      <c r="E115" s="92">
        <v>100.0</v>
      </c>
      <c r="F115" s="288" t="s">
        <v>89</v>
      </c>
    </row>
    <row r="116" ht="15.0" customHeight="1">
      <c r="A116" s="82" t="s">
        <v>8562</v>
      </c>
      <c r="B116" s="82" t="s">
        <v>52</v>
      </c>
      <c r="C116" s="82" t="s">
        <v>12985</v>
      </c>
      <c r="D116" s="83">
        <v>8.0</v>
      </c>
      <c r="E116" s="92">
        <v>8.0</v>
      </c>
      <c r="F116" s="288" t="s">
        <v>65</v>
      </c>
    </row>
    <row r="117" ht="15.0" customHeight="1">
      <c r="A117" s="82" t="s">
        <v>8562</v>
      </c>
      <c r="B117" s="82" t="s">
        <v>52</v>
      </c>
      <c r="C117" s="82" t="s">
        <v>12986</v>
      </c>
      <c r="D117" s="83">
        <v>8.0</v>
      </c>
      <c r="E117" s="92">
        <v>8.0</v>
      </c>
      <c r="F117" s="288" t="s">
        <v>65</v>
      </c>
    </row>
    <row r="118" ht="15.0" customHeight="1">
      <c r="A118" s="82" t="s">
        <v>8562</v>
      </c>
      <c r="B118" s="82" t="s">
        <v>9236</v>
      </c>
      <c r="C118" s="82" t="s">
        <v>12909</v>
      </c>
      <c r="D118" s="83"/>
      <c r="E118" s="92">
        <v>30.0</v>
      </c>
      <c r="F118" s="288" t="s">
        <v>65</v>
      </c>
    </row>
    <row r="119" ht="15.75" customHeight="1">
      <c r="A119" s="100" t="s">
        <v>8566</v>
      </c>
      <c r="B119" s="100" t="s">
        <v>182</v>
      </c>
      <c r="C119" s="100" t="s">
        <v>12987</v>
      </c>
      <c r="D119" s="156" t="s">
        <v>12988</v>
      </c>
      <c r="E119" s="151">
        <v>30.0</v>
      </c>
      <c r="F119" s="288" t="s">
        <v>5698</v>
      </c>
    </row>
    <row r="120" ht="15.75" customHeight="1">
      <c r="A120" s="100" t="s">
        <v>8566</v>
      </c>
      <c r="B120" s="100" t="s">
        <v>182</v>
      </c>
      <c r="C120" s="100" t="s">
        <v>12989</v>
      </c>
      <c r="D120" s="156" t="s">
        <v>12988</v>
      </c>
      <c r="E120" s="151">
        <v>24.0</v>
      </c>
      <c r="F120" s="288" t="s">
        <v>5698</v>
      </c>
    </row>
    <row r="121" ht="15.75" customHeight="1">
      <c r="A121" s="100" t="s">
        <v>8566</v>
      </c>
      <c r="B121" s="100" t="s">
        <v>182</v>
      </c>
      <c r="C121" s="100" t="s">
        <v>12990</v>
      </c>
      <c r="D121" s="156">
        <v>50.0</v>
      </c>
      <c r="E121" s="151">
        <v>50.0</v>
      </c>
      <c r="F121" s="288" t="s">
        <v>5698</v>
      </c>
    </row>
    <row r="122" ht="15.0" customHeight="1">
      <c r="A122" s="82" t="s">
        <v>8961</v>
      </c>
      <c r="B122" s="82" t="s">
        <v>94</v>
      </c>
      <c r="C122" s="82" t="s">
        <v>12991</v>
      </c>
      <c r="D122" s="83">
        <v>100.0</v>
      </c>
      <c r="E122" s="92">
        <v>100.0</v>
      </c>
      <c r="F122" s="288" t="s">
        <v>8578</v>
      </c>
    </row>
    <row r="123" ht="15.0" customHeight="1">
      <c r="A123" s="82" t="s">
        <v>566</v>
      </c>
      <c r="B123" s="82" t="s">
        <v>182</v>
      </c>
      <c r="C123" s="82" t="s">
        <v>12992</v>
      </c>
      <c r="D123" s="83">
        <v>100.0</v>
      </c>
      <c r="E123" s="92">
        <v>100.0</v>
      </c>
      <c r="F123" s="288" t="s">
        <v>566</v>
      </c>
    </row>
    <row r="124" ht="15.0" customHeight="1">
      <c r="A124" s="82" t="s">
        <v>2704</v>
      </c>
      <c r="B124" s="82" t="s">
        <v>94</v>
      </c>
      <c r="C124" s="82" t="s">
        <v>12993</v>
      </c>
      <c r="D124" s="83">
        <v>80.0</v>
      </c>
      <c r="E124" s="92">
        <v>80.0</v>
      </c>
      <c r="F124" s="288" t="s">
        <v>2704</v>
      </c>
    </row>
    <row r="125" ht="15.0" customHeight="1">
      <c r="A125" s="82" t="s">
        <v>2704</v>
      </c>
      <c r="B125" s="82" t="s">
        <v>94</v>
      </c>
      <c r="C125" s="82" t="s">
        <v>12994</v>
      </c>
      <c r="D125" s="83">
        <v>100.0</v>
      </c>
      <c r="E125" s="92">
        <v>100.0</v>
      </c>
      <c r="F125" s="288" t="s">
        <v>2704</v>
      </c>
    </row>
    <row r="126" ht="15.0" customHeight="1">
      <c r="A126" s="82" t="s">
        <v>2704</v>
      </c>
      <c r="B126" s="82" t="s">
        <v>94</v>
      </c>
      <c r="C126" s="82" t="s">
        <v>12995</v>
      </c>
      <c r="D126" s="83">
        <v>20.0</v>
      </c>
      <c r="E126" s="92">
        <v>20.0</v>
      </c>
      <c r="F126" s="288" t="s">
        <v>2704</v>
      </c>
    </row>
    <row r="127" ht="15.0" customHeight="1">
      <c r="A127" s="82" t="s">
        <v>2704</v>
      </c>
      <c r="B127" s="82" t="s">
        <v>94</v>
      </c>
      <c r="C127" s="82" t="s">
        <v>12996</v>
      </c>
      <c r="D127" s="83">
        <v>30.0</v>
      </c>
      <c r="E127" s="92">
        <v>30.0</v>
      </c>
      <c r="F127" s="288" t="s">
        <v>2704</v>
      </c>
    </row>
    <row r="128" ht="15.0" customHeight="1">
      <c r="A128" s="82" t="s">
        <v>7901</v>
      </c>
      <c r="B128" s="82" t="s">
        <v>94</v>
      </c>
      <c r="C128" s="82" t="s">
        <v>12997</v>
      </c>
      <c r="D128" s="83">
        <v>8.0</v>
      </c>
      <c r="E128" s="92">
        <v>8.0</v>
      </c>
      <c r="F128" s="288" t="s">
        <v>590</v>
      </c>
    </row>
    <row r="129" ht="15.0" customHeight="1">
      <c r="A129" s="82" t="s">
        <v>7901</v>
      </c>
      <c r="B129" s="82" t="s">
        <v>94</v>
      </c>
      <c r="C129" s="82" t="s">
        <v>12998</v>
      </c>
      <c r="D129" s="83">
        <v>8.0</v>
      </c>
      <c r="E129" s="92">
        <v>8.0</v>
      </c>
      <c r="F129" s="288" t="s">
        <v>590</v>
      </c>
    </row>
    <row r="130" ht="15.0" customHeight="1">
      <c r="A130" s="100" t="s">
        <v>8608</v>
      </c>
      <c r="B130" s="100" t="s">
        <v>182</v>
      </c>
      <c r="C130" s="100" t="s">
        <v>12987</v>
      </c>
      <c r="D130" s="156" t="s">
        <v>12988</v>
      </c>
      <c r="E130" s="151">
        <v>30.0</v>
      </c>
      <c r="F130" s="288" t="s">
        <v>616</v>
      </c>
    </row>
    <row r="131" ht="15.0" customHeight="1">
      <c r="A131" s="100" t="s">
        <v>8608</v>
      </c>
      <c r="B131" s="100" t="s">
        <v>182</v>
      </c>
      <c r="C131" s="100" t="s">
        <v>12989</v>
      </c>
      <c r="D131" s="156" t="s">
        <v>12988</v>
      </c>
      <c r="E131" s="151">
        <v>8.0</v>
      </c>
      <c r="F131" s="288" t="s">
        <v>616</v>
      </c>
    </row>
    <row r="132" ht="15.0" customHeight="1">
      <c r="A132" s="100" t="s">
        <v>8608</v>
      </c>
      <c r="B132" s="100" t="s">
        <v>182</v>
      </c>
      <c r="C132" s="100" t="s">
        <v>12999</v>
      </c>
      <c r="D132" s="156" t="s">
        <v>12988</v>
      </c>
      <c r="E132" s="151">
        <v>16.0</v>
      </c>
      <c r="F132" s="288" t="s">
        <v>616</v>
      </c>
    </row>
    <row r="133" ht="15.0" customHeight="1">
      <c r="A133" s="148" t="s">
        <v>9249</v>
      </c>
      <c r="B133" s="148" t="s">
        <v>5327</v>
      </c>
      <c r="C133" s="148" t="s">
        <v>12910</v>
      </c>
      <c r="D133" s="191">
        <v>80.0</v>
      </c>
      <c r="E133" s="162">
        <v>80.0</v>
      </c>
      <c r="F133" s="288" t="s">
        <v>5331</v>
      </c>
    </row>
    <row r="134" ht="15.0" customHeight="1">
      <c r="A134" s="148" t="s">
        <v>9249</v>
      </c>
      <c r="B134" s="148" t="s">
        <v>5333</v>
      </c>
      <c r="C134" s="148" t="s">
        <v>13000</v>
      </c>
      <c r="D134" s="191">
        <v>30.0</v>
      </c>
      <c r="E134" s="162">
        <v>30.0</v>
      </c>
      <c r="F134" s="288" t="s">
        <v>5331</v>
      </c>
    </row>
    <row r="135" ht="15.0" customHeight="1">
      <c r="A135" s="148" t="s">
        <v>9249</v>
      </c>
      <c r="B135" s="148" t="s">
        <v>5327</v>
      </c>
      <c r="C135" s="148" t="s">
        <v>12994</v>
      </c>
      <c r="D135" s="191">
        <v>100.0</v>
      </c>
      <c r="E135" s="162">
        <v>100.0</v>
      </c>
      <c r="F135" s="288" t="s">
        <v>5331</v>
      </c>
    </row>
    <row r="136" ht="15.0" customHeight="1">
      <c r="A136" s="82" t="s">
        <v>9011</v>
      </c>
      <c r="B136" s="82" t="s">
        <v>94</v>
      </c>
      <c r="C136" s="82" t="s">
        <v>13001</v>
      </c>
      <c r="D136" s="83"/>
      <c r="E136" s="92">
        <v>80.0</v>
      </c>
      <c r="F136" s="288" t="s">
        <v>646</v>
      </c>
    </row>
    <row r="137" ht="15.0" customHeight="1">
      <c r="A137" s="82" t="s">
        <v>8632</v>
      </c>
      <c r="B137" s="82" t="s">
        <v>94</v>
      </c>
      <c r="C137" s="82" t="s">
        <v>13002</v>
      </c>
      <c r="D137" s="83">
        <v>8.0</v>
      </c>
      <c r="E137" s="92">
        <v>8.0</v>
      </c>
      <c r="F137" s="288" t="s">
        <v>8632</v>
      </c>
    </row>
    <row r="138" ht="15.0" customHeight="1">
      <c r="A138" s="82" t="s">
        <v>8632</v>
      </c>
      <c r="B138" s="82" t="s">
        <v>94</v>
      </c>
      <c r="C138" s="82" t="s">
        <v>13003</v>
      </c>
      <c r="D138" s="83">
        <v>8.0</v>
      </c>
      <c r="E138" s="92">
        <v>8.0</v>
      </c>
      <c r="F138" s="288" t="s">
        <v>8632</v>
      </c>
    </row>
    <row r="139" ht="15.0" customHeight="1">
      <c r="A139" s="82" t="s">
        <v>8632</v>
      </c>
      <c r="B139" s="82" t="s">
        <v>94</v>
      </c>
      <c r="C139" s="82" t="s">
        <v>13004</v>
      </c>
      <c r="D139" s="83">
        <v>8.0</v>
      </c>
      <c r="E139" s="92">
        <v>8.0</v>
      </c>
      <c r="F139" s="288" t="s">
        <v>8632</v>
      </c>
    </row>
    <row r="140" ht="15.0" customHeight="1">
      <c r="A140" s="82" t="s">
        <v>8632</v>
      </c>
      <c r="B140" s="82" t="s">
        <v>94</v>
      </c>
      <c r="C140" s="82" t="s">
        <v>13005</v>
      </c>
      <c r="D140" s="83">
        <v>8.0</v>
      </c>
      <c r="E140" s="92">
        <v>8.0</v>
      </c>
      <c r="F140" s="288" t="s">
        <v>8632</v>
      </c>
    </row>
    <row r="141" ht="15.0" customHeight="1">
      <c r="A141" s="82" t="s">
        <v>7955</v>
      </c>
      <c r="B141" s="82" t="s">
        <v>94</v>
      </c>
      <c r="C141" s="82" t="s">
        <v>13006</v>
      </c>
      <c r="D141" s="83">
        <v>100.0</v>
      </c>
      <c r="E141" s="92">
        <v>100.0</v>
      </c>
      <c r="F141" s="288" t="s">
        <v>3018</v>
      </c>
    </row>
    <row r="142" ht="15.0" customHeight="1">
      <c r="A142" s="148" t="s">
        <v>3050</v>
      </c>
      <c r="B142" s="148" t="s">
        <v>94</v>
      </c>
      <c r="C142" s="148" t="s">
        <v>13007</v>
      </c>
      <c r="D142" s="191">
        <v>100.0</v>
      </c>
      <c r="E142" s="162">
        <v>100.0</v>
      </c>
      <c r="F142" s="288" t="s">
        <v>3050</v>
      </c>
    </row>
    <row r="143" ht="15.0" customHeight="1">
      <c r="A143" s="82" t="s">
        <v>7972</v>
      </c>
      <c r="B143" s="82" t="s">
        <v>94</v>
      </c>
      <c r="C143" s="82" t="s">
        <v>13008</v>
      </c>
      <c r="D143" s="83">
        <v>30.0</v>
      </c>
      <c r="E143" s="92">
        <v>30.0</v>
      </c>
      <c r="F143" s="288" t="s">
        <v>5354</v>
      </c>
    </row>
    <row r="144" ht="15.0" customHeight="1">
      <c r="A144" s="82" t="s">
        <v>8639</v>
      </c>
      <c r="B144" s="82" t="s">
        <v>94</v>
      </c>
      <c r="C144" s="82" t="s">
        <v>12994</v>
      </c>
      <c r="D144" s="83">
        <v>100.0</v>
      </c>
      <c r="E144" s="92">
        <f>D144</f>
        <v>100</v>
      </c>
      <c r="F144" s="288" t="s">
        <v>3078</v>
      </c>
    </row>
    <row r="145" ht="15.0" customHeight="1">
      <c r="A145" s="82" t="s">
        <v>12437</v>
      </c>
      <c r="B145" s="82" t="s">
        <v>94</v>
      </c>
      <c r="C145" s="85" t="s">
        <v>13009</v>
      </c>
      <c r="D145" s="98">
        <v>50.0</v>
      </c>
      <c r="E145" s="91">
        <v>50.0</v>
      </c>
      <c r="F145" s="288" t="s">
        <v>661</v>
      </c>
    </row>
    <row r="146" ht="15.0" customHeight="1">
      <c r="A146" s="82" t="s">
        <v>12437</v>
      </c>
      <c r="B146" s="82" t="s">
        <v>94</v>
      </c>
      <c r="C146" s="82" t="s">
        <v>12147</v>
      </c>
      <c r="D146" s="83">
        <v>30.0</v>
      </c>
      <c r="E146" s="92">
        <v>30.0</v>
      </c>
      <c r="F146" s="288" t="s">
        <v>661</v>
      </c>
    </row>
    <row r="147" ht="15.0" customHeight="1">
      <c r="A147" s="82" t="s">
        <v>12437</v>
      </c>
      <c r="B147" s="82" t="s">
        <v>94</v>
      </c>
      <c r="C147" s="82" t="s">
        <v>13010</v>
      </c>
      <c r="D147" s="83">
        <v>100.0</v>
      </c>
      <c r="E147" s="92">
        <v>100.0</v>
      </c>
      <c r="F147" s="288" t="s">
        <v>661</v>
      </c>
    </row>
    <row r="148" ht="15.0" customHeight="1">
      <c r="A148" s="82" t="s">
        <v>9258</v>
      </c>
      <c r="B148" s="82" t="s">
        <v>94</v>
      </c>
      <c r="C148" s="82" t="s">
        <v>13011</v>
      </c>
      <c r="D148" s="83">
        <v>100.0</v>
      </c>
      <c r="E148" s="92">
        <v>100.0</v>
      </c>
      <c r="F148" s="288" t="s">
        <v>3198</v>
      </c>
    </row>
    <row r="149" ht="15.0" customHeight="1">
      <c r="A149" s="148" t="s">
        <v>3203</v>
      </c>
      <c r="B149" s="148" t="s">
        <v>94</v>
      </c>
      <c r="C149" s="148" t="s">
        <v>13012</v>
      </c>
      <c r="D149" s="191">
        <v>8.0</v>
      </c>
      <c r="E149" s="162">
        <v>8.0</v>
      </c>
      <c r="F149" s="288" t="s">
        <v>3203</v>
      </c>
    </row>
    <row r="150" ht="15.0" customHeight="1">
      <c r="A150" s="148" t="s">
        <v>3203</v>
      </c>
      <c r="B150" s="148" t="s">
        <v>94</v>
      </c>
      <c r="C150" s="148" t="s">
        <v>13013</v>
      </c>
      <c r="D150" s="191">
        <v>100.0</v>
      </c>
      <c r="E150" s="162">
        <v>100.0</v>
      </c>
      <c r="F150" s="288" t="s">
        <v>3203</v>
      </c>
    </row>
    <row r="151" ht="15.0" customHeight="1">
      <c r="A151" s="82" t="s">
        <v>9659</v>
      </c>
      <c r="B151" s="82" t="s">
        <v>94</v>
      </c>
      <c r="C151" s="82" t="s">
        <v>13014</v>
      </c>
      <c r="D151" s="83">
        <v>64.0</v>
      </c>
      <c r="E151" s="92">
        <v>64.0</v>
      </c>
      <c r="F151" s="288" t="s">
        <v>8962</v>
      </c>
    </row>
    <row r="152" ht="15.0" customHeight="1">
      <c r="A152" s="82" t="s">
        <v>9659</v>
      </c>
      <c r="B152" s="82" t="s">
        <v>94</v>
      </c>
      <c r="C152" s="82" t="s">
        <v>13015</v>
      </c>
      <c r="D152" s="83">
        <v>50.0</v>
      </c>
      <c r="E152" s="92">
        <v>50.0</v>
      </c>
      <c r="F152" s="288" t="s">
        <v>8962</v>
      </c>
    </row>
    <row r="153" ht="15.0" customHeight="1">
      <c r="A153" s="82" t="s">
        <v>9659</v>
      </c>
      <c r="B153" s="82" t="s">
        <v>94</v>
      </c>
      <c r="C153" s="82" t="s">
        <v>13016</v>
      </c>
      <c r="D153" s="83">
        <v>30.0</v>
      </c>
      <c r="E153" s="92">
        <v>30.0</v>
      </c>
      <c r="F153" s="288" t="s">
        <v>8962</v>
      </c>
    </row>
    <row r="154" ht="15.0" customHeight="1">
      <c r="A154" s="82" t="s">
        <v>9659</v>
      </c>
      <c r="B154" s="82" t="s">
        <v>94</v>
      </c>
      <c r="C154" s="82" t="s">
        <v>12991</v>
      </c>
      <c r="D154" s="83"/>
      <c r="E154" s="92">
        <v>100.0</v>
      </c>
      <c r="F154" s="288" t="s">
        <v>8962</v>
      </c>
    </row>
    <row r="155" ht="15.0" customHeight="1">
      <c r="A155" s="82" t="s">
        <v>8671</v>
      </c>
      <c r="B155" s="82" t="s">
        <v>94</v>
      </c>
      <c r="C155" s="82" t="s">
        <v>13017</v>
      </c>
      <c r="D155" s="83">
        <v>20.0</v>
      </c>
      <c r="E155" s="92">
        <v>20.0</v>
      </c>
      <c r="F155" s="288" t="s">
        <v>689</v>
      </c>
    </row>
    <row r="156" ht="15.0" customHeight="1">
      <c r="A156" s="82" t="s">
        <v>8671</v>
      </c>
      <c r="B156" s="82" t="s">
        <v>94</v>
      </c>
      <c r="C156" s="82" t="s">
        <v>13018</v>
      </c>
      <c r="D156" s="83">
        <v>20.0</v>
      </c>
      <c r="E156" s="92">
        <v>20.0</v>
      </c>
      <c r="F156" s="288" t="s">
        <v>689</v>
      </c>
    </row>
    <row r="157" ht="15.0" customHeight="1">
      <c r="A157" s="82" t="s">
        <v>8671</v>
      </c>
      <c r="B157" s="82" t="s">
        <v>94</v>
      </c>
      <c r="C157" s="82" t="s">
        <v>13019</v>
      </c>
      <c r="D157" s="83">
        <v>20.0</v>
      </c>
      <c r="E157" s="92">
        <v>20.0</v>
      </c>
      <c r="F157" s="288" t="s">
        <v>689</v>
      </c>
    </row>
    <row r="158" ht="15.0" customHeight="1">
      <c r="A158" s="82" t="s">
        <v>8671</v>
      </c>
      <c r="B158" s="82" t="s">
        <v>94</v>
      </c>
      <c r="C158" s="82" t="s">
        <v>13020</v>
      </c>
      <c r="D158" s="83">
        <v>20.0</v>
      </c>
      <c r="E158" s="92">
        <v>20.0</v>
      </c>
      <c r="F158" s="288" t="s">
        <v>689</v>
      </c>
    </row>
    <row r="159" ht="15.0" customHeight="1">
      <c r="A159" s="82" t="s">
        <v>8671</v>
      </c>
      <c r="B159" s="82" t="s">
        <v>94</v>
      </c>
      <c r="C159" s="82" t="s">
        <v>13021</v>
      </c>
      <c r="D159" s="83">
        <v>20.0</v>
      </c>
      <c r="E159" s="92">
        <v>20.0</v>
      </c>
      <c r="F159" s="288" t="s">
        <v>689</v>
      </c>
    </row>
    <row r="160" ht="15.0" customHeight="1">
      <c r="A160" s="82" t="s">
        <v>852</v>
      </c>
      <c r="B160" s="82" t="s">
        <v>94</v>
      </c>
      <c r="C160" s="82" t="s">
        <v>13022</v>
      </c>
      <c r="D160" s="83">
        <v>100.0</v>
      </c>
      <c r="E160" s="92">
        <v>100.0</v>
      </c>
      <c r="F160" s="288" t="s">
        <v>852</v>
      </c>
    </row>
    <row r="161" ht="15.0" customHeight="1">
      <c r="A161" s="82" t="s">
        <v>861</v>
      </c>
      <c r="B161" s="82" t="s">
        <v>94</v>
      </c>
      <c r="C161" s="82" t="s">
        <v>12991</v>
      </c>
      <c r="D161" s="83">
        <v>100.0</v>
      </c>
      <c r="E161" s="92">
        <v>100.0</v>
      </c>
      <c r="F161" s="288" t="s">
        <v>861</v>
      </c>
    </row>
    <row r="162" ht="15.0" customHeight="1">
      <c r="A162" s="82" t="s">
        <v>870</v>
      </c>
      <c r="B162" s="82" t="s">
        <v>182</v>
      </c>
      <c r="C162" s="82" t="s">
        <v>13023</v>
      </c>
      <c r="D162" s="83">
        <v>30.0</v>
      </c>
      <c r="E162" s="92">
        <f t="shared" ref="E162:E164" si="5">D162</f>
        <v>30</v>
      </c>
      <c r="F162" s="288" t="s">
        <v>870</v>
      </c>
    </row>
    <row r="163" ht="15.0" customHeight="1">
      <c r="A163" s="82" t="s">
        <v>870</v>
      </c>
      <c r="B163" s="82" t="s">
        <v>182</v>
      </c>
      <c r="C163" s="82" t="s">
        <v>13024</v>
      </c>
      <c r="D163" s="83">
        <v>50.0</v>
      </c>
      <c r="E163" s="92">
        <f t="shared" si="5"/>
        <v>50</v>
      </c>
      <c r="F163" s="288" t="s">
        <v>870</v>
      </c>
    </row>
    <row r="164" ht="15.0" customHeight="1">
      <c r="A164" s="82" t="s">
        <v>870</v>
      </c>
      <c r="B164" s="82" t="s">
        <v>182</v>
      </c>
      <c r="C164" s="82" t="s">
        <v>13025</v>
      </c>
      <c r="D164" s="83">
        <v>100.0</v>
      </c>
      <c r="E164" s="92">
        <f t="shared" si="5"/>
        <v>100</v>
      </c>
      <c r="F164" s="288" t="s">
        <v>870</v>
      </c>
    </row>
    <row r="165" ht="15.0" customHeight="1">
      <c r="A165" s="82" t="s">
        <v>880</v>
      </c>
      <c r="B165" s="82" t="s">
        <v>94</v>
      </c>
      <c r="C165" s="82" t="s">
        <v>13026</v>
      </c>
      <c r="D165" s="83">
        <v>100.0</v>
      </c>
      <c r="E165" s="92">
        <v>100.0</v>
      </c>
      <c r="F165" s="288" t="s">
        <v>880</v>
      </c>
    </row>
    <row r="166" ht="15.0" customHeight="1">
      <c r="A166" s="82" t="s">
        <v>8069</v>
      </c>
      <c r="B166" s="82" t="s">
        <v>94</v>
      </c>
      <c r="C166" s="82" t="s">
        <v>13027</v>
      </c>
      <c r="D166" s="83">
        <v>50.0</v>
      </c>
      <c r="E166" s="92">
        <v>50.0</v>
      </c>
      <c r="F166" s="288" t="s">
        <v>907</v>
      </c>
    </row>
    <row r="167" ht="15.0" customHeight="1">
      <c r="A167" s="82" t="s">
        <v>8069</v>
      </c>
      <c r="B167" s="82" t="s">
        <v>94</v>
      </c>
      <c r="C167" s="82" t="s">
        <v>13028</v>
      </c>
      <c r="D167" s="83">
        <v>8.0</v>
      </c>
      <c r="E167" s="92">
        <v>8.0</v>
      </c>
      <c r="F167" s="288" t="s">
        <v>907</v>
      </c>
    </row>
    <row r="168" ht="15.0" customHeight="1">
      <c r="A168" s="82" t="s">
        <v>8069</v>
      </c>
      <c r="B168" s="82" t="s">
        <v>94</v>
      </c>
      <c r="C168" s="82" t="s">
        <v>13029</v>
      </c>
      <c r="D168" s="83">
        <v>8.0</v>
      </c>
      <c r="E168" s="92">
        <v>8.0</v>
      </c>
      <c r="F168" s="288" t="s">
        <v>907</v>
      </c>
    </row>
    <row r="169" ht="15.0" customHeight="1">
      <c r="A169" s="82" t="s">
        <v>8069</v>
      </c>
      <c r="B169" s="82" t="s">
        <v>94</v>
      </c>
      <c r="C169" s="82" t="s">
        <v>13030</v>
      </c>
      <c r="D169" s="83">
        <v>8.0</v>
      </c>
      <c r="E169" s="92">
        <v>8.0</v>
      </c>
      <c r="F169" s="288" t="s">
        <v>907</v>
      </c>
    </row>
    <row r="170" ht="15.0" customHeight="1">
      <c r="A170" s="82" t="s">
        <v>8090</v>
      </c>
      <c r="B170" s="82" t="s">
        <v>94</v>
      </c>
      <c r="C170" s="82" t="s">
        <v>13031</v>
      </c>
      <c r="D170" s="83">
        <v>100.0</v>
      </c>
      <c r="E170" s="92">
        <v>100.0</v>
      </c>
      <c r="F170" s="288" t="s">
        <v>8094</v>
      </c>
    </row>
    <row r="171" ht="15.0" customHeight="1">
      <c r="A171" s="148" t="s">
        <v>9139</v>
      </c>
      <c r="B171" s="100" t="s">
        <v>182</v>
      </c>
      <c r="C171" s="100" t="s">
        <v>12987</v>
      </c>
      <c r="D171" s="156" t="s">
        <v>12988</v>
      </c>
      <c r="E171" s="151">
        <v>8.0</v>
      </c>
      <c r="F171" s="288" t="s">
        <v>5513</v>
      </c>
    </row>
    <row r="172" ht="15.0" customHeight="1">
      <c r="A172" s="82" t="s">
        <v>9280</v>
      </c>
      <c r="B172" s="82" t="s">
        <v>94</v>
      </c>
      <c r="C172" s="82" t="s">
        <v>13032</v>
      </c>
      <c r="D172" s="83"/>
      <c r="E172" s="92">
        <v>40.0</v>
      </c>
      <c r="F172" s="288" t="s">
        <v>9280</v>
      </c>
    </row>
    <row r="173" ht="15.0" customHeight="1">
      <c r="A173" s="82" t="s">
        <v>9280</v>
      </c>
      <c r="B173" s="82" t="s">
        <v>94</v>
      </c>
      <c r="C173" s="82" t="s">
        <v>13033</v>
      </c>
      <c r="D173" s="83">
        <v>8.0</v>
      </c>
      <c r="E173" s="92">
        <v>16.0</v>
      </c>
      <c r="F173" s="288" t="s">
        <v>9280</v>
      </c>
    </row>
    <row r="174" ht="15.75" customHeight="1">
      <c r="A174" s="148" t="s">
        <v>4024</v>
      </c>
      <c r="B174" s="148" t="s">
        <v>94</v>
      </c>
      <c r="C174" s="148" t="s">
        <v>13034</v>
      </c>
      <c r="D174" s="191">
        <v>20.0</v>
      </c>
      <c r="E174" s="162">
        <v>20.0</v>
      </c>
      <c r="F174" s="288" t="s">
        <v>4024</v>
      </c>
    </row>
    <row r="175" ht="15.75" customHeight="1">
      <c r="A175" s="148" t="s">
        <v>4024</v>
      </c>
      <c r="B175" s="148" t="s">
        <v>94</v>
      </c>
      <c r="C175" s="148" t="s">
        <v>13035</v>
      </c>
      <c r="D175" s="191">
        <v>50.0</v>
      </c>
      <c r="E175" s="162">
        <v>50.0</v>
      </c>
      <c r="F175" s="288" t="s">
        <v>4024</v>
      </c>
    </row>
    <row r="176" ht="15.75" customHeight="1">
      <c r="A176" s="148" t="s">
        <v>4024</v>
      </c>
      <c r="B176" s="148" t="s">
        <v>94</v>
      </c>
      <c r="C176" s="148" t="s">
        <v>13036</v>
      </c>
      <c r="D176" s="191" t="s">
        <v>13037</v>
      </c>
      <c r="E176" s="162">
        <v>16.0</v>
      </c>
      <c r="F176" s="288" t="s">
        <v>4024</v>
      </c>
    </row>
    <row r="177" ht="15.0" customHeight="1">
      <c r="A177" s="148" t="s">
        <v>4024</v>
      </c>
      <c r="B177" s="148" t="s">
        <v>94</v>
      </c>
      <c r="C177" s="148" t="s">
        <v>13038</v>
      </c>
      <c r="D177" s="191" t="s">
        <v>13039</v>
      </c>
      <c r="E177" s="162">
        <v>160.0</v>
      </c>
      <c r="F177" s="288" t="s">
        <v>4024</v>
      </c>
    </row>
    <row r="178" ht="15.0" customHeight="1">
      <c r="A178" s="148" t="s">
        <v>4024</v>
      </c>
      <c r="B178" s="148" t="s">
        <v>94</v>
      </c>
      <c r="C178" s="148" t="s">
        <v>13040</v>
      </c>
      <c r="D178" s="191">
        <v>100.0</v>
      </c>
      <c r="E178" s="162">
        <v>100.0</v>
      </c>
      <c r="F178" s="288" t="s">
        <v>4024</v>
      </c>
    </row>
    <row r="179" ht="15.0" customHeight="1">
      <c r="A179" s="82" t="s">
        <v>9741</v>
      </c>
      <c r="B179" s="82" t="s">
        <v>94</v>
      </c>
      <c r="C179" s="82" t="s">
        <v>12994</v>
      </c>
      <c r="D179" s="83">
        <v>100.0</v>
      </c>
      <c r="E179" s="92">
        <v>100.0</v>
      </c>
      <c r="F179" s="288" t="s">
        <v>4076</v>
      </c>
    </row>
    <row r="180" ht="15.0" customHeight="1">
      <c r="A180" s="82" t="s">
        <v>9741</v>
      </c>
      <c r="B180" s="82" t="s">
        <v>94</v>
      </c>
      <c r="C180" s="82" t="s">
        <v>13041</v>
      </c>
      <c r="D180" s="83" t="s">
        <v>12658</v>
      </c>
      <c r="E180" s="92">
        <v>16.0</v>
      </c>
      <c r="F180" s="288" t="s">
        <v>4076</v>
      </c>
    </row>
    <row r="181" ht="15.0" customHeight="1">
      <c r="A181" s="82" t="s">
        <v>9741</v>
      </c>
      <c r="B181" s="82" t="s">
        <v>94</v>
      </c>
      <c r="C181" s="82" t="s">
        <v>13042</v>
      </c>
      <c r="D181" s="83" t="s">
        <v>12658</v>
      </c>
      <c r="E181" s="92">
        <v>16.0</v>
      </c>
      <c r="F181" s="288" t="s">
        <v>4076</v>
      </c>
    </row>
    <row r="182" ht="15.0" customHeight="1">
      <c r="A182" s="82" t="s">
        <v>9741</v>
      </c>
      <c r="B182" s="82" t="s">
        <v>94</v>
      </c>
      <c r="C182" s="82" t="s">
        <v>13043</v>
      </c>
      <c r="D182" s="83">
        <v>8.0</v>
      </c>
      <c r="E182" s="92">
        <v>8.0</v>
      </c>
      <c r="F182" s="288" t="s">
        <v>4076</v>
      </c>
    </row>
    <row r="183" ht="15.0" customHeight="1">
      <c r="A183" s="82" t="s">
        <v>9741</v>
      </c>
      <c r="B183" s="82" t="s">
        <v>94</v>
      </c>
      <c r="C183" s="82" t="s">
        <v>13044</v>
      </c>
      <c r="D183" s="83">
        <v>8.0</v>
      </c>
      <c r="E183" s="92">
        <v>8.0</v>
      </c>
      <c r="F183" s="288" t="s">
        <v>4076</v>
      </c>
    </row>
    <row r="184" ht="15.0" customHeight="1">
      <c r="A184" s="82" t="s">
        <v>8161</v>
      </c>
      <c r="B184" s="82" t="s">
        <v>94</v>
      </c>
      <c r="C184" s="82" t="s">
        <v>13045</v>
      </c>
      <c r="D184" s="83" t="s">
        <v>12988</v>
      </c>
      <c r="E184" s="92">
        <v>24.0</v>
      </c>
      <c r="F184" s="288" t="s">
        <v>5570</v>
      </c>
    </row>
    <row r="185" ht="15.0" customHeight="1">
      <c r="A185" s="82" t="s">
        <v>9284</v>
      </c>
      <c r="B185" s="82" t="s">
        <v>957</v>
      </c>
      <c r="C185" s="82" t="s">
        <v>13046</v>
      </c>
      <c r="D185" s="83">
        <v>8.0</v>
      </c>
      <c r="E185" s="92">
        <v>8.0</v>
      </c>
      <c r="F185" s="288" t="s">
        <v>964</v>
      </c>
    </row>
    <row r="186" ht="15.0" customHeight="1">
      <c r="A186" s="82" t="s">
        <v>9284</v>
      </c>
      <c r="B186" s="82" t="s">
        <v>957</v>
      </c>
      <c r="C186" s="82" t="s">
        <v>13047</v>
      </c>
      <c r="D186" s="83">
        <v>8.0</v>
      </c>
      <c r="E186" s="92">
        <v>8.0</v>
      </c>
      <c r="F186" s="288" t="s">
        <v>964</v>
      </c>
    </row>
    <row r="187" ht="15.0" customHeight="1">
      <c r="A187" s="82" t="s">
        <v>971</v>
      </c>
      <c r="B187" s="82" t="s">
        <v>182</v>
      </c>
      <c r="C187" s="82" t="s">
        <v>13048</v>
      </c>
      <c r="D187" s="83">
        <v>100.0</v>
      </c>
      <c r="E187" s="92">
        <v>100.0</v>
      </c>
      <c r="F187" s="288" t="s">
        <v>971</v>
      </c>
    </row>
    <row r="188" ht="15.0" customHeight="1">
      <c r="A188" s="473" t="s">
        <v>8241</v>
      </c>
      <c r="B188" s="492" t="s">
        <v>94</v>
      </c>
      <c r="C188" s="288" t="s">
        <v>13049</v>
      </c>
      <c r="D188" s="83">
        <v>8.0</v>
      </c>
      <c r="E188" s="92">
        <v>8.0</v>
      </c>
      <c r="F188" s="288" t="s">
        <v>1047</v>
      </c>
    </row>
    <row r="189" ht="15.0" customHeight="1">
      <c r="A189" s="473" t="s">
        <v>8241</v>
      </c>
      <c r="B189" s="492" t="s">
        <v>94</v>
      </c>
      <c r="C189" s="288" t="s">
        <v>13050</v>
      </c>
      <c r="D189" s="83">
        <v>8.0</v>
      </c>
      <c r="E189" s="92">
        <v>8.0</v>
      </c>
      <c r="F189" s="288" t="s">
        <v>1047</v>
      </c>
    </row>
    <row r="190" ht="15.0" customHeight="1">
      <c r="A190" s="473" t="s">
        <v>8241</v>
      </c>
      <c r="B190" s="492" t="s">
        <v>94</v>
      </c>
      <c r="C190" s="82" t="s">
        <v>13051</v>
      </c>
      <c r="D190" s="83">
        <v>100.0</v>
      </c>
      <c r="E190" s="92">
        <v>100.0</v>
      </c>
      <c r="F190" s="288" t="s">
        <v>1047</v>
      </c>
    </row>
    <row r="191" ht="15.0" customHeight="1">
      <c r="A191" s="82" t="s">
        <v>4343</v>
      </c>
      <c r="B191" s="82" t="s">
        <v>94</v>
      </c>
      <c r="C191" s="82" t="s">
        <v>12991</v>
      </c>
      <c r="D191" s="83"/>
      <c r="E191" s="92">
        <v>100.0</v>
      </c>
      <c r="F191" s="288" t="s">
        <v>4343</v>
      </c>
    </row>
    <row r="192" ht="15.0" customHeight="1">
      <c r="A192" s="82" t="s">
        <v>13052</v>
      </c>
      <c r="B192" s="82" t="s">
        <v>182</v>
      </c>
      <c r="C192" s="82" t="s">
        <v>12990</v>
      </c>
      <c r="D192" s="83">
        <v>50.0</v>
      </c>
      <c r="E192" s="92">
        <v>50.0</v>
      </c>
      <c r="F192" s="288" t="s">
        <v>5745</v>
      </c>
    </row>
    <row r="193" ht="15.0" customHeight="1">
      <c r="A193" s="82" t="s">
        <v>13052</v>
      </c>
      <c r="B193" s="82" t="s">
        <v>182</v>
      </c>
      <c r="C193" s="82" t="s">
        <v>12987</v>
      </c>
      <c r="D193" s="83" t="s">
        <v>12988</v>
      </c>
      <c r="E193" s="92">
        <v>8.0</v>
      </c>
      <c r="F193" s="288" t="s">
        <v>5745</v>
      </c>
    </row>
    <row r="194" ht="15.0" customHeight="1">
      <c r="A194" s="82" t="s">
        <v>9290</v>
      </c>
      <c r="B194" s="82" t="s">
        <v>13053</v>
      </c>
      <c r="C194" s="155" t="s">
        <v>13054</v>
      </c>
      <c r="D194" s="288" t="s">
        <v>13055</v>
      </c>
      <c r="E194" s="92">
        <v>40.0</v>
      </c>
      <c r="F194" s="288" t="s">
        <v>4352</v>
      </c>
    </row>
    <row r="195" ht="15.0" customHeight="1">
      <c r="A195" s="82" t="s">
        <v>9290</v>
      </c>
      <c r="B195" s="82" t="s">
        <v>13053</v>
      </c>
      <c r="C195" s="155" t="s">
        <v>13056</v>
      </c>
      <c r="D195" s="83" t="s">
        <v>13057</v>
      </c>
      <c r="E195" s="539">
        <v>8.0</v>
      </c>
      <c r="F195" s="288" t="s">
        <v>4352</v>
      </c>
    </row>
    <row r="196" ht="15.0" customHeight="1">
      <c r="A196" s="82" t="s">
        <v>9290</v>
      </c>
      <c r="B196" s="82" t="s">
        <v>13053</v>
      </c>
      <c r="C196" s="155" t="s">
        <v>13058</v>
      </c>
      <c r="D196" s="83" t="s">
        <v>13057</v>
      </c>
      <c r="E196" s="92">
        <v>8.0</v>
      </c>
      <c r="F196" s="288" t="s">
        <v>4352</v>
      </c>
    </row>
    <row r="197" ht="15.0" customHeight="1">
      <c r="A197" s="82" t="s">
        <v>9290</v>
      </c>
      <c r="B197" s="82" t="s">
        <v>13053</v>
      </c>
      <c r="C197" s="155" t="s">
        <v>13059</v>
      </c>
      <c r="D197" s="83" t="s">
        <v>13057</v>
      </c>
      <c r="E197" s="92">
        <v>8.0</v>
      </c>
      <c r="F197" s="288" t="s">
        <v>4352</v>
      </c>
    </row>
    <row r="198" ht="15.0" customHeight="1">
      <c r="A198" s="82" t="s">
        <v>9290</v>
      </c>
      <c r="B198" s="82" t="s">
        <v>13053</v>
      </c>
      <c r="C198" s="82" t="s">
        <v>13060</v>
      </c>
      <c r="D198" s="83" t="s">
        <v>13057</v>
      </c>
      <c r="E198" s="92">
        <v>16.0</v>
      </c>
      <c r="F198" s="288" t="s">
        <v>4352</v>
      </c>
    </row>
    <row r="199" ht="15.0" customHeight="1">
      <c r="A199" s="82" t="s">
        <v>9290</v>
      </c>
      <c r="B199" s="82" t="s">
        <v>13053</v>
      </c>
      <c r="C199" s="155" t="s">
        <v>13061</v>
      </c>
      <c r="D199" s="83" t="s">
        <v>13057</v>
      </c>
      <c r="E199" s="92">
        <v>8.0</v>
      </c>
      <c r="F199" s="288" t="s">
        <v>4352</v>
      </c>
    </row>
    <row r="200" ht="15.0" customHeight="1">
      <c r="A200" s="82" t="s">
        <v>9290</v>
      </c>
      <c r="B200" s="82" t="s">
        <v>13053</v>
      </c>
      <c r="C200" s="155" t="s">
        <v>13062</v>
      </c>
      <c r="D200" s="83" t="s">
        <v>13057</v>
      </c>
      <c r="E200" s="92">
        <v>24.0</v>
      </c>
      <c r="F200" s="288" t="s">
        <v>4352</v>
      </c>
    </row>
    <row r="201" ht="15.0" customHeight="1">
      <c r="A201" s="82" t="s">
        <v>9290</v>
      </c>
      <c r="B201" s="82" t="s">
        <v>13053</v>
      </c>
      <c r="C201" s="155" t="s">
        <v>13063</v>
      </c>
      <c r="D201" s="83" t="s">
        <v>13057</v>
      </c>
      <c r="E201" s="92">
        <v>24.0</v>
      </c>
      <c r="F201" s="288" t="s">
        <v>4352</v>
      </c>
    </row>
    <row r="202" ht="15.75" customHeight="1">
      <c r="A202" s="288" t="s">
        <v>9290</v>
      </c>
      <c r="B202" s="288" t="s">
        <v>13053</v>
      </c>
      <c r="C202" s="148" t="s">
        <v>13064</v>
      </c>
      <c r="D202" s="509"/>
      <c r="E202" s="290">
        <v>50.0</v>
      </c>
      <c r="F202" s="288" t="s">
        <v>4352</v>
      </c>
    </row>
    <row r="203" ht="15.0" customHeight="1">
      <c r="A203" s="82" t="s">
        <v>9290</v>
      </c>
      <c r="B203" s="82" t="s">
        <v>13053</v>
      </c>
      <c r="C203" s="155" t="s">
        <v>12991</v>
      </c>
      <c r="D203" s="83"/>
      <c r="E203" s="92">
        <v>100.0</v>
      </c>
      <c r="F203" s="288" t="s">
        <v>4352</v>
      </c>
    </row>
    <row r="204" ht="15.0" customHeight="1">
      <c r="A204" s="82" t="s">
        <v>1057</v>
      </c>
      <c r="B204" s="82" t="s">
        <v>147</v>
      </c>
      <c r="C204" s="82" t="s">
        <v>13065</v>
      </c>
      <c r="D204" s="83">
        <v>20.0</v>
      </c>
      <c r="E204" s="274">
        <v>20.0</v>
      </c>
      <c r="F204" s="473" t="s">
        <v>153</v>
      </c>
    </row>
    <row r="205" ht="15.0" customHeight="1">
      <c r="A205" s="82" t="s">
        <v>155</v>
      </c>
      <c r="B205" s="82" t="s">
        <v>147</v>
      </c>
      <c r="C205" s="82" t="s">
        <v>13066</v>
      </c>
      <c r="D205" s="83">
        <v>100.0</v>
      </c>
      <c r="E205" s="274">
        <v>100.0</v>
      </c>
      <c r="F205" s="473" t="s">
        <v>155</v>
      </c>
    </row>
    <row r="206" ht="15.0" customHeight="1">
      <c r="A206" s="82" t="s">
        <v>154</v>
      </c>
      <c r="B206" s="82" t="s">
        <v>147</v>
      </c>
      <c r="C206" s="82" t="s">
        <v>13066</v>
      </c>
      <c r="D206" s="83">
        <v>100.0</v>
      </c>
      <c r="E206" s="274">
        <v>100.0</v>
      </c>
      <c r="F206" s="473" t="s">
        <v>154</v>
      </c>
    </row>
    <row r="207" ht="15.0" customHeight="1">
      <c r="A207" s="82" t="s">
        <v>8304</v>
      </c>
      <c r="B207" s="82" t="s">
        <v>147</v>
      </c>
      <c r="C207" s="82" t="s">
        <v>13067</v>
      </c>
      <c r="D207" s="83">
        <v>50.0</v>
      </c>
      <c r="E207" s="274">
        <v>50.0</v>
      </c>
      <c r="F207" s="473" t="s">
        <v>149</v>
      </c>
    </row>
    <row r="208" ht="15.0" customHeight="1">
      <c r="A208" s="82" t="s">
        <v>8304</v>
      </c>
      <c r="B208" s="82" t="s">
        <v>147</v>
      </c>
      <c r="C208" s="82" t="s">
        <v>13068</v>
      </c>
      <c r="D208" s="83">
        <v>8.0</v>
      </c>
      <c r="E208" s="274">
        <v>8.0</v>
      </c>
      <c r="F208" s="473" t="s">
        <v>149</v>
      </c>
    </row>
    <row r="209" ht="15.0" customHeight="1">
      <c r="A209" s="82" t="s">
        <v>8304</v>
      </c>
      <c r="B209" s="82" t="s">
        <v>147</v>
      </c>
      <c r="C209" s="82" t="s">
        <v>13013</v>
      </c>
      <c r="D209" s="83">
        <v>100.0</v>
      </c>
      <c r="E209" s="274">
        <v>100.0</v>
      </c>
      <c r="F209" s="473" t="s">
        <v>149</v>
      </c>
    </row>
    <row r="210" ht="15.0" customHeight="1">
      <c r="A210" s="82" t="s">
        <v>8317</v>
      </c>
      <c r="B210" s="82" t="s">
        <v>7432</v>
      </c>
      <c r="C210" s="82" t="s">
        <v>12965</v>
      </c>
      <c r="D210" s="83">
        <v>100.0</v>
      </c>
      <c r="E210" s="274">
        <v>100.0</v>
      </c>
      <c r="F210" s="473" t="s">
        <v>150</v>
      </c>
    </row>
    <row r="211" ht="15.0" customHeight="1">
      <c r="A211" s="82" t="s">
        <v>9039</v>
      </c>
      <c r="B211" s="82" t="s">
        <v>147</v>
      </c>
      <c r="C211" s="82" t="s">
        <v>13069</v>
      </c>
      <c r="D211" s="83">
        <v>8.0</v>
      </c>
      <c r="E211" s="274">
        <v>8.0</v>
      </c>
      <c r="F211" s="473" t="s">
        <v>4738</v>
      </c>
    </row>
    <row r="212" ht="15.0" customHeight="1">
      <c r="A212" s="82" t="s">
        <v>9294</v>
      </c>
      <c r="B212" s="82" t="s">
        <v>147</v>
      </c>
      <c r="C212" s="82" t="s">
        <v>12991</v>
      </c>
      <c r="D212" s="83">
        <v>100.0</v>
      </c>
      <c r="E212" s="274">
        <v>100.0</v>
      </c>
      <c r="F212" s="473" t="s">
        <v>156</v>
      </c>
    </row>
    <row r="213" ht="15.0" customHeight="1">
      <c r="A213" s="82" t="s">
        <v>9041</v>
      </c>
      <c r="B213" s="82" t="s">
        <v>147</v>
      </c>
      <c r="C213" s="82" t="s">
        <v>13070</v>
      </c>
      <c r="D213" s="83">
        <v>80.0</v>
      </c>
      <c r="E213" s="274">
        <v>80.0</v>
      </c>
      <c r="F213" s="473" t="s">
        <v>4845</v>
      </c>
    </row>
    <row r="214" ht="15.0" customHeight="1">
      <c r="A214" s="82" t="s">
        <v>9041</v>
      </c>
      <c r="B214" s="82" t="s">
        <v>147</v>
      </c>
      <c r="C214" s="82" t="s">
        <v>13071</v>
      </c>
      <c r="D214" s="83">
        <v>100.0</v>
      </c>
      <c r="E214" s="274">
        <v>100.0</v>
      </c>
      <c r="F214" s="473" t="s">
        <v>4845</v>
      </c>
    </row>
    <row r="215" ht="15.0" customHeight="1">
      <c r="A215" s="82" t="s">
        <v>8328</v>
      </c>
      <c r="B215" s="82" t="s">
        <v>147</v>
      </c>
      <c r="C215" s="82" t="s">
        <v>13070</v>
      </c>
      <c r="D215" s="83">
        <v>80.0</v>
      </c>
      <c r="E215" s="274">
        <v>80.0</v>
      </c>
      <c r="F215" s="473" t="s">
        <v>158</v>
      </c>
    </row>
    <row r="216" ht="15.0" customHeight="1">
      <c r="A216" s="82" t="s">
        <v>8328</v>
      </c>
      <c r="B216" s="82" t="s">
        <v>147</v>
      </c>
      <c r="C216" s="82" t="s">
        <v>13071</v>
      </c>
      <c r="D216" s="83">
        <v>100.0</v>
      </c>
      <c r="E216" s="274">
        <v>100.0</v>
      </c>
      <c r="F216" s="473" t="s">
        <v>158</v>
      </c>
    </row>
    <row r="217" ht="15.0" customHeight="1">
      <c r="A217" s="82" t="s">
        <v>8328</v>
      </c>
      <c r="B217" s="82" t="s">
        <v>147</v>
      </c>
      <c r="C217" s="82" t="s">
        <v>13072</v>
      </c>
      <c r="D217" s="83" t="s">
        <v>13073</v>
      </c>
      <c r="E217" s="274">
        <v>30.0</v>
      </c>
      <c r="F217" s="473" t="s">
        <v>158</v>
      </c>
    </row>
    <row r="218" ht="15.0" customHeight="1">
      <c r="A218" s="82" t="s">
        <v>1144</v>
      </c>
      <c r="B218" s="82" t="s">
        <v>147</v>
      </c>
      <c r="C218" s="82" t="s">
        <v>13074</v>
      </c>
      <c r="D218" s="83">
        <v>100.0</v>
      </c>
      <c r="E218" s="274">
        <v>100.0</v>
      </c>
      <c r="F218" s="473" t="s">
        <v>159</v>
      </c>
    </row>
    <row r="219" ht="15.0" customHeight="1">
      <c r="A219" s="82" t="s">
        <v>8360</v>
      </c>
      <c r="B219" s="82" t="s">
        <v>147</v>
      </c>
      <c r="C219" s="82" t="s">
        <v>13075</v>
      </c>
      <c r="D219" s="83">
        <v>30.0</v>
      </c>
      <c r="E219" s="274">
        <v>30.0</v>
      </c>
      <c r="F219" s="473" t="s">
        <v>161</v>
      </c>
    </row>
    <row r="220" ht="15.0" customHeight="1">
      <c r="A220" s="82" t="s">
        <v>8360</v>
      </c>
      <c r="B220" s="82" t="s">
        <v>147</v>
      </c>
      <c r="C220" s="82" t="s">
        <v>13076</v>
      </c>
      <c r="D220" s="83">
        <v>100.0</v>
      </c>
      <c r="E220" s="274">
        <v>100.0</v>
      </c>
      <c r="F220" s="473" t="s">
        <v>161</v>
      </c>
    </row>
    <row r="221" ht="15.0" customHeight="1">
      <c r="A221" s="82" t="s">
        <v>8879</v>
      </c>
      <c r="B221" s="82" t="s">
        <v>147</v>
      </c>
      <c r="C221" s="82" t="s">
        <v>12994</v>
      </c>
      <c r="D221" s="83">
        <v>100.0</v>
      </c>
      <c r="E221" s="274">
        <v>100.0</v>
      </c>
      <c r="F221" s="473" t="s">
        <v>162</v>
      </c>
    </row>
    <row r="222" ht="15.0" customHeight="1">
      <c r="A222" s="82" t="s">
        <v>9298</v>
      </c>
      <c r="B222" s="82" t="s">
        <v>147</v>
      </c>
      <c r="C222" s="82" t="s">
        <v>13077</v>
      </c>
      <c r="D222" s="83">
        <v>100.0</v>
      </c>
      <c r="E222" s="274">
        <v>100.0</v>
      </c>
      <c r="F222" s="473" t="s">
        <v>164</v>
      </c>
    </row>
    <row r="223" ht="15.0" customHeight="1">
      <c r="A223" s="82" t="s">
        <v>9356</v>
      </c>
      <c r="B223" s="82" t="s">
        <v>147</v>
      </c>
      <c r="C223" s="82" t="s">
        <v>12991</v>
      </c>
      <c r="D223" s="83">
        <v>100.0</v>
      </c>
      <c r="E223" s="274">
        <v>100.0</v>
      </c>
      <c r="F223" s="473" t="s">
        <v>165</v>
      </c>
    </row>
    <row r="224" ht="15.0" customHeight="1">
      <c r="A224" s="82" t="s">
        <v>1211</v>
      </c>
      <c r="B224" s="82" t="s">
        <v>147</v>
      </c>
      <c r="C224" s="82" t="s">
        <v>13078</v>
      </c>
      <c r="D224" s="83">
        <v>100.0</v>
      </c>
      <c r="E224" s="274">
        <v>100.0</v>
      </c>
      <c r="F224" s="473" t="s">
        <v>168</v>
      </c>
    </row>
    <row r="225" ht="15.0" customHeight="1">
      <c r="A225" s="82" t="s">
        <v>9302</v>
      </c>
      <c r="B225" s="82" t="s">
        <v>147</v>
      </c>
      <c r="C225" s="82" t="s">
        <v>12991</v>
      </c>
      <c r="D225" s="83">
        <v>100.0</v>
      </c>
      <c r="E225" s="274">
        <v>100.0</v>
      </c>
      <c r="F225" s="473" t="s">
        <v>170</v>
      </c>
    </row>
    <row r="226" ht="15.0" customHeight="1">
      <c r="A226" s="82" t="s">
        <v>9302</v>
      </c>
      <c r="B226" s="82" t="s">
        <v>147</v>
      </c>
      <c r="C226" s="82" t="s">
        <v>13079</v>
      </c>
      <c r="D226" s="83">
        <v>80.0</v>
      </c>
      <c r="E226" s="274">
        <v>80.0</v>
      </c>
      <c r="F226" s="473" t="s">
        <v>170</v>
      </c>
    </row>
    <row r="227" ht="15.0" customHeight="1">
      <c r="A227" s="82" t="s">
        <v>8891</v>
      </c>
      <c r="B227" s="82" t="s">
        <v>147</v>
      </c>
      <c r="C227" s="82" t="s">
        <v>13071</v>
      </c>
      <c r="D227" s="83">
        <v>100.0</v>
      </c>
      <c r="E227" s="274">
        <v>100.0</v>
      </c>
      <c r="F227" s="473" t="s">
        <v>171</v>
      </c>
    </row>
    <row r="228" ht="15.0" customHeight="1">
      <c r="A228" s="82" t="s">
        <v>13080</v>
      </c>
      <c r="B228" s="82" t="s">
        <v>147</v>
      </c>
      <c r="C228" s="82" t="s">
        <v>13081</v>
      </c>
      <c r="D228" s="83">
        <v>100.0</v>
      </c>
      <c r="E228" s="274">
        <v>100.0</v>
      </c>
      <c r="F228" s="473" t="s">
        <v>5077</v>
      </c>
    </row>
    <row r="229" ht="15.0" customHeight="1">
      <c r="A229" s="82" t="s">
        <v>8409</v>
      </c>
      <c r="B229" s="82" t="s">
        <v>147</v>
      </c>
      <c r="C229" s="82" t="s">
        <v>13068</v>
      </c>
      <c r="D229" s="83">
        <v>8.0</v>
      </c>
      <c r="E229" s="274">
        <v>8.0</v>
      </c>
      <c r="F229" s="473" t="s">
        <v>5077</v>
      </c>
    </row>
    <row r="230" ht="15.0" customHeight="1">
      <c r="A230" s="82" t="s">
        <v>9305</v>
      </c>
      <c r="B230" s="82" t="s">
        <v>147</v>
      </c>
      <c r="C230" s="82" t="s">
        <v>13082</v>
      </c>
      <c r="D230" s="83">
        <v>100.0</v>
      </c>
      <c r="E230" s="274">
        <v>100.0</v>
      </c>
      <c r="F230" s="473" t="s">
        <v>5101</v>
      </c>
    </row>
    <row r="231" ht="15.0" customHeight="1">
      <c r="A231" s="82" t="s">
        <v>13083</v>
      </c>
      <c r="B231" s="82" t="s">
        <v>147</v>
      </c>
      <c r="C231" s="82" t="s">
        <v>12994</v>
      </c>
      <c r="D231" s="83">
        <v>100.0</v>
      </c>
      <c r="E231" s="274">
        <v>100.0</v>
      </c>
      <c r="F231" s="473" t="s">
        <v>5104</v>
      </c>
    </row>
    <row r="232" ht="15.0" customHeight="1">
      <c r="A232" s="82" t="s">
        <v>9307</v>
      </c>
      <c r="B232" s="82" t="s">
        <v>147</v>
      </c>
      <c r="C232" s="82" t="s">
        <v>12991</v>
      </c>
      <c r="D232" s="83">
        <v>100.0</v>
      </c>
      <c r="E232" s="274">
        <v>100.0</v>
      </c>
      <c r="F232" s="473" t="s">
        <v>5108</v>
      </c>
    </row>
    <row r="233" ht="15.0" customHeight="1">
      <c r="A233" s="82" t="s">
        <v>9308</v>
      </c>
      <c r="B233" s="82" t="s">
        <v>147</v>
      </c>
      <c r="C233" s="82" t="s">
        <v>12991</v>
      </c>
      <c r="D233" s="83">
        <v>100.0</v>
      </c>
      <c r="E233" s="274">
        <v>100.0</v>
      </c>
      <c r="F233" s="473" t="s">
        <v>5654</v>
      </c>
    </row>
    <row r="234" ht="15.0" customHeight="1">
      <c r="A234" s="82" t="s">
        <v>13084</v>
      </c>
      <c r="B234" s="82" t="s">
        <v>147</v>
      </c>
      <c r="C234" s="82" t="s">
        <v>12994</v>
      </c>
      <c r="D234" s="83">
        <v>100.0</v>
      </c>
      <c r="E234" s="274">
        <v>100.0</v>
      </c>
      <c r="F234" s="473" t="s">
        <v>179</v>
      </c>
    </row>
    <row r="235" ht="15.0" customHeight="1">
      <c r="A235" s="82" t="s">
        <v>13084</v>
      </c>
      <c r="B235" s="82" t="s">
        <v>94</v>
      </c>
      <c r="C235" s="82" t="s">
        <v>13085</v>
      </c>
      <c r="D235" s="83">
        <v>30.0</v>
      </c>
      <c r="E235" s="274">
        <v>30.0</v>
      </c>
      <c r="F235" s="473" t="s">
        <v>179</v>
      </c>
    </row>
    <row r="236" ht="15.0" customHeight="1">
      <c r="A236" s="82" t="s">
        <v>13084</v>
      </c>
      <c r="B236" s="82" t="s">
        <v>147</v>
      </c>
      <c r="C236" s="82" t="s">
        <v>13086</v>
      </c>
      <c r="D236" s="83">
        <v>30.0</v>
      </c>
      <c r="E236" s="274">
        <v>30.0</v>
      </c>
      <c r="F236" s="473" t="s">
        <v>179</v>
      </c>
    </row>
    <row r="237" ht="15.0" customHeight="1">
      <c r="A237" s="82" t="s">
        <v>13084</v>
      </c>
      <c r="B237" s="82" t="s">
        <v>94</v>
      </c>
      <c r="C237" s="82" t="s">
        <v>13087</v>
      </c>
      <c r="D237" s="83">
        <v>30.0</v>
      </c>
      <c r="E237" s="274">
        <v>30.0</v>
      </c>
      <c r="F237" s="473" t="s">
        <v>179</v>
      </c>
    </row>
    <row r="238" ht="15.0" customHeight="1">
      <c r="A238" s="82" t="s">
        <v>13084</v>
      </c>
      <c r="B238" s="82" t="s">
        <v>94</v>
      </c>
      <c r="C238" s="82" t="s">
        <v>13088</v>
      </c>
      <c r="D238" s="83">
        <v>30.0</v>
      </c>
      <c r="E238" s="274">
        <v>30.0</v>
      </c>
      <c r="F238" s="473" t="s">
        <v>179</v>
      </c>
    </row>
    <row r="239" ht="15.0" customHeight="1">
      <c r="A239" s="82" t="s">
        <v>9310</v>
      </c>
      <c r="B239" s="82" t="s">
        <v>147</v>
      </c>
      <c r="C239" s="82" t="s">
        <v>12991</v>
      </c>
      <c r="D239" s="83">
        <v>100.0</v>
      </c>
      <c r="E239" s="274">
        <v>100.0</v>
      </c>
      <c r="F239" s="473" t="s">
        <v>180</v>
      </c>
    </row>
    <row r="240" ht="15.0" customHeight="1">
      <c r="A240" s="82" t="s">
        <v>9310</v>
      </c>
      <c r="B240" s="82" t="s">
        <v>147</v>
      </c>
      <c r="C240" s="82" t="s">
        <v>13085</v>
      </c>
      <c r="D240" s="83">
        <v>30.0</v>
      </c>
      <c r="E240" s="274">
        <v>30.0</v>
      </c>
      <c r="F240" s="473" t="s">
        <v>180</v>
      </c>
    </row>
    <row r="241" ht="15.0" customHeight="1">
      <c r="A241" s="82" t="s">
        <v>8898</v>
      </c>
      <c r="B241" s="82" t="s">
        <v>147</v>
      </c>
      <c r="C241" s="82" t="s">
        <v>13071</v>
      </c>
      <c r="D241" s="83">
        <v>100.0</v>
      </c>
      <c r="E241" s="274">
        <v>100.0</v>
      </c>
      <c r="F241" s="473" t="s">
        <v>8902</v>
      </c>
    </row>
    <row r="242" ht="15.0" customHeight="1">
      <c r="A242" s="82" t="s">
        <v>13089</v>
      </c>
      <c r="B242" s="82" t="s">
        <v>147</v>
      </c>
      <c r="C242" s="82" t="s">
        <v>12991</v>
      </c>
      <c r="D242" s="83">
        <v>100.0</v>
      </c>
      <c r="E242" s="274">
        <v>100.0</v>
      </c>
      <c r="F242" s="473" t="s">
        <v>174</v>
      </c>
    </row>
    <row r="243" ht="15.75" customHeight="1">
      <c r="A243" s="110"/>
      <c r="B243" s="285"/>
      <c r="C243" s="285"/>
      <c r="D243" s="476"/>
      <c r="E243" s="476">
        <f>SUM(E12:E242)</f>
        <v>10781</v>
      </c>
    </row>
    <row r="244" ht="15.75" customHeight="1">
      <c r="A244" s="104"/>
      <c r="B244" s="104"/>
      <c r="C244" s="61"/>
      <c r="D244" s="61"/>
      <c r="E244" s="61"/>
      <c r="F244" s="1"/>
      <c r="G244" s="1"/>
      <c r="H244" s="1"/>
    </row>
    <row r="245" ht="15.75" customHeight="1">
      <c r="A245" s="144" t="s">
        <v>1169</v>
      </c>
      <c r="B245" s="103"/>
      <c r="C245" s="103"/>
      <c r="D245" s="103"/>
      <c r="E245" s="103"/>
      <c r="F245" s="103"/>
      <c r="G245" s="103"/>
      <c r="H245" s="103"/>
      <c r="I245" s="104"/>
      <c r="J245" s="104"/>
      <c r="K245" s="104"/>
      <c r="L245" s="104"/>
      <c r="M245" s="104"/>
      <c r="N245" s="104"/>
      <c r="O245" s="104"/>
      <c r="P245" s="104"/>
      <c r="Q245" s="104"/>
      <c r="R245" s="104"/>
      <c r="S245" s="104"/>
      <c r="T245" s="104"/>
      <c r="U245" s="104"/>
      <c r="V245" s="104"/>
      <c r="W245" s="104"/>
      <c r="X245" s="104"/>
      <c r="Y245" s="104"/>
    </row>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E2"/>
    <mergeCell ref="A4:E4"/>
    <mergeCell ref="A5:E5"/>
    <mergeCell ref="A6:E6"/>
    <mergeCell ref="A7:E7"/>
    <mergeCell ref="A8:E8"/>
    <mergeCell ref="A9:E9"/>
    <mergeCell ref="A245:H245"/>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2" width="9.14"/>
    <col customWidth="1" min="13" max="13" width="19.71"/>
    <col customWidth="1" min="14" max="14" width="8.14"/>
    <col customWidth="1" min="15" max="15" width="10.14"/>
    <col customWidth="1" min="16" max="20" width="8.86"/>
    <col customWidth="1" min="21" max="28" width="8.0"/>
  </cols>
  <sheetData>
    <row r="1">
      <c r="A1" s="104"/>
      <c r="B1" s="61"/>
      <c r="C1" s="1"/>
      <c r="D1" s="1"/>
      <c r="E1" s="1"/>
      <c r="F1" s="1"/>
      <c r="G1" s="1"/>
      <c r="H1" s="1"/>
      <c r="I1" s="1"/>
      <c r="J1" s="1"/>
      <c r="K1" s="1"/>
      <c r="L1" s="1"/>
      <c r="M1" s="1"/>
      <c r="N1" s="1"/>
    </row>
    <row r="2" ht="21.75" customHeight="1">
      <c r="A2" s="105" t="s">
        <v>1187</v>
      </c>
      <c r="B2" s="64"/>
      <c r="C2" s="64"/>
      <c r="D2" s="64"/>
      <c r="E2" s="64"/>
      <c r="F2" s="64"/>
      <c r="G2" s="64"/>
      <c r="H2" s="64"/>
      <c r="I2" s="64"/>
      <c r="J2" s="64"/>
      <c r="K2" s="64"/>
      <c r="L2" s="64"/>
      <c r="M2" s="124"/>
      <c r="N2" s="124"/>
      <c r="O2" s="124"/>
      <c r="P2" s="125"/>
      <c r="Q2" s="126"/>
      <c r="R2" s="126"/>
      <c r="S2" s="126"/>
      <c r="T2" s="126"/>
      <c r="U2" s="126"/>
      <c r="V2" s="126"/>
      <c r="W2" s="126"/>
      <c r="X2" s="126"/>
      <c r="Y2" s="126"/>
      <c r="Z2" s="126"/>
      <c r="AA2" s="126"/>
      <c r="AB2" s="126"/>
    </row>
    <row r="3" ht="18.0" customHeight="1">
      <c r="A3" s="127"/>
      <c r="B3" s="127"/>
      <c r="C3" s="127"/>
      <c r="D3" s="127"/>
      <c r="E3" s="127"/>
      <c r="F3" s="127"/>
      <c r="G3" s="127"/>
      <c r="H3" s="106"/>
      <c r="I3" s="106"/>
      <c r="J3" s="106"/>
      <c r="K3" s="106"/>
      <c r="L3" s="106"/>
      <c r="M3" s="106"/>
      <c r="N3" s="106"/>
      <c r="O3" s="107"/>
      <c r="P3" s="107"/>
      <c r="Q3" s="107"/>
      <c r="R3" s="107"/>
      <c r="S3" s="107"/>
      <c r="T3" s="107"/>
      <c r="U3" s="107"/>
      <c r="V3" s="107"/>
      <c r="W3" s="107"/>
      <c r="X3" s="107"/>
      <c r="Y3" s="107"/>
      <c r="Z3" s="107"/>
      <c r="AA3" s="107"/>
      <c r="AB3" s="107"/>
    </row>
    <row r="4" ht="41.25" customHeight="1">
      <c r="A4" s="128" t="s">
        <v>1188</v>
      </c>
      <c r="B4" s="64"/>
      <c r="C4" s="64"/>
      <c r="D4" s="64"/>
      <c r="E4" s="64"/>
      <c r="F4" s="64"/>
      <c r="G4" s="64"/>
      <c r="H4" s="64"/>
      <c r="I4" s="64"/>
      <c r="J4" s="64"/>
      <c r="K4" s="64"/>
      <c r="L4" s="64"/>
      <c r="M4" s="124"/>
      <c r="N4" s="124"/>
      <c r="O4" s="124"/>
      <c r="P4" s="125"/>
      <c r="Q4" s="107"/>
      <c r="R4" s="107"/>
      <c r="S4" s="107"/>
      <c r="T4" s="107"/>
      <c r="U4" s="107"/>
      <c r="V4" s="107"/>
      <c r="W4" s="107"/>
      <c r="X4" s="107"/>
      <c r="Y4" s="107"/>
      <c r="Z4" s="107"/>
      <c r="AA4" s="107"/>
      <c r="AB4" s="107"/>
    </row>
    <row r="5" ht="13.5" customHeight="1">
      <c r="A5" s="129" t="s">
        <v>1189</v>
      </c>
      <c r="B5" s="64"/>
      <c r="C5" s="64"/>
      <c r="D5" s="64"/>
      <c r="E5" s="64"/>
      <c r="F5" s="64"/>
      <c r="G5" s="64"/>
      <c r="H5" s="64"/>
      <c r="I5" s="64"/>
      <c r="J5" s="64"/>
      <c r="K5" s="64"/>
      <c r="L5" s="64"/>
      <c r="M5" s="124"/>
      <c r="N5" s="124"/>
      <c r="O5" s="124"/>
      <c r="P5" s="125"/>
      <c r="Q5" s="107"/>
      <c r="R5" s="107"/>
      <c r="S5" s="107"/>
      <c r="T5" s="107"/>
      <c r="U5" s="107"/>
      <c r="V5" s="107"/>
      <c r="W5" s="107"/>
      <c r="X5" s="107"/>
      <c r="Y5" s="107"/>
      <c r="Z5" s="107"/>
      <c r="AA5" s="107"/>
      <c r="AB5" s="107"/>
    </row>
    <row r="6" ht="14.25" customHeight="1">
      <c r="A6" s="128" t="s">
        <v>1190</v>
      </c>
      <c r="B6" s="64"/>
      <c r="C6" s="64"/>
      <c r="D6" s="64"/>
      <c r="E6" s="64"/>
      <c r="F6" s="64"/>
      <c r="G6" s="64"/>
      <c r="H6" s="64"/>
      <c r="I6" s="64"/>
      <c r="J6" s="64"/>
      <c r="K6" s="64"/>
      <c r="L6" s="64"/>
      <c r="M6" s="124"/>
      <c r="N6" s="124"/>
      <c r="O6" s="124"/>
      <c r="P6" s="125"/>
      <c r="Q6" s="107"/>
      <c r="R6" s="107"/>
      <c r="S6" s="107"/>
      <c r="T6" s="107"/>
      <c r="U6" s="107"/>
      <c r="V6" s="107"/>
      <c r="W6" s="107"/>
      <c r="X6" s="107"/>
      <c r="Y6" s="107"/>
      <c r="Z6" s="107"/>
      <c r="AA6" s="107"/>
      <c r="AB6" s="107"/>
    </row>
    <row r="7" ht="14.25" customHeight="1">
      <c r="A7" s="108" t="s">
        <v>1191</v>
      </c>
      <c r="B7" s="64"/>
      <c r="C7" s="64"/>
      <c r="D7" s="64"/>
      <c r="E7" s="64"/>
      <c r="F7" s="64"/>
      <c r="G7" s="64"/>
      <c r="H7" s="64"/>
      <c r="I7" s="64"/>
      <c r="J7" s="64"/>
      <c r="K7" s="64"/>
      <c r="L7" s="64"/>
      <c r="M7" s="124"/>
      <c r="N7" s="124"/>
      <c r="O7" s="124"/>
      <c r="P7" s="125"/>
      <c r="Q7" s="106"/>
      <c r="R7" s="106"/>
      <c r="S7" s="106"/>
      <c r="T7" s="106"/>
      <c r="U7" s="107"/>
      <c r="V7" s="107"/>
      <c r="W7" s="107"/>
      <c r="X7" s="107"/>
      <c r="Y7" s="107"/>
      <c r="Z7" s="107"/>
      <c r="AA7" s="107"/>
      <c r="AB7" s="107"/>
    </row>
    <row r="8" ht="15.0" customHeight="1">
      <c r="A8" s="129" t="s">
        <v>1192</v>
      </c>
      <c r="B8" s="64"/>
      <c r="C8" s="64"/>
      <c r="D8" s="64"/>
      <c r="E8" s="64"/>
      <c r="F8" s="64"/>
      <c r="G8" s="64"/>
      <c r="H8" s="64"/>
      <c r="I8" s="64"/>
      <c r="J8" s="64"/>
      <c r="K8" s="64"/>
      <c r="L8" s="64"/>
      <c r="M8" s="124"/>
      <c r="N8" s="124"/>
      <c r="O8" s="124"/>
      <c r="P8" s="125"/>
      <c r="Q8" s="106"/>
      <c r="R8" s="106"/>
      <c r="S8" s="106"/>
      <c r="T8" s="106"/>
      <c r="U8" s="107"/>
      <c r="V8" s="107"/>
      <c r="W8" s="107"/>
      <c r="X8" s="107"/>
      <c r="Y8" s="107"/>
      <c r="Z8" s="107"/>
      <c r="AA8" s="107"/>
      <c r="AB8" s="107"/>
    </row>
    <row r="9" ht="14.25" customHeight="1">
      <c r="A9" s="108" t="s">
        <v>1193</v>
      </c>
      <c r="B9" s="64"/>
      <c r="C9" s="64"/>
      <c r="D9" s="64"/>
      <c r="E9" s="64"/>
      <c r="F9" s="64"/>
      <c r="G9" s="64"/>
      <c r="H9" s="64"/>
      <c r="I9" s="64"/>
      <c r="J9" s="64"/>
      <c r="K9" s="64"/>
      <c r="L9" s="64"/>
      <c r="M9" s="124"/>
      <c r="N9" s="124"/>
      <c r="O9" s="124"/>
      <c r="P9" s="125"/>
      <c r="Q9" s="106"/>
      <c r="R9" s="106"/>
      <c r="S9" s="106"/>
      <c r="T9" s="106"/>
      <c r="U9" s="107"/>
      <c r="V9" s="107"/>
      <c r="W9" s="107"/>
      <c r="X9" s="107"/>
      <c r="Y9" s="107"/>
      <c r="Z9" s="107"/>
      <c r="AA9" s="107"/>
      <c r="AB9" s="107"/>
    </row>
    <row r="10" ht="14.25" customHeight="1">
      <c r="A10" s="108" t="s">
        <v>1194</v>
      </c>
      <c r="B10" s="64"/>
      <c r="C10" s="64"/>
      <c r="D10" s="64"/>
      <c r="E10" s="64"/>
      <c r="F10" s="64"/>
      <c r="G10" s="64"/>
      <c r="H10" s="64"/>
      <c r="I10" s="64"/>
      <c r="J10" s="64"/>
      <c r="K10" s="64"/>
      <c r="L10" s="64"/>
      <c r="M10" s="124"/>
      <c r="N10" s="124"/>
      <c r="O10" s="124"/>
      <c r="P10" s="125"/>
      <c r="Q10" s="106"/>
      <c r="R10" s="106"/>
      <c r="S10" s="106"/>
      <c r="T10" s="106"/>
      <c r="U10" s="107"/>
      <c r="V10" s="107"/>
      <c r="W10" s="107"/>
      <c r="X10" s="107"/>
      <c r="Y10" s="107"/>
      <c r="Z10" s="107"/>
      <c r="AA10" s="107"/>
      <c r="AB10" s="107"/>
    </row>
    <row r="11" ht="66.75" customHeight="1">
      <c r="A11" s="67" t="s">
        <v>1195</v>
      </c>
      <c r="B11" s="64"/>
      <c r="C11" s="64"/>
      <c r="D11" s="64"/>
      <c r="E11" s="64"/>
      <c r="F11" s="64"/>
      <c r="G11" s="64"/>
      <c r="H11" s="64"/>
      <c r="I11" s="64"/>
      <c r="J11" s="64"/>
      <c r="K11" s="64"/>
      <c r="L11" s="64"/>
      <c r="M11" s="124"/>
      <c r="N11" s="124"/>
      <c r="O11" s="124"/>
      <c r="P11" s="125"/>
      <c r="Q11" s="107"/>
      <c r="R11" s="107"/>
      <c r="S11" s="107"/>
      <c r="T11" s="107"/>
      <c r="U11" s="107"/>
      <c r="V11" s="107"/>
      <c r="W11" s="107"/>
      <c r="X11" s="107"/>
      <c r="Y11" s="107"/>
      <c r="Z11" s="107"/>
      <c r="AA11" s="107"/>
      <c r="AB11" s="107"/>
    </row>
    <row r="12">
      <c r="A12" s="130"/>
      <c r="B12" s="130"/>
      <c r="C12" s="130"/>
      <c r="D12" s="130"/>
      <c r="E12" s="130"/>
      <c r="F12" s="130"/>
      <c r="G12" s="130"/>
      <c r="H12" s="130"/>
      <c r="I12" s="130"/>
      <c r="J12" s="130"/>
      <c r="K12" s="130"/>
      <c r="L12" s="130"/>
      <c r="M12" s="130"/>
      <c r="N12" s="130"/>
      <c r="O12" s="107"/>
      <c r="P12" s="107"/>
      <c r="Q12" s="107"/>
      <c r="R12" s="107"/>
      <c r="S12" s="107"/>
      <c r="T12" s="107"/>
      <c r="U12" s="107"/>
      <c r="V12" s="107"/>
      <c r="W12" s="107"/>
      <c r="X12" s="107"/>
      <c r="Y12" s="107"/>
      <c r="Z12" s="107"/>
      <c r="AA12" s="107"/>
      <c r="AB12" s="107"/>
    </row>
    <row r="13">
      <c r="A13" s="131" t="s">
        <v>7</v>
      </c>
      <c r="B13" s="131" t="s">
        <v>1196</v>
      </c>
      <c r="C13" s="131" t="s">
        <v>1197</v>
      </c>
      <c r="D13" s="131" t="s">
        <v>1198</v>
      </c>
      <c r="E13" s="131" t="s">
        <v>1199</v>
      </c>
      <c r="F13" s="132" t="s">
        <v>8</v>
      </c>
      <c r="G13" s="131" t="s">
        <v>1200</v>
      </c>
      <c r="H13" s="131" t="s">
        <v>1201</v>
      </c>
      <c r="I13" s="131" t="s">
        <v>1202</v>
      </c>
      <c r="J13" s="131" t="s">
        <v>1203</v>
      </c>
      <c r="K13" s="131" t="s">
        <v>1204</v>
      </c>
      <c r="L13" s="133" t="s">
        <v>221</v>
      </c>
      <c r="M13" s="113" t="s">
        <v>222</v>
      </c>
      <c r="N13" s="130"/>
      <c r="O13" s="107"/>
      <c r="P13" s="107"/>
    </row>
    <row r="14" ht="265.5" customHeight="1">
      <c r="A14" s="134" t="s">
        <v>1205</v>
      </c>
      <c r="B14" s="134" t="s">
        <v>1206</v>
      </c>
      <c r="C14" s="134" t="s">
        <v>1207</v>
      </c>
      <c r="D14" s="134" t="s">
        <v>1208</v>
      </c>
      <c r="E14" s="134" t="s">
        <v>1205</v>
      </c>
      <c r="F14" s="135" t="s">
        <v>94</v>
      </c>
      <c r="G14" s="136" t="s">
        <v>1209</v>
      </c>
      <c r="H14" s="134">
        <v>2023.0</v>
      </c>
      <c r="I14" s="134">
        <v>2023.0</v>
      </c>
      <c r="J14" s="134" t="s">
        <v>1210</v>
      </c>
      <c r="K14" s="134">
        <v>1000.0</v>
      </c>
      <c r="L14" s="137">
        <v>1000.0</v>
      </c>
      <c r="M14" s="138" t="s">
        <v>681</v>
      </c>
    </row>
    <row r="15" ht="15.0" customHeight="1">
      <c r="A15" s="139" t="s">
        <v>1211</v>
      </c>
      <c r="B15" s="139"/>
      <c r="C15" s="139"/>
      <c r="D15" s="139" t="s">
        <v>1212</v>
      </c>
      <c r="E15" s="139"/>
      <c r="F15" s="139" t="s">
        <v>52</v>
      </c>
      <c r="G15" s="139"/>
      <c r="H15" s="139"/>
      <c r="I15" s="139"/>
      <c r="J15" s="139"/>
      <c r="K15" s="139"/>
      <c r="L15" s="140"/>
      <c r="M15" s="141" t="s">
        <v>1213</v>
      </c>
      <c r="N15" s="130"/>
      <c r="O15" s="107"/>
      <c r="P15" s="107"/>
    </row>
    <row r="16">
      <c r="A16" s="142" t="s">
        <v>1214</v>
      </c>
      <c r="B16" s="142"/>
      <c r="C16" s="142"/>
      <c r="D16" s="142"/>
      <c r="E16" s="142"/>
      <c r="F16" s="142"/>
      <c r="G16" s="142"/>
      <c r="H16" s="142"/>
      <c r="I16" s="142"/>
      <c r="J16" s="142"/>
      <c r="K16" s="142"/>
      <c r="L16" s="143">
        <f>SUM(L14:L15)</f>
        <v>1000</v>
      </c>
      <c r="M16" s="130"/>
      <c r="N16" s="130"/>
      <c r="O16" s="107"/>
      <c r="P16" s="107"/>
    </row>
    <row r="17" ht="14.25" customHeight="1">
      <c r="A17" s="144" t="s">
        <v>1169</v>
      </c>
      <c r="B17" s="103"/>
      <c r="C17" s="103"/>
      <c r="D17" s="103"/>
      <c r="E17" s="103"/>
      <c r="F17" s="103"/>
      <c r="G17" s="103"/>
      <c r="H17" s="103"/>
      <c r="I17" s="103"/>
      <c r="J17" s="103"/>
      <c r="K17" s="103"/>
      <c r="L17" s="103"/>
      <c r="M17" s="3"/>
      <c r="N17" s="3"/>
      <c r="O17" s="3"/>
      <c r="P17" s="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7:L17"/>
    <mergeCell ref="A2:L2"/>
    <mergeCell ref="A4:L4"/>
    <mergeCell ref="A5:L5"/>
    <mergeCell ref="A6:L6"/>
    <mergeCell ref="A7:L7"/>
    <mergeCell ref="A8:L8"/>
    <mergeCell ref="A9:L9"/>
  </mergeCells>
  <hyperlinks>
    <hyperlink r:id="rId1" ref="G14"/>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9.14"/>
    <col customWidth="1" min="12" max="12" width="8.86"/>
    <col customWidth="1" min="13" max="24" width="8.0"/>
  </cols>
  <sheetData>
    <row r="1">
      <c r="A1" s="104"/>
      <c r="B1" s="61"/>
      <c r="C1" s="1"/>
      <c r="D1" s="1"/>
      <c r="E1" s="1"/>
      <c r="F1" s="1"/>
      <c r="G1" s="1"/>
      <c r="H1" s="1"/>
      <c r="I1" s="1"/>
      <c r="J1" s="1"/>
      <c r="K1" s="1"/>
    </row>
    <row r="2" ht="15.75" customHeight="1">
      <c r="A2" s="105" t="s">
        <v>1215</v>
      </c>
      <c r="B2" s="64"/>
      <c r="C2" s="64"/>
      <c r="D2" s="64"/>
      <c r="E2" s="64"/>
      <c r="F2" s="64"/>
      <c r="G2" s="64"/>
      <c r="H2" s="64"/>
      <c r="I2" s="64"/>
      <c r="J2" s="64"/>
      <c r="K2" s="65"/>
      <c r="L2" s="107"/>
      <c r="M2" s="107"/>
      <c r="N2" s="107"/>
      <c r="O2" s="107"/>
      <c r="P2" s="107"/>
      <c r="Q2" s="107"/>
      <c r="R2" s="107"/>
      <c r="S2" s="107"/>
      <c r="T2" s="107"/>
      <c r="U2" s="107"/>
      <c r="V2" s="107"/>
      <c r="W2" s="107"/>
      <c r="X2" s="107"/>
    </row>
    <row r="3" ht="15.75" customHeight="1">
      <c r="A3" s="145"/>
      <c r="B3" s="145"/>
      <c r="C3" s="145"/>
      <c r="D3" s="145"/>
      <c r="E3" s="145"/>
      <c r="F3" s="145"/>
      <c r="G3" s="145"/>
      <c r="H3" s="145"/>
      <c r="I3" s="145"/>
      <c r="J3" s="145"/>
      <c r="K3" s="145"/>
      <c r="L3" s="107"/>
      <c r="M3" s="107"/>
      <c r="N3" s="107"/>
      <c r="O3" s="107"/>
      <c r="P3" s="107"/>
      <c r="Q3" s="107"/>
      <c r="R3" s="107"/>
      <c r="S3" s="107"/>
      <c r="T3" s="107"/>
      <c r="U3" s="107"/>
      <c r="V3" s="107"/>
      <c r="W3" s="107"/>
      <c r="X3" s="107"/>
    </row>
    <row r="4" ht="28.5" customHeight="1">
      <c r="A4" s="67" t="s">
        <v>1216</v>
      </c>
      <c r="B4" s="64"/>
      <c r="C4" s="64"/>
      <c r="D4" s="64"/>
      <c r="E4" s="64"/>
      <c r="F4" s="64"/>
      <c r="G4" s="64"/>
      <c r="H4" s="64"/>
      <c r="I4" s="64"/>
      <c r="J4" s="64"/>
      <c r="K4" s="65"/>
      <c r="L4" s="107"/>
      <c r="M4" s="107"/>
      <c r="N4" s="107"/>
      <c r="O4" s="107"/>
      <c r="P4" s="107"/>
      <c r="Q4" s="107"/>
      <c r="R4" s="107"/>
      <c r="S4" s="107"/>
      <c r="T4" s="107"/>
      <c r="U4" s="107"/>
      <c r="V4" s="107"/>
      <c r="W4" s="107"/>
      <c r="X4" s="107"/>
    </row>
    <row r="5" ht="23.25" customHeight="1">
      <c r="A5" s="108" t="s">
        <v>1217</v>
      </c>
      <c r="B5" s="64"/>
      <c r="C5" s="64"/>
      <c r="D5" s="64"/>
      <c r="E5" s="64"/>
      <c r="F5" s="64"/>
      <c r="G5" s="64"/>
      <c r="H5" s="64"/>
      <c r="I5" s="64"/>
      <c r="J5" s="64"/>
      <c r="K5" s="65"/>
      <c r="L5" s="107"/>
      <c r="M5" s="107"/>
      <c r="N5" s="107"/>
      <c r="O5" s="107"/>
      <c r="P5" s="107"/>
      <c r="Q5" s="107"/>
      <c r="R5" s="107"/>
      <c r="S5" s="107"/>
      <c r="T5" s="107"/>
      <c r="U5" s="107"/>
      <c r="V5" s="107"/>
      <c r="W5" s="107"/>
      <c r="X5" s="107"/>
    </row>
    <row r="6">
      <c r="A6" s="108" t="s">
        <v>1218</v>
      </c>
      <c r="B6" s="64"/>
      <c r="C6" s="64"/>
      <c r="D6" s="64"/>
      <c r="E6" s="64"/>
      <c r="F6" s="64"/>
      <c r="G6" s="64"/>
      <c r="H6" s="64"/>
      <c r="I6" s="64"/>
      <c r="J6" s="64"/>
      <c r="K6" s="65"/>
      <c r="L6" s="107"/>
      <c r="M6" s="107"/>
      <c r="N6" s="107"/>
      <c r="O6" s="107"/>
      <c r="P6" s="107"/>
      <c r="Q6" s="107"/>
      <c r="R6" s="107"/>
      <c r="S6" s="107"/>
      <c r="T6" s="107"/>
      <c r="U6" s="107"/>
      <c r="V6" s="107"/>
      <c r="W6" s="107"/>
      <c r="X6" s="107"/>
    </row>
    <row r="7">
      <c r="A7" s="108" t="s">
        <v>1219</v>
      </c>
      <c r="B7" s="64"/>
      <c r="C7" s="64"/>
      <c r="D7" s="64"/>
      <c r="E7" s="64"/>
      <c r="F7" s="64"/>
      <c r="G7" s="64"/>
      <c r="H7" s="64"/>
      <c r="I7" s="64"/>
      <c r="J7" s="64"/>
      <c r="K7" s="65"/>
      <c r="L7" s="107"/>
      <c r="M7" s="107"/>
      <c r="N7" s="107"/>
      <c r="O7" s="107"/>
      <c r="P7" s="107"/>
      <c r="Q7" s="107"/>
      <c r="R7" s="107"/>
      <c r="S7" s="107"/>
      <c r="T7" s="107"/>
      <c r="U7" s="107"/>
      <c r="V7" s="107"/>
      <c r="W7" s="107"/>
      <c r="X7" s="107"/>
    </row>
    <row r="8">
      <c r="A8" s="108" t="s">
        <v>1220</v>
      </c>
      <c r="B8" s="64"/>
      <c r="C8" s="64"/>
      <c r="D8" s="64"/>
      <c r="E8" s="64"/>
      <c r="F8" s="64"/>
      <c r="G8" s="64"/>
      <c r="H8" s="64"/>
      <c r="I8" s="64"/>
      <c r="J8" s="64"/>
      <c r="K8" s="65"/>
      <c r="L8" s="107"/>
      <c r="M8" s="107"/>
      <c r="N8" s="107"/>
      <c r="O8" s="107"/>
      <c r="P8" s="107"/>
      <c r="Q8" s="107"/>
      <c r="R8" s="107"/>
      <c r="S8" s="107"/>
      <c r="T8" s="107"/>
      <c r="U8" s="107"/>
      <c r="V8" s="107"/>
      <c r="W8" s="107"/>
      <c r="X8" s="107"/>
    </row>
    <row r="9">
      <c r="A9" s="146" t="s">
        <v>1221</v>
      </c>
      <c r="B9" s="64"/>
      <c r="C9" s="64"/>
      <c r="D9" s="64"/>
      <c r="E9" s="64"/>
      <c r="F9" s="64"/>
      <c r="G9" s="64"/>
      <c r="H9" s="64"/>
      <c r="I9" s="64"/>
      <c r="J9" s="64"/>
      <c r="K9" s="65"/>
      <c r="L9" s="107"/>
      <c r="M9" s="107"/>
      <c r="N9" s="107"/>
      <c r="O9" s="107"/>
      <c r="P9" s="107"/>
      <c r="Q9" s="107"/>
      <c r="R9" s="107"/>
      <c r="S9" s="107"/>
      <c r="T9" s="107"/>
      <c r="U9" s="107"/>
      <c r="V9" s="107"/>
      <c r="W9" s="107"/>
      <c r="X9" s="107"/>
    </row>
    <row r="10" ht="27.0" customHeight="1">
      <c r="A10" s="108" t="s">
        <v>1222</v>
      </c>
      <c r="B10" s="64"/>
      <c r="C10" s="64"/>
      <c r="D10" s="64"/>
      <c r="E10" s="64"/>
      <c r="F10" s="64"/>
      <c r="G10" s="64"/>
      <c r="H10" s="64"/>
      <c r="I10" s="64"/>
      <c r="J10" s="64"/>
      <c r="K10" s="65"/>
      <c r="L10" s="107"/>
      <c r="M10" s="107"/>
      <c r="N10" s="107"/>
      <c r="O10" s="107"/>
      <c r="P10" s="107"/>
      <c r="Q10" s="107"/>
      <c r="R10" s="107"/>
      <c r="S10" s="107"/>
      <c r="T10" s="107"/>
      <c r="U10" s="107"/>
      <c r="V10" s="107"/>
      <c r="W10" s="107"/>
      <c r="X10" s="107"/>
    </row>
    <row r="11">
      <c r="A11" s="108" t="s">
        <v>1223</v>
      </c>
      <c r="B11" s="64"/>
      <c r="C11" s="64"/>
      <c r="D11" s="64"/>
      <c r="E11" s="64"/>
      <c r="F11" s="64"/>
      <c r="G11" s="64"/>
      <c r="H11" s="64"/>
      <c r="I11" s="64"/>
      <c r="J11" s="64"/>
      <c r="K11" s="65"/>
      <c r="L11" s="107"/>
      <c r="M11" s="107"/>
      <c r="N11" s="107"/>
      <c r="O11" s="107"/>
      <c r="P11" s="107"/>
      <c r="Q11" s="107"/>
      <c r="R11" s="107"/>
      <c r="S11" s="107"/>
      <c r="T11" s="107"/>
      <c r="U11" s="107"/>
      <c r="V11" s="107"/>
      <c r="W11" s="107"/>
      <c r="X11" s="107"/>
    </row>
    <row r="12">
      <c r="A12" s="108" t="s">
        <v>1224</v>
      </c>
      <c r="B12" s="64"/>
      <c r="C12" s="64"/>
      <c r="D12" s="64"/>
      <c r="E12" s="64"/>
      <c r="F12" s="64"/>
      <c r="G12" s="64"/>
      <c r="H12" s="64"/>
      <c r="I12" s="64"/>
      <c r="J12" s="64"/>
      <c r="K12" s="65"/>
      <c r="L12" s="107"/>
      <c r="M12" s="107"/>
      <c r="N12" s="107"/>
      <c r="O12" s="107"/>
      <c r="P12" s="107"/>
      <c r="Q12" s="107"/>
      <c r="R12" s="107"/>
      <c r="S12" s="107"/>
      <c r="T12" s="107"/>
      <c r="U12" s="107"/>
      <c r="V12" s="107"/>
      <c r="W12" s="107"/>
      <c r="X12" s="107"/>
    </row>
    <row r="13" ht="30.0" customHeight="1">
      <c r="A13" s="67" t="s">
        <v>1225</v>
      </c>
      <c r="B13" s="64"/>
      <c r="C13" s="64"/>
      <c r="D13" s="64"/>
      <c r="E13" s="64"/>
      <c r="F13" s="64"/>
      <c r="G13" s="64"/>
      <c r="H13" s="64"/>
      <c r="I13" s="64"/>
      <c r="J13" s="64"/>
      <c r="K13" s="65"/>
      <c r="L13" s="107"/>
      <c r="M13" s="107"/>
      <c r="N13" s="107"/>
      <c r="O13" s="107"/>
      <c r="P13" s="107"/>
      <c r="Q13" s="107"/>
      <c r="R13" s="107"/>
      <c r="S13" s="107"/>
      <c r="T13" s="107"/>
      <c r="U13" s="107"/>
      <c r="V13" s="107"/>
      <c r="W13" s="107"/>
      <c r="X13" s="107"/>
    </row>
    <row r="14">
      <c r="A14" s="104"/>
      <c r="B14" s="61"/>
      <c r="C14" s="1"/>
      <c r="D14" s="1"/>
      <c r="E14" s="1"/>
      <c r="F14" s="1"/>
      <c r="G14" s="1"/>
      <c r="H14" s="1"/>
      <c r="I14" s="1"/>
      <c r="J14" s="1"/>
      <c r="K14" s="1"/>
    </row>
    <row r="15" ht="63.75" customHeight="1">
      <c r="A15" s="131" t="s">
        <v>1226</v>
      </c>
      <c r="B15" s="132" t="s">
        <v>1227</v>
      </c>
      <c r="C15" s="132" t="s">
        <v>8</v>
      </c>
      <c r="D15" s="132" t="s">
        <v>1228</v>
      </c>
      <c r="E15" s="131" t="s">
        <v>1229</v>
      </c>
      <c r="F15" s="132" t="s">
        <v>1230</v>
      </c>
      <c r="G15" s="112" t="s">
        <v>1231</v>
      </c>
      <c r="H15" s="112" t="s">
        <v>215</v>
      </c>
      <c r="I15" s="112" t="s">
        <v>216</v>
      </c>
      <c r="J15" s="111" t="s">
        <v>217</v>
      </c>
      <c r="K15" s="131" t="s">
        <v>221</v>
      </c>
      <c r="L15" s="113" t="s">
        <v>222</v>
      </c>
    </row>
    <row r="16" ht="15.0" customHeight="1">
      <c r="A16" s="85" t="s">
        <v>1232</v>
      </c>
      <c r="B16" s="85" t="s">
        <v>1233</v>
      </c>
      <c r="C16" s="82" t="s">
        <v>52</v>
      </c>
      <c r="D16" s="78" t="s">
        <v>1234</v>
      </c>
      <c r="E16" s="80" t="s">
        <v>1235</v>
      </c>
      <c r="F16" s="147" t="s">
        <v>259</v>
      </c>
      <c r="G16" s="148">
        <v>5.0</v>
      </c>
      <c r="H16" s="148">
        <v>5.0</v>
      </c>
      <c r="I16" s="149">
        <v>5.0</v>
      </c>
      <c r="J16" s="149">
        <v>50.0</v>
      </c>
      <c r="K16" s="149">
        <f>J16/G16</f>
        <v>10</v>
      </c>
      <c r="L16" s="82" t="s">
        <v>61</v>
      </c>
    </row>
    <row r="17" ht="15.0" customHeight="1">
      <c r="A17" s="82" t="s">
        <v>1236</v>
      </c>
      <c r="B17" s="78" t="s">
        <v>1237</v>
      </c>
      <c r="C17" s="82" t="s">
        <v>52</v>
      </c>
      <c r="D17" s="82" t="s">
        <v>1238</v>
      </c>
      <c r="E17" s="82" t="s">
        <v>1239</v>
      </c>
      <c r="F17" s="82" t="s">
        <v>1240</v>
      </c>
      <c r="G17" s="82">
        <v>8.0</v>
      </c>
      <c r="H17" s="82">
        <v>8.0</v>
      </c>
      <c r="I17" s="82">
        <v>8.0</v>
      </c>
      <c r="J17" s="82">
        <v>50.0</v>
      </c>
      <c r="K17" s="92">
        <v>6.25</v>
      </c>
      <c r="L17" s="82" t="s">
        <v>79</v>
      </c>
    </row>
    <row r="18" ht="15.0" customHeight="1">
      <c r="A18" s="82" t="s">
        <v>1241</v>
      </c>
      <c r="B18" s="78" t="s">
        <v>1237</v>
      </c>
      <c r="C18" s="82" t="s">
        <v>52</v>
      </c>
      <c r="D18" s="82" t="s">
        <v>1242</v>
      </c>
      <c r="E18" s="82" t="s">
        <v>1243</v>
      </c>
      <c r="F18" s="82" t="s">
        <v>1244</v>
      </c>
      <c r="G18" s="82">
        <v>8.0</v>
      </c>
      <c r="H18" s="82">
        <v>8.0</v>
      </c>
      <c r="I18" s="82">
        <v>8.0</v>
      </c>
      <c r="J18" s="82">
        <v>50.0</v>
      </c>
      <c r="K18" s="92">
        <v>6.25</v>
      </c>
      <c r="L18" s="82" t="s">
        <v>79</v>
      </c>
    </row>
    <row r="19" ht="15.0" customHeight="1">
      <c r="A19" s="82" t="s">
        <v>1241</v>
      </c>
      <c r="B19" s="78" t="s">
        <v>1237</v>
      </c>
      <c r="C19" s="82" t="s">
        <v>52</v>
      </c>
      <c r="D19" s="82" t="s">
        <v>1245</v>
      </c>
      <c r="E19" s="82" t="s">
        <v>1246</v>
      </c>
      <c r="F19" s="82" t="s">
        <v>314</v>
      </c>
      <c r="G19" s="82">
        <v>7.0</v>
      </c>
      <c r="H19" s="82">
        <v>7.0</v>
      </c>
      <c r="I19" s="82">
        <v>7.0</v>
      </c>
      <c r="J19" s="82">
        <v>50.0</v>
      </c>
      <c r="K19" s="92">
        <v>7.14</v>
      </c>
      <c r="L19" s="82" t="s">
        <v>79</v>
      </c>
    </row>
    <row r="20" ht="15.0" customHeight="1">
      <c r="A20" s="82" t="s">
        <v>1247</v>
      </c>
      <c r="B20" s="82" t="s">
        <v>1248</v>
      </c>
      <c r="C20" s="82" t="s">
        <v>52</v>
      </c>
      <c r="D20" s="82" t="s">
        <v>1249</v>
      </c>
      <c r="E20" s="82" t="s">
        <v>1250</v>
      </c>
      <c r="F20" s="82" t="s">
        <v>1251</v>
      </c>
      <c r="G20" s="82">
        <v>4.0</v>
      </c>
      <c r="H20" s="82">
        <v>4.0</v>
      </c>
      <c r="I20" s="82">
        <v>4.0</v>
      </c>
      <c r="J20" s="82">
        <v>50.0</v>
      </c>
      <c r="K20" s="92">
        <v>12.5</v>
      </c>
      <c r="L20" s="82" t="s">
        <v>79</v>
      </c>
    </row>
    <row r="21" ht="15.0" customHeight="1">
      <c r="A21" s="82" t="s">
        <v>1252</v>
      </c>
      <c r="B21" s="82" t="s">
        <v>1253</v>
      </c>
      <c r="C21" s="82" t="s">
        <v>52</v>
      </c>
      <c r="D21" s="82" t="s">
        <v>1254</v>
      </c>
      <c r="E21" s="82" t="s">
        <v>1255</v>
      </c>
      <c r="F21" s="82" t="s">
        <v>1256</v>
      </c>
      <c r="G21" s="82">
        <v>4.0</v>
      </c>
      <c r="H21" s="82">
        <v>4.0</v>
      </c>
      <c r="I21" s="82">
        <v>4.0</v>
      </c>
      <c r="J21" s="82">
        <v>50.0</v>
      </c>
      <c r="K21" s="92">
        <v>12.5</v>
      </c>
      <c r="L21" s="82" t="s">
        <v>79</v>
      </c>
    </row>
    <row r="22" ht="15.0" customHeight="1">
      <c r="A22" s="82" t="s">
        <v>1252</v>
      </c>
      <c r="B22" s="82" t="s">
        <v>1253</v>
      </c>
      <c r="C22" s="82" t="s">
        <v>52</v>
      </c>
      <c r="D22" s="82" t="s">
        <v>1257</v>
      </c>
      <c r="E22" s="82" t="s">
        <v>1258</v>
      </c>
      <c r="F22" s="82" t="s">
        <v>1256</v>
      </c>
      <c r="G22" s="82">
        <v>4.0</v>
      </c>
      <c r="H22" s="82">
        <v>4.0</v>
      </c>
      <c r="I22" s="82">
        <v>4.0</v>
      </c>
      <c r="J22" s="82">
        <v>50.0</v>
      </c>
      <c r="K22" s="92">
        <v>12.5</v>
      </c>
      <c r="L22" s="82" t="s">
        <v>79</v>
      </c>
    </row>
    <row r="23" ht="15.0" customHeight="1">
      <c r="A23" s="82" t="s">
        <v>1252</v>
      </c>
      <c r="B23" s="82" t="s">
        <v>1253</v>
      </c>
      <c r="C23" s="82" t="s">
        <v>52</v>
      </c>
      <c r="D23" s="82" t="s">
        <v>1259</v>
      </c>
      <c r="E23" s="82" t="s">
        <v>1260</v>
      </c>
      <c r="F23" s="82" t="s">
        <v>314</v>
      </c>
      <c r="G23" s="82">
        <v>4.0</v>
      </c>
      <c r="H23" s="82">
        <v>4.0</v>
      </c>
      <c r="I23" s="82">
        <v>4.0</v>
      </c>
      <c r="J23" s="82">
        <v>50.0</v>
      </c>
      <c r="K23" s="92">
        <v>12.5</v>
      </c>
      <c r="L23" s="82" t="s">
        <v>79</v>
      </c>
    </row>
    <row r="24" ht="15.0" customHeight="1">
      <c r="A24" s="82" t="s">
        <v>1261</v>
      </c>
      <c r="B24" s="78" t="s">
        <v>1253</v>
      </c>
      <c r="C24" s="82" t="s">
        <v>52</v>
      </c>
      <c r="D24" s="82" t="s">
        <v>1262</v>
      </c>
      <c r="E24" s="87" t="s">
        <v>1263</v>
      </c>
      <c r="F24" s="82" t="s">
        <v>1264</v>
      </c>
      <c r="G24" s="82">
        <v>4.0</v>
      </c>
      <c r="H24" s="82">
        <v>4.0</v>
      </c>
      <c r="I24" s="82">
        <v>4.0</v>
      </c>
      <c r="J24" s="82">
        <v>50.0</v>
      </c>
      <c r="K24" s="82">
        <f>J24/I24</f>
        <v>12.5</v>
      </c>
      <c r="L24" s="82" t="s">
        <v>79</v>
      </c>
    </row>
    <row r="25" ht="15.0" customHeight="1">
      <c r="A25" s="82" t="s">
        <v>1265</v>
      </c>
      <c r="B25" s="82" t="s">
        <v>1266</v>
      </c>
      <c r="C25" s="82" t="s">
        <v>52</v>
      </c>
      <c r="D25" s="82" t="s">
        <v>1267</v>
      </c>
      <c r="E25" s="87" t="s">
        <v>1268</v>
      </c>
      <c r="F25" s="82" t="s">
        <v>1269</v>
      </c>
      <c r="G25" s="82">
        <v>5.0</v>
      </c>
      <c r="H25" s="82">
        <v>5.0</v>
      </c>
      <c r="I25" s="82">
        <v>5.0</v>
      </c>
      <c r="J25" s="82">
        <v>50.0</v>
      </c>
      <c r="K25" s="92">
        <v>10.0</v>
      </c>
      <c r="L25" s="82" t="s">
        <v>79</v>
      </c>
    </row>
    <row r="26" ht="15.0" customHeight="1">
      <c r="A26" s="82" t="s">
        <v>1265</v>
      </c>
      <c r="B26" s="82" t="s">
        <v>1266</v>
      </c>
      <c r="C26" s="82" t="s">
        <v>52</v>
      </c>
      <c r="D26" s="82" t="s">
        <v>1270</v>
      </c>
      <c r="E26" s="87" t="s">
        <v>1271</v>
      </c>
      <c r="F26" s="82" t="s">
        <v>314</v>
      </c>
      <c r="G26" s="82">
        <v>5.0</v>
      </c>
      <c r="H26" s="82">
        <v>5.0</v>
      </c>
      <c r="I26" s="82">
        <v>5.0</v>
      </c>
      <c r="J26" s="82">
        <v>50.0</v>
      </c>
      <c r="K26" s="92">
        <v>10.0</v>
      </c>
      <c r="L26" s="82" t="s">
        <v>79</v>
      </c>
    </row>
    <row r="27" ht="15.0" customHeight="1">
      <c r="A27" s="82" t="s">
        <v>1272</v>
      </c>
      <c r="B27" s="78" t="s">
        <v>1273</v>
      </c>
      <c r="C27" s="82" t="s">
        <v>52</v>
      </c>
      <c r="D27" s="82" t="s">
        <v>1274</v>
      </c>
      <c r="E27" s="82" t="s">
        <v>1275</v>
      </c>
      <c r="F27" s="82" t="s">
        <v>1276</v>
      </c>
      <c r="G27" s="82">
        <v>7.0</v>
      </c>
      <c r="H27" s="82">
        <v>7.0</v>
      </c>
      <c r="I27" s="82">
        <v>7.0</v>
      </c>
      <c r="J27" s="82">
        <v>50.0</v>
      </c>
      <c r="K27" s="92">
        <v>7.14</v>
      </c>
      <c r="L27" s="82" t="s">
        <v>79</v>
      </c>
    </row>
    <row r="28" ht="15.0" customHeight="1">
      <c r="A28" s="82" t="s">
        <v>1272</v>
      </c>
      <c r="B28" s="78" t="s">
        <v>1273</v>
      </c>
      <c r="C28" s="82" t="s">
        <v>52</v>
      </c>
      <c r="D28" s="82" t="s">
        <v>1277</v>
      </c>
      <c r="E28" s="82" t="s">
        <v>1278</v>
      </c>
      <c r="F28" s="82" t="s">
        <v>314</v>
      </c>
      <c r="G28" s="82">
        <v>7.0</v>
      </c>
      <c r="H28" s="82">
        <v>7.0</v>
      </c>
      <c r="I28" s="82">
        <v>7.0</v>
      </c>
      <c r="J28" s="82">
        <v>50.0</v>
      </c>
      <c r="K28" s="92">
        <v>7.14</v>
      </c>
      <c r="L28" s="82" t="s">
        <v>79</v>
      </c>
    </row>
    <row r="29" ht="15.0" customHeight="1">
      <c r="A29" s="82" t="s">
        <v>1272</v>
      </c>
      <c r="B29" s="78" t="s">
        <v>1273</v>
      </c>
      <c r="C29" s="82" t="s">
        <v>52</v>
      </c>
      <c r="D29" s="82" t="s">
        <v>1279</v>
      </c>
      <c r="E29" s="82" t="s">
        <v>1280</v>
      </c>
      <c r="F29" s="82" t="s">
        <v>314</v>
      </c>
      <c r="G29" s="82">
        <v>7.0</v>
      </c>
      <c r="H29" s="82">
        <v>7.0</v>
      </c>
      <c r="I29" s="82">
        <v>7.0</v>
      </c>
      <c r="J29" s="82">
        <v>50.0</v>
      </c>
      <c r="K29" s="92">
        <v>7.14</v>
      </c>
      <c r="L29" s="82" t="s">
        <v>79</v>
      </c>
    </row>
    <row r="30" ht="15.0" customHeight="1">
      <c r="A30" s="82" t="s">
        <v>1281</v>
      </c>
      <c r="B30" s="78" t="s">
        <v>1282</v>
      </c>
      <c r="C30" s="82" t="s">
        <v>52</v>
      </c>
      <c r="D30" s="100" t="s">
        <v>1283</v>
      </c>
      <c r="E30" s="150" t="s">
        <v>1284</v>
      </c>
      <c r="F30" s="86" t="s">
        <v>259</v>
      </c>
      <c r="G30" s="100">
        <v>8.0</v>
      </c>
      <c r="H30" s="100">
        <v>8.0</v>
      </c>
      <c r="I30" s="100">
        <v>8.0</v>
      </c>
      <c r="J30" s="100">
        <v>50.0</v>
      </c>
      <c r="K30" s="151">
        <f>J30/I30</f>
        <v>6.25</v>
      </c>
      <c r="L30" s="82" t="s">
        <v>79</v>
      </c>
    </row>
    <row r="31" ht="15.0" customHeight="1">
      <c r="A31" s="82" t="s">
        <v>1281</v>
      </c>
      <c r="B31" s="78" t="s">
        <v>1282</v>
      </c>
      <c r="C31" s="82" t="s">
        <v>52</v>
      </c>
      <c r="D31" s="82" t="s">
        <v>1285</v>
      </c>
      <c r="E31" s="82" t="s">
        <v>1286</v>
      </c>
      <c r="F31" s="82" t="s">
        <v>1287</v>
      </c>
      <c r="G31" s="82">
        <v>8.0</v>
      </c>
      <c r="H31" s="82">
        <v>8.0</v>
      </c>
      <c r="I31" s="82">
        <v>8.0</v>
      </c>
      <c r="J31" s="82">
        <v>50.0</v>
      </c>
      <c r="K31" s="92">
        <v>6.25</v>
      </c>
      <c r="L31" s="82" t="s">
        <v>79</v>
      </c>
    </row>
    <row r="32" ht="15.0" customHeight="1">
      <c r="A32" s="82" t="s">
        <v>1288</v>
      </c>
      <c r="B32" s="78" t="s">
        <v>1289</v>
      </c>
      <c r="C32" s="82" t="s">
        <v>52</v>
      </c>
      <c r="D32" s="82" t="s">
        <v>1290</v>
      </c>
      <c r="E32" s="82" t="s">
        <v>1291</v>
      </c>
      <c r="F32" s="82" t="s">
        <v>259</v>
      </c>
      <c r="G32" s="82">
        <v>2.0</v>
      </c>
      <c r="H32" s="82">
        <v>2.0</v>
      </c>
      <c r="I32" s="82">
        <v>2.0</v>
      </c>
      <c r="J32" s="82">
        <v>50.0</v>
      </c>
      <c r="K32" s="92">
        <f t="shared" ref="K32:K33" si="1">J32/I32</f>
        <v>25</v>
      </c>
      <c r="L32" s="82" t="s">
        <v>79</v>
      </c>
    </row>
    <row r="33" ht="15.0" customHeight="1">
      <c r="A33" s="82" t="s">
        <v>1288</v>
      </c>
      <c r="B33" s="78" t="s">
        <v>1289</v>
      </c>
      <c r="C33" s="82" t="s">
        <v>52</v>
      </c>
      <c r="D33" s="82" t="s">
        <v>1292</v>
      </c>
      <c r="E33" s="82" t="s">
        <v>1293</v>
      </c>
      <c r="F33" s="82" t="s">
        <v>259</v>
      </c>
      <c r="G33" s="82">
        <v>2.0</v>
      </c>
      <c r="H33" s="82">
        <v>2.0</v>
      </c>
      <c r="I33" s="82">
        <v>2.0</v>
      </c>
      <c r="J33" s="82">
        <v>50.0</v>
      </c>
      <c r="K33" s="92">
        <f t="shared" si="1"/>
        <v>25</v>
      </c>
      <c r="L33" s="82" t="s">
        <v>79</v>
      </c>
    </row>
    <row r="34" ht="15.0" customHeight="1">
      <c r="A34" s="82" t="s">
        <v>1294</v>
      </c>
      <c r="B34" s="82" t="s">
        <v>1295</v>
      </c>
      <c r="C34" s="82" t="s">
        <v>52</v>
      </c>
      <c r="D34" s="82" t="s">
        <v>1296</v>
      </c>
      <c r="E34" s="82" t="s">
        <v>1297</v>
      </c>
      <c r="F34" s="82" t="s">
        <v>314</v>
      </c>
      <c r="G34" s="82">
        <v>5.0</v>
      </c>
      <c r="H34" s="82">
        <v>5.0</v>
      </c>
      <c r="I34" s="82">
        <v>5.0</v>
      </c>
      <c r="J34" s="82">
        <v>50.0</v>
      </c>
      <c r="K34" s="92">
        <v>10.0</v>
      </c>
      <c r="L34" s="82" t="s">
        <v>79</v>
      </c>
    </row>
    <row r="35" ht="15.0" customHeight="1">
      <c r="A35" s="82" t="s">
        <v>1298</v>
      </c>
      <c r="B35" s="78" t="s">
        <v>1299</v>
      </c>
      <c r="C35" s="82" t="s">
        <v>52</v>
      </c>
      <c r="D35" s="82" t="s">
        <v>1300</v>
      </c>
      <c r="E35" s="82" t="s">
        <v>1301</v>
      </c>
      <c r="F35" s="82" t="s">
        <v>1302</v>
      </c>
      <c r="G35" s="82">
        <v>3.0</v>
      </c>
      <c r="H35" s="82">
        <v>3.0</v>
      </c>
      <c r="I35" s="82">
        <v>3.0</v>
      </c>
      <c r="J35" s="82">
        <v>50.0</v>
      </c>
      <c r="K35" s="82">
        <v>16.67</v>
      </c>
      <c r="L35" s="82" t="s">
        <v>51</v>
      </c>
    </row>
    <row r="36" ht="15.0" customHeight="1">
      <c r="A36" s="82" t="s">
        <v>1298</v>
      </c>
      <c r="B36" s="78" t="s">
        <v>1299</v>
      </c>
      <c r="C36" s="82" t="s">
        <v>52</v>
      </c>
      <c r="D36" s="82" t="s">
        <v>1303</v>
      </c>
      <c r="E36" s="82" t="s">
        <v>1304</v>
      </c>
      <c r="F36" s="82" t="s">
        <v>1305</v>
      </c>
      <c r="G36" s="82">
        <v>3.0</v>
      </c>
      <c r="H36" s="82">
        <v>3.0</v>
      </c>
      <c r="I36" s="82">
        <v>3.0</v>
      </c>
      <c r="J36" s="82">
        <v>50.0</v>
      </c>
      <c r="K36" s="82">
        <v>16.67</v>
      </c>
      <c r="L36" s="82" t="s">
        <v>51</v>
      </c>
    </row>
    <row r="37" ht="15.0" customHeight="1">
      <c r="A37" s="82" t="s">
        <v>1298</v>
      </c>
      <c r="B37" s="78" t="s">
        <v>1299</v>
      </c>
      <c r="C37" s="82" t="s">
        <v>52</v>
      </c>
      <c r="D37" s="82" t="s">
        <v>1306</v>
      </c>
      <c r="E37" s="82" t="s">
        <v>1307</v>
      </c>
      <c r="F37" s="82" t="s">
        <v>1308</v>
      </c>
      <c r="G37" s="82">
        <v>3.0</v>
      </c>
      <c r="H37" s="82">
        <v>3.0</v>
      </c>
      <c r="I37" s="82">
        <v>3.0</v>
      </c>
      <c r="J37" s="82">
        <v>50.0</v>
      </c>
      <c r="K37" s="82">
        <v>16.67</v>
      </c>
      <c r="L37" s="82" t="s">
        <v>51</v>
      </c>
    </row>
    <row r="38" ht="15.0" customHeight="1">
      <c r="A38" s="82" t="s">
        <v>1298</v>
      </c>
      <c r="B38" s="78" t="s">
        <v>1299</v>
      </c>
      <c r="C38" s="82" t="s">
        <v>52</v>
      </c>
      <c r="D38" s="82" t="s">
        <v>1309</v>
      </c>
      <c r="E38" s="87" t="s">
        <v>1310</v>
      </c>
      <c r="F38" s="82" t="s">
        <v>1311</v>
      </c>
      <c r="G38" s="82">
        <v>3.0</v>
      </c>
      <c r="H38" s="82">
        <v>3.0</v>
      </c>
      <c r="I38" s="82">
        <v>3.0</v>
      </c>
      <c r="J38" s="82">
        <v>50.0</v>
      </c>
      <c r="K38" s="82">
        <v>16.67</v>
      </c>
      <c r="L38" s="82" t="s">
        <v>51</v>
      </c>
    </row>
    <row r="39" ht="15.0" customHeight="1">
      <c r="A39" s="82" t="s">
        <v>1298</v>
      </c>
      <c r="B39" s="78" t="s">
        <v>1299</v>
      </c>
      <c r="C39" s="82" t="s">
        <v>52</v>
      </c>
      <c r="D39" s="82" t="s">
        <v>1312</v>
      </c>
      <c r="E39" s="82" t="s">
        <v>1313</v>
      </c>
      <c r="F39" s="82" t="s">
        <v>1314</v>
      </c>
      <c r="G39" s="82">
        <v>3.0</v>
      </c>
      <c r="H39" s="82">
        <v>3.0</v>
      </c>
      <c r="I39" s="82">
        <v>3.0</v>
      </c>
      <c r="J39" s="82">
        <v>50.0</v>
      </c>
      <c r="K39" s="82">
        <v>16.67</v>
      </c>
      <c r="L39" s="82" t="s">
        <v>51</v>
      </c>
    </row>
    <row r="40" ht="15.0" customHeight="1">
      <c r="A40" s="82" t="s">
        <v>1241</v>
      </c>
      <c r="B40" s="78" t="s">
        <v>1237</v>
      </c>
      <c r="C40" s="82" t="s">
        <v>52</v>
      </c>
      <c r="D40" s="82" t="s">
        <v>1238</v>
      </c>
      <c r="E40" s="82" t="s">
        <v>1239</v>
      </c>
      <c r="F40" s="82" t="s">
        <v>1240</v>
      </c>
      <c r="G40" s="82">
        <v>8.0</v>
      </c>
      <c r="H40" s="82">
        <v>8.0</v>
      </c>
      <c r="I40" s="82">
        <v>8.0</v>
      </c>
      <c r="J40" s="82">
        <v>50.0</v>
      </c>
      <c r="K40" s="82">
        <v>6.25</v>
      </c>
      <c r="L40" s="82" t="s">
        <v>51</v>
      </c>
    </row>
    <row r="41" ht="15.0" customHeight="1">
      <c r="A41" s="82" t="s">
        <v>1241</v>
      </c>
      <c r="B41" s="78" t="s">
        <v>1237</v>
      </c>
      <c r="C41" s="82" t="s">
        <v>52</v>
      </c>
      <c r="D41" s="82" t="s">
        <v>1242</v>
      </c>
      <c r="E41" s="82" t="s">
        <v>1243</v>
      </c>
      <c r="F41" s="82" t="s">
        <v>1244</v>
      </c>
      <c r="G41" s="82">
        <v>8.0</v>
      </c>
      <c r="H41" s="82">
        <v>8.0</v>
      </c>
      <c r="I41" s="82">
        <v>8.0</v>
      </c>
      <c r="J41" s="82">
        <v>50.0</v>
      </c>
      <c r="K41" s="82">
        <v>6.25</v>
      </c>
      <c r="L41" s="82" t="s">
        <v>51</v>
      </c>
    </row>
    <row r="42" ht="15.0" customHeight="1">
      <c r="A42" s="82" t="s">
        <v>1247</v>
      </c>
      <c r="B42" s="82" t="s">
        <v>1248</v>
      </c>
      <c r="C42" s="82" t="s">
        <v>52</v>
      </c>
      <c r="D42" s="82" t="s">
        <v>1315</v>
      </c>
      <c r="E42" s="82" t="s">
        <v>1250</v>
      </c>
      <c r="F42" s="82" t="s">
        <v>1251</v>
      </c>
      <c r="G42" s="82">
        <v>4.0</v>
      </c>
      <c r="H42" s="82">
        <v>4.0</v>
      </c>
      <c r="I42" s="82">
        <v>4.0</v>
      </c>
      <c r="J42" s="82">
        <v>50.0</v>
      </c>
      <c r="K42" s="82">
        <v>12.5</v>
      </c>
      <c r="L42" s="82" t="s">
        <v>51</v>
      </c>
    </row>
    <row r="43" ht="15.0" customHeight="1">
      <c r="A43" s="82" t="s">
        <v>1316</v>
      </c>
      <c r="B43" s="82" t="s">
        <v>1317</v>
      </c>
      <c r="C43" s="82" t="s">
        <v>52</v>
      </c>
      <c r="D43" s="82" t="s">
        <v>1318</v>
      </c>
      <c r="E43" s="82" t="s">
        <v>1319</v>
      </c>
      <c r="F43" s="82" t="s">
        <v>1320</v>
      </c>
      <c r="G43" s="82">
        <v>3.0</v>
      </c>
      <c r="H43" s="82">
        <v>3.0</v>
      </c>
      <c r="I43" s="82">
        <v>3.0</v>
      </c>
      <c r="J43" s="82">
        <v>50.0</v>
      </c>
      <c r="K43" s="82">
        <v>16.67</v>
      </c>
      <c r="L43" s="82" t="s">
        <v>51</v>
      </c>
    </row>
    <row r="44" ht="15.0" customHeight="1">
      <c r="A44" s="82" t="s">
        <v>1321</v>
      </c>
      <c r="B44" s="82" t="s">
        <v>1322</v>
      </c>
      <c r="C44" s="82" t="s">
        <v>52</v>
      </c>
      <c r="D44" s="82" t="s">
        <v>1323</v>
      </c>
      <c r="E44" s="82" t="s">
        <v>1324</v>
      </c>
      <c r="F44" s="82" t="s">
        <v>1325</v>
      </c>
      <c r="G44" s="82">
        <v>3.0</v>
      </c>
      <c r="H44" s="82">
        <v>3.0</v>
      </c>
      <c r="I44" s="82">
        <v>3.0</v>
      </c>
      <c r="J44" s="82">
        <v>50.0</v>
      </c>
      <c r="K44" s="82">
        <v>16.67</v>
      </c>
      <c r="L44" s="82" t="s">
        <v>51</v>
      </c>
    </row>
    <row r="45" ht="15.0" customHeight="1">
      <c r="A45" s="82" t="s">
        <v>1265</v>
      </c>
      <c r="B45" s="82" t="s">
        <v>1266</v>
      </c>
      <c r="C45" s="82" t="s">
        <v>52</v>
      </c>
      <c r="D45" s="82" t="s">
        <v>1267</v>
      </c>
      <c r="E45" s="87" t="s">
        <v>1268</v>
      </c>
      <c r="F45" s="82" t="s">
        <v>1269</v>
      </c>
      <c r="G45" s="82">
        <v>5.0</v>
      </c>
      <c r="H45" s="82">
        <v>5.0</v>
      </c>
      <c r="I45" s="82">
        <v>5.0</v>
      </c>
      <c r="J45" s="82">
        <v>50.0</v>
      </c>
      <c r="K45" s="82">
        <v>10.0</v>
      </c>
      <c r="L45" s="82" t="s">
        <v>51</v>
      </c>
    </row>
    <row r="46" ht="15.0" customHeight="1">
      <c r="A46" s="82" t="s">
        <v>1326</v>
      </c>
      <c r="B46" s="78" t="s">
        <v>1327</v>
      </c>
      <c r="C46" s="82" t="s">
        <v>52</v>
      </c>
      <c r="D46" s="82" t="s">
        <v>1328</v>
      </c>
      <c r="E46" s="82" t="s">
        <v>1329</v>
      </c>
      <c r="F46" s="82" t="s">
        <v>1330</v>
      </c>
      <c r="G46" s="82">
        <v>3.0</v>
      </c>
      <c r="H46" s="82">
        <v>3.0</v>
      </c>
      <c r="I46" s="82">
        <v>3.0</v>
      </c>
      <c r="J46" s="82">
        <v>50.0</v>
      </c>
      <c r="K46" s="82">
        <v>16.67</v>
      </c>
      <c r="L46" s="82" t="s">
        <v>51</v>
      </c>
    </row>
    <row r="47" ht="15.0" customHeight="1">
      <c r="A47" s="82" t="s">
        <v>1331</v>
      </c>
      <c r="B47" s="82" t="s">
        <v>1332</v>
      </c>
      <c r="C47" s="82" t="s">
        <v>52</v>
      </c>
      <c r="D47" s="82" t="s">
        <v>1333</v>
      </c>
      <c r="E47" s="82" t="s">
        <v>1334</v>
      </c>
      <c r="F47" s="82" t="s">
        <v>1335</v>
      </c>
      <c r="G47" s="82">
        <v>4.0</v>
      </c>
      <c r="H47" s="82">
        <v>4.0</v>
      </c>
      <c r="I47" s="82">
        <v>4.0</v>
      </c>
      <c r="J47" s="82">
        <v>50.0</v>
      </c>
      <c r="K47" s="82">
        <v>12.5</v>
      </c>
      <c r="L47" s="82" t="s">
        <v>51</v>
      </c>
    </row>
    <row r="48" ht="15.0" customHeight="1">
      <c r="A48" s="82" t="s">
        <v>1336</v>
      </c>
      <c r="B48" s="78" t="s">
        <v>243</v>
      </c>
      <c r="C48" s="82" t="s">
        <v>52</v>
      </c>
      <c r="D48" s="82" t="s">
        <v>1337</v>
      </c>
      <c r="E48" s="82" t="s">
        <v>1338</v>
      </c>
      <c r="F48" s="82" t="s">
        <v>1339</v>
      </c>
      <c r="G48" s="82">
        <v>5.0</v>
      </c>
      <c r="H48" s="82">
        <v>5.0</v>
      </c>
      <c r="I48" s="82">
        <v>5.0</v>
      </c>
      <c r="J48" s="82">
        <v>50.0</v>
      </c>
      <c r="K48" s="82">
        <v>10.0</v>
      </c>
      <c r="L48" s="82" t="s">
        <v>51</v>
      </c>
    </row>
    <row r="49" ht="15.0" customHeight="1">
      <c r="A49" s="82" t="s">
        <v>1281</v>
      </c>
      <c r="B49" s="78" t="s">
        <v>1282</v>
      </c>
      <c r="C49" s="82" t="s">
        <v>52</v>
      </c>
      <c r="D49" s="82" t="s">
        <v>1285</v>
      </c>
      <c r="E49" s="82" t="s">
        <v>1286</v>
      </c>
      <c r="F49" s="82" t="s">
        <v>1287</v>
      </c>
      <c r="G49" s="82">
        <v>8.0</v>
      </c>
      <c r="H49" s="82">
        <v>8.0</v>
      </c>
      <c r="I49" s="82">
        <v>8.0</v>
      </c>
      <c r="J49" s="82">
        <v>50.0</v>
      </c>
      <c r="K49" s="82">
        <v>6.25</v>
      </c>
      <c r="L49" s="82" t="s">
        <v>51</v>
      </c>
    </row>
    <row r="50" ht="15.0" customHeight="1">
      <c r="A50" s="82" t="s">
        <v>1340</v>
      </c>
      <c r="B50" s="78" t="s">
        <v>1341</v>
      </c>
      <c r="C50" s="82" t="s">
        <v>52</v>
      </c>
      <c r="D50" s="82" t="s">
        <v>1342</v>
      </c>
      <c r="E50" s="82" t="s">
        <v>1343</v>
      </c>
      <c r="F50" s="82" t="s">
        <v>1344</v>
      </c>
      <c r="G50" s="82">
        <v>3.0</v>
      </c>
      <c r="H50" s="82">
        <v>3.0</v>
      </c>
      <c r="I50" s="82">
        <v>3.0</v>
      </c>
      <c r="J50" s="82">
        <v>50.0</v>
      </c>
      <c r="K50" s="82">
        <v>16.67</v>
      </c>
      <c r="L50" s="82" t="s">
        <v>51</v>
      </c>
    </row>
    <row r="51" ht="15.0" customHeight="1">
      <c r="A51" s="82" t="s">
        <v>1345</v>
      </c>
      <c r="B51" s="78" t="s">
        <v>1346</v>
      </c>
      <c r="C51" s="82" t="s">
        <v>52</v>
      </c>
      <c r="D51" s="82" t="s">
        <v>1347</v>
      </c>
      <c r="E51" s="82" t="s">
        <v>1348</v>
      </c>
      <c r="F51" s="82" t="s">
        <v>1349</v>
      </c>
      <c r="G51" s="82">
        <v>3.0</v>
      </c>
      <c r="H51" s="82">
        <v>3.0</v>
      </c>
      <c r="I51" s="82">
        <v>3.0</v>
      </c>
      <c r="J51" s="82">
        <v>50.0</v>
      </c>
      <c r="K51" s="82">
        <v>16.67</v>
      </c>
      <c r="L51" s="82" t="s">
        <v>51</v>
      </c>
    </row>
    <row r="52" ht="15.0" customHeight="1">
      <c r="A52" s="82" t="s">
        <v>1340</v>
      </c>
      <c r="B52" s="78" t="s">
        <v>1350</v>
      </c>
      <c r="C52" s="82" t="s">
        <v>52</v>
      </c>
      <c r="D52" s="82" t="s">
        <v>1351</v>
      </c>
      <c r="E52" s="82" t="s">
        <v>1313</v>
      </c>
      <c r="F52" s="82" t="s">
        <v>1314</v>
      </c>
      <c r="G52" s="82">
        <v>3.0</v>
      </c>
      <c r="H52" s="82">
        <v>3.0</v>
      </c>
      <c r="I52" s="82">
        <v>3.0</v>
      </c>
      <c r="J52" s="82">
        <v>50.0</v>
      </c>
      <c r="K52" s="82">
        <v>16.67</v>
      </c>
      <c r="L52" s="82" t="s">
        <v>51</v>
      </c>
    </row>
    <row r="53" ht="15.0" customHeight="1">
      <c r="A53" s="82" t="s">
        <v>1272</v>
      </c>
      <c r="B53" s="78" t="s">
        <v>1273</v>
      </c>
      <c r="C53" s="82" t="s">
        <v>52</v>
      </c>
      <c r="D53" s="82" t="s">
        <v>1274</v>
      </c>
      <c r="E53" s="82" t="s">
        <v>1275</v>
      </c>
      <c r="F53" s="82" t="s">
        <v>1276</v>
      </c>
      <c r="G53" s="82">
        <v>7.0</v>
      </c>
      <c r="H53" s="82">
        <v>7.0</v>
      </c>
      <c r="I53" s="82">
        <v>7.0</v>
      </c>
      <c r="J53" s="82">
        <v>50.0</v>
      </c>
      <c r="K53" s="82">
        <v>7.14</v>
      </c>
      <c r="L53" s="82" t="s">
        <v>51</v>
      </c>
    </row>
    <row r="54" ht="15.0" customHeight="1">
      <c r="A54" s="82" t="s">
        <v>1352</v>
      </c>
      <c r="B54" s="78" t="s">
        <v>1353</v>
      </c>
      <c r="C54" s="82" t="s">
        <v>52</v>
      </c>
      <c r="D54" s="82" t="s">
        <v>1354</v>
      </c>
      <c r="E54" s="82" t="s">
        <v>1250</v>
      </c>
      <c r="F54" s="82" t="s">
        <v>1251</v>
      </c>
      <c r="G54" s="82">
        <v>3.0</v>
      </c>
      <c r="H54" s="82">
        <v>3.0</v>
      </c>
      <c r="I54" s="82">
        <v>3.0</v>
      </c>
      <c r="J54" s="82">
        <v>50.0</v>
      </c>
      <c r="K54" s="82">
        <v>16.67</v>
      </c>
      <c r="L54" s="82" t="s">
        <v>51</v>
      </c>
    </row>
    <row r="55" ht="15.0" customHeight="1">
      <c r="A55" s="82" t="s">
        <v>1355</v>
      </c>
      <c r="B55" s="78" t="s">
        <v>1356</v>
      </c>
      <c r="C55" s="82" t="s">
        <v>52</v>
      </c>
      <c r="D55" s="82" t="s">
        <v>1357</v>
      </c>
      <c r="E55" s="82" t="s">
        <v>1358</v>
      </c>
      <c r="F55" s="82" t="s">
        <v>1359</v>
      </c>
      <c r="G55" s="82">
        <v>4.0</v>
      </c>
      <c r="H55" s="82">
        <v>4.0</v>
      </c>
      <c r="I55" s="82">
        <v>4.0</v>
      </c>
      <c r="J55" s="82">
        <v>50.0</v>
      </c>
      <c r="K55" s="82">
        <v>12.5</v>
      </c>
      <c r="L55" s="82" t="s">
        <v>51</v>
      </c>
    </row>
    <row r="56" ht="15.0" customHeight="1">
      <c r="A56" s="82" t="s">
        <v>1360</v>
      </c>
      <c r="B56" s="78" t="s">
        <v>1361</v>
      </c>
      <c r="C56" s="82" t="s">
        <v>52</v>
      </c>
      <c r="D56" s="82" t="s">
        <v>1362</v>
      </c>
      <c r="E56" s="82" t="s">
        <v>1363</v>
      </c>
      <c r="F56" s="82" t="s">
        <v>1364</v>
      </c>
      <c r="G56" s="82">
        <v>3.0</v>
      </c>
      <c r="H56" s="82">
        <v>3.0</v>
      </c>
      <c r="I56" s="82">
        <v>3.0</v>
      </c>
      <c r="J56" s="82">
        <v>50.0</v>
      </c>
      <c r="K56" s="82">
        <v>16.67</v>
      </c>
      <c r="L56" s="82" t="s">
        <v>51</v>
      </c>
    </row>
    <row r="57" ht="15.0" customHeight="1">
      <c r="A57" s="82" t="s">
        <v>1365</v>
      </c>
      <c r="B57" s="82" t="s">
        <v>1366</v>
      </c>
      <c r="C57" s="82" t="s">
        <v>52</v>
      </c>
      <c r="D57" s="82" t="s">
        <v>1367</v>
      </c>
      <c r="E57" s="82" t="s">
        <v>1368</v>
      </c>
      <c r="F57" s="82" t="s">
        <v>1369</v>
      </c>
      <c r="G57" s="82">
        <v>4.0</v>
      </c>
      <c r="H57" s="82">
        <v>4.0</v>
      </c>
      <c r="I57" s="82">
        <v>4.0</v>
      </c>
      <c r="J57" s="82">
        <v>50.0</v>
      </c>
      <c r="K57" s="82">
        <v>12.5</v>
      </c>
      <c r="L57" s="82" t="s">
        <v>51</v>
      </c>
    </row>
    <row r="58" ht="15.0" customHeight="1">
      <c r="A58" s="82" t="s">
        <v>1365</v>
      </c>
      <c r="B58" s="82" t="s">
        <v>1366</v>
      </c>
      <c r="C58" s="82" t="s">
        <v>52</v>
      </c>
      <c r="D58" s="82" t="s">
        <v>1370</v>
      </c>
      <c r="E58" s="82" t="s">
        <v>1371</v>
      </c>
      <c r="F58" s="82" t="s">
        <v>314</v>
      </c>
      <c r="G58" s="82">
        <v>4.0</v>
      </c>
      <c r="H58" s="82">
        <v>4.0</v>
      </c>
      <c r="I58" s="82">
        <v>4.0</v>
      </c>
      <c r="J58" s="82">
        <v>50.0</v>
      </c>
      <c r="K58" s="82">
        <v>12.5</v>
      </c>
      <c r="L58" s="82" t="s">
        <v>51</v>
      </c>
    </row>
    <row r="59" ht="15.0" customHeight="1">
      <c r="A59" s="82" t="s">
        <v>1272</v>
      </c>
      <c r="B59" s="78" t="s">
        <v>1273</v>
      </c>
      <c r="C59" s="82" t="s">
        <v>52</v>
      </c>
      <c r="D59" s="82" t="s">
        <v>1277</v>
      </c>
      <c r="E59" s="82" t="s">
        <v>1278</v>
      </c>
      <c r="F59" s="82" t="s">
        <v>314</v>
      </c>
      <c r="G59" s="82">
        <v>7.0</v>
      </c>
      <c r="H59" s="82">
        <v>7.0</v>
      </c>
      <c r="I59" s="82">
        <v>7.0</v>
      </c>
      <c r="J59" s="82">
        <v>50.0</v>
      </c>
      <c r="K59" s="82">
        <v>7.14</v>
      </c>
      <c r="L59" s="82" t="s">
        <v>51</v>
      </c>
    </row>
    <row r="60" ht="15.0" customHeight="1">
      <c r="A60" s="82" t="s">
        <v>1272</v>
      </c>
      <c r="B60" s="78" t="s">
        <v>1273</v>
      </c>
      <c r="C60" s="82" t="s">
        <v>52</v>
      </c>
      <c r="D60" s="82" t="s">
        <v>1279</v>
      </c>
      <c r="E60" s="82" t="s">
        <v>1280</v>
      </c>
      <c r="F60" s="82" t="s">
        <v>314</v>
      </c>
      <c r="G60" s="82">
        <v>7.0</v>
      </c>
      <c r="H60" s="82">
        <v>7.0</v>
      </c>
      <c r="I60" s="82">
        <v>7.0</v>
      </c>
      <c r="J60" s="82">
        <v>50.0</v>
      </c>
      <c r="K60" s="82">
        <v>7.14</v>
      </c>
      <c r="L60" s="82" t="s">
        <v>51</v>
      </c>
    </row>
    <row r="61" ht="15.0" customHeight="1">
      <c r="A61" s="82" t="s">
        <v>1372</v>
      </c>
      <c r="B61" s="82" t="s">
        <v>1373</v>
      </c>
      <c r="C61" s="82" t="s">
        <v>52</v>
      </c>
      <c r="D61" s="82" t="s">
        <v>1374</v>
      </c>
      <c r="E61" s="82" t="s">
        <v>1375</v>
      </c>
      <c r="F61" s="82" t="s">
        <v>314</v>
      </c>
      <c r="G61" s="82">
        <v>4.0</v>
      </c>
      <c r="H61" s="82">
        <v>4.0</v>
      </c>
      <c r="I61" s="82">
        <v>4.0</v>
      </c>
      <c r="J61" s="82">
        <v>50.0</v>
      </c>
      <c r="K61" s="82">
        <v>12.5</v>
      </c>
      <c r="L61" s="82" t="s">
        <v>51</v>
      </c>
    </row>
    <row r="62" ht="15.0" customHeight="1">
      <c r="A62" s="82" t="s">
        <v>1294</v>
      </c>
      <c r="B62" s="82" t="s">
        <v>1295</v>
      </c>
      <c r="C62" s="82" t="s">
        <v>52</v>
      </c>
      <c r="D62" s="82" t="s">
        <v>1296</v>
      </c>
      <c r="E62" s="82" t="s">
        <v>1297</v>
      </c>
      <c r="F62" s="82" t="s">
        <v>314</v>
      </c>
      <c r="G62" s="82">
        <v>5.0</v>
      </c>
      <c r="H62" s="82">
        <v>5.0</v>
      </c>
      <c r="I62" s="82">
        <v>5.0</v>
      </c>
      <c r="J62" s="82">
        <v>50.0</v>
      </c>
      <c r="K62" s="82">
        <v>10.0</v>
      </c>
      <c r="L62" s="82" t="s">
        <v>51</v>
      </c>
    </row>
    <row r="63" ht="15.0" customHeight="1">
      <c r="A63" s="82" t="s">
        <v>1376</v>
      </c>
      <c r="B63" s="82" t="s">
        <v>1377</v>
      </c>
      <c r="C63" s="82" t="s">
        <v>52</v>
      </c>
      <c r="D63" s="82" t="s">
        <v>1378</v>
      </c>
      <c r="E63" s="82" t="s">
        <v>1379</v>
      </c>
      <c r="F63" s="82" t="s">
        <v>314</v>
      </c>
      <c r="G63" s="82">
        <v>5.0</v>
      </c>
      <c r="H63" s="82">
        <v>5.0</v>
      </c>
      <c r="I63" s="82">
        <v>5.0</v>
      </c>
      <c r="J63" s="82">
        <v>50.0</v>
      </c>
      <c r="K63" s="82">
        <v>10.0</v>
      </c>
      <c r="L63" s="82" t="s">
        <v>51</v>
      </c>
    </row>
    <row r="64" ht="15.0" customHeight="1">
      <c r="A64" s="82" t="s">
        <v>1380</v>
      </c>
      <c r="B64" s="82" t="s">
        <v>1381</v>
      </c>
      <c r="C64" s="82" t="s">
        <v>52</v>
      </c>
      <c r="D64" s="82" t="s">
        <v>1382</v>
      </c>
      <c r="E64" s="82" t="s">
        <v>1383</v>
      </c>
      <c r="F64" s="82" t="s">
        <v>314</v>
      </c>
      <c r="G64" s="82">
        <v>4.0</v>
      </c>
      <c r="H64" s="82">
        <v>4.0</v>
      </c>
      <c r="I64" s="82">
        <v>4.0</v>
      </c>
      <c r="J64" s="82">
        <v>50.0</v>
      </c>
      <c r="K64" s="82">
        <v>12.5</v>
      </c>
      <c r="L64" s="82" t="s">
        <v>51</v>
      </c>
    </row>
    <row r="65" ht="15.0" customHeight="1">
      <c r="A65" s="82" t="s">
        <v>1265</v>
      </c>
      <c r="B65" s="82" t="s">
        <v>1266</v>
      </c>
      <c r="C65" s="82" t="s">
        <v>52</v>
      </c>
      <c r="D65" s="82" t="s">
        <v>1270</v>
      </c>
      <c r="E65" s="82" t="s">
        <v>1384</v>
      </c>
      <c r="F65" s="82" t="s">
        <v>314</v>
      </c>
      <c r="G65" s="82">
        <v>5.0</v>
      </c>
      <c r="H65" s="82">
        <v>5.0</v>
      </c>
      <c r="I65" s="82">
        <v>5.0</v>
      </c>
      <c r="J65" s="82">
        <v>50.0</v>
      </c>
      <c r="K65" s="82">
        <v>10.0</v>
      </c>
      <c r="L65" s="82" t="s">
        <v>51</v>
      </c>
    </row>
    <row r="66" ht="15.0" customHeight="1">
      <c r="A66" s="82" t="s">
        <v>1241</v>
      </c>
      <c r="B66" s="78" t="s">
        <v>1237</v>
      </c>
      <c r="C66" s="82" t="s">
        <v>52</v>
      </c>
      <c r="D66" s="82" t="s">
        <v>1245</v>
      </c>
      <c r="E66" s="82" t="s">
        <v>1246</v>
      </c>
      <c r="F66" s="82" t="s">
        <v>314</v>
      </c>
      <c r="G66" s="82">
        <v>7.0</v>
      </c>
      <c r="H66" s="82">
        <v>7.0</v>
      </c>
      <c r="I66" s="82">
        <v>7.0</v>
      </c>
      <c r="J66" s="82">
        <v>50.0</v>
      </c>
      <c r="K66" s="82">
        <v>7.14</v>
      </c>
      <c r="L66" s="82" t="s">
        <v>51</v>
      </c>
    </row>
    <row r="67" ht="15.0" customHeight="1">
      <c r="A67" s="82" t="s">
        <v>1316</v>
      </c>
      <c r="B67" s="78" t="s">
        <v>1317</v>
      </c>
      <c r="C67" s="82" t="s">
        <v>52</v>
      </c>
      <c r="D67" s="82" t="s">
        <v>1385</v>
      </c>
      <c r="E67" s="82" t="s">
        <v>1386</v>
      </c>
      <c r="F67" s="82" t="s">
        <v>314</v>
      </c>
      <c r="G67" s="82">
        <v>3.0</v>
      </c>
      <c r="H67" s="82">
        <v>3.0</v>
      </c>
      <c r="I67" s="82">
        <v>3.0</v>
      </c>
      <c r="J67" s="82">
        <v>50.0</v>
      </c>
      <c r="K67" s="82">
        <v>16.67</v>
      </c>
      <c r="L67" s="82" t="s">
        <v>51</v>
      </c>
    </row>
    <row r="68" ht="15.0" customHeight="1">
      <c r="A68" s="82" t="s">
        <v>1298</v>
      </c>
      <c r="B68" s="78" t="s">
        <v>1299</v>
      </c>
      <c r="C68" s="82" t="s">
        <v>52</v>
      </c>
      <c r="D68" s="82" t="s">
        <v>1387</v>
      </c>
      <c r="E68" s="82" t="s">
        <v>1388</v>
      </c>
      <c r="F68" s="82" t="s">
        <v>314</v>
      </c>
      <c r="G68" s="82">
        <v>3.0</v>
      </c>
      <c r="H68" s="82">
        <v>3.0</v>
      </c>
      <c r="I68" s="82">
        <v>3.0</v>
      </c>
      <c r="J68" s="82">
        <v>50.0</v>
      </c>
      <c r="K68" s="82">
        <v>16.67</v>
      </c>
      <c r="L68" s="82" t="s">
        <v>51</v>
      </c>
    </row>
    <row r="69" ht="15.0" customHeight="1">
      <c r="A69" s="82" t="s">
        <v>1298</v>
      </c>
      <c r="B69" s="78" t="s">
        <v>1299</v>
      </c>
      <c r="C69" s="82" t="s">
        <v>52</v>
      </c>
      <c r="D69" s="82" t="s">
        <v>1389</v>
      </c>
      <c r="E69" s="82" t="s">
        <v>1390</v>
      </c>
      <c r="F69" s="82" t="s">
        <v>314</v>
      </c>
      <c r="G69" s="82">
        <v>3.0</v>
      </c>
      <c r="H69" s="82">
        <v>3.0</v>
      </c>
      <c r="I69" s="82">
        <v>3.0</v>
      </c>
      <c r="J69" s="82">
        <v>50.0</v>
      </c>
      <c r="K69" s="82">
        <v>16.67</v>
      </c>
      <c r="L69" s="82" t="s">
        <v>51</v>
      </c>
    </row>
    <row r="70" ht="15.0" customHeight="1">
      <c r="A70" s="82" t="s">
        <v>1298</v>
      </c>
      <c r="B70" s="78" t="s">
        <v>1299</v>
      </c>
      <c r="C70" s="82" t="s">
        <v>52</v>
      </c>
      <c r="D70" s="82" t="s">
        <v>1391</v>
      </c>
      <c r="E70" s="82" t="s">
        <v>1392</v>
      </c>
      <c r="F70" s="82" t="s">
        <v>314</v>
      </c>
      <c r="G70" s="82">
        <v>3.0</v>
      </c>
      <c r="H70" s="82">
        <v>3.0</v>
      </c>
      <c r="I70" s="82">
        <v>3.0</v>
      </c>
      <c r="J70" s="82">
        <v>50.0</v>
      </c>
      <c r="K70" s="82">
        <v>16.67</v>
      </c>
      <c r="L70" s="82" t="s">
        <v>51</v>
      </c>
    </row>
    <row r="71" ht="15.0" customHeight="1">
      <c r="A71" s="82" t="s">
        <v>1298</v>
      </c>
      <c r="B71" s="78" t="s">
        <v>1299</v>
      </c>
      <c r="C71" s="82" t="s">
        <v>52</v>
      </c>
      <c r="D71" s="82" t="s">
        <v>1393</v>
      </c>
      <c r="E71" s="82" t="s">
        <v>1394</v>
      </c>
      <c r="F71" s="82" t="s">
        <v>314</v>
      </c>
      <c r="G71" s="82">
        <v>3.0</v>
      </c>
      <c r="H71" s="82">
        <v>3.0</v>
      </c>
      <c r="I71" s="82">
        <v>3.0</v>
      </c>
      <c r="J71" s="82">
        <v>50.0</v>
      </c>
      <c r="K71" s="82">
        <v>16.67</v>
      </c>
      <c r="L71" s="82" t="s">
        <v>51</v>
      </c>
    </row>
    <row r="72" ht="15.0" customHeight="1">
      <c r="A72" s="82" t="s">
        <v>1395</v>
      </c>
      <c r="B72" s="82" t="s">
        <v>1396</v>
      </c>
      <c r="C72" s="82" t="s">
        <v>52</v>
      </c>
      <c r="D72" s="82" t="s">
        <v>1397</v>
      </c>
      <c r="E72" s="82" t="s">
        <v>1398</v>
      </c>
      <c r="F72" s="82" t="s">
        <v>314</v>
      </c>
      <c r="G72" s="82">
        <v>4.0</v>
      </c>
      <c r="H72" s="82">
        <v>4.0</v>
      </c>
      <c r="I72" s="82">
        <v>4.0</v>
      </c>
      <c r="J72" s="82">
        <v>50.0</v>
      </c>
      <c r="K72" s="82">
        <v>12.5</v>
      </c>
      <c r="L72" s="82" t="s">
        <v>51</v>
      </c>
    </row>
    <row r="73" ht="15.0" customHeight="1">
      <c r="A73" s="82" t="s">
        <v>1247</v>
      </c>
      <c r="B73" s="82" t="s">
        <v>1248</v>
      </c>
      <c r="C73" s="82" t="s">
        <v>52</v>
      </c>
      <c r="D73" s="82" t="s">
        <v>1399</v>
      </c>
      <c r="E73" s="82" t="s">
        <v>1400</v>
      </c>
      <c r="F73" s="82" t="s">
        <v>1184</v>
      </c>
      <c r="G73" s="82">
        <v>4.0</v>
      </c>
      <c r="H73" s="82">
        <v>4.0</v>
      </c>
      <c r="I73" s="82">
        <v>4.0</v>
      </c>
      <c r="J73" s="82">
        <v>50.0</v>
      </c>
      <c r="K73" s="82">
        <v>12.5</v>
      </c>
      <c r="L73" s="82" t="s">
        <v>51</v>
      </c>
    </row>
    <row r="74" ht="15.0" customHeight="1">
      <c r="A74" s="82" t="s">
        <v>1401</v>
      </c>
      <c r="B74" s="82" t="s">
        <v>1402</v>
      </c>
      <c r="C74" s="82" t="s">
        <v>52</v>
      </c>
      <c r="D74" s="82" t="s">
        <v>1403</v>
      </c>
      <c r="E74" s="82" t="s">
        <v>1404</v>
      </c>
      <c r="F74" s="82" t="s">
        <v>314</v>
      </c>
      <c r="G74" s="82">
        <v>4.0</v>
      </c>
      <c r="H74" s="82">
        <v>4.0</v>
      </c>
      <c r="I74" s="82">
        <v>4.0</v>
      </c>
      <c r="J74" s="82">
        <v>50.0</v>
      </c>
      <c r="K74" s="82">
        <v>12.5</v>
      </c>
      <c r="L74" s="82" t="s">
        <v>51</v>
      </c>
    </row>
    <row r="75" ht="15.0" customHeight="1">
      <c r="A75" s="82" t="s">
        <v>1401</v>
      </c>
      <c r="B75" s="82" t="s">
        <v>1402</v>
      </c>
      <c r="C75" s="82" t="s">
        <v>52</v>
      </c>
      <c r="D75" s="82" t="s">
        <v>1405</v>
      </c>
      <c r="E75" s="82" t="s">
        <v>1406</v>
      </c>
      <c r="F75" s="82" t="s">
        <v>314</v>
      </c>
      <c r="G75" s="82">
        <v>4.0</v>
      </c>
      <c r="H75" s="82">
        <v>4.0</v>
      </c>
      <c r="I75" s="82">
        <v>4.0</v>
      </c>
      <c r="J75" s="82">
        <v>50.0</v>
      </c>
      <c r="K75" s="82">
        <v>12.5</v>
      </c>
      <c r="L75" s="82" t="s">
        <v>51</v>
      </c>
    </row>
    <row r="76" ht="15.0" customHeight="1">
      <c r="A76" s="82" t="s">
        <v>1407</v>
      </c>
      <c r="B76" s="82" t="s">
        <v>1408</v>
      </c>
      <c r="C76" s="82" t="s">
        <v>52</v>
      </c>
      <c r="D76" s="82" t="s">
        <v>1409</v>
      </c>
      <c r="E76" s="82" t="s">
        <v>1410</v>
      </c>
      <c r="F76" s="82" t="s">
        <v>314</v>
      </c>
      <c r="G76" s="82">
        <v>4.0</v>
      </c>
      <c r="H76" s="82">
        <v>4.0</v>
      </c>
      <c r="I76" s="82">
        <v>4.0</v>
      </c>
      <c r="J76" s="82">
        <v>50.0</v>
      </c>
      <c r="K76" s="82">
        <v>12.5</v>
      </c>
      <c r="L76" s="82" t="s">
        <v>51</v>
      </c>
    </row>
    <row r="77" ht="15.0" customHeight="1">
      <c r="A77" s="82" t="s">
        <v>1411</v>
      </c>
      <c r="B77" s="82" t="s">
        <v>1412</v>
      </c>
      <c r="C77" s="82" t="s">
        <v>52</v>
      </c>
      <c r="D77" s="82" t="s">
        <v>1413</v>
      </c>
      <c r="E77" s="82" t="s">
        <v>1414</v>
      </c>
      <c r="F77" s="82" t="s">
        <v>314</v>
      </c>
      <c r="G77" s="82">
        <v>4.0</v>
      </c>
      <c r="H77" s="82">
        <v>4.0</v>
      </c>
      <c r="I77" s="82">
        <v>4.0</v>
      </c>
      <c r="J77" s="82">
        <v>50.0</v>
      </c>
      <c r="K77" s="82">
        <v>12.5</v>
      </c>
      <c r="L77" s="82" t="s">
        <v>51</v>
      </c>
    </row>
    <row r="78" ht="15.0" customHeight="1">
      <c r="A78" s="82" t="s">
        <v>1261</v>
      </c>
      <c r="B78" s="78" t="s">
        <v>1253</v>
      </c>
      <c r="C78" s="82" t="s">
        <v>52</v>
      </c>
      <c r="D78" s="82" t="s">
        <v>1415</v>
      </c>
      <c r="E78" s="95" t="s">
        <v>1416</v>
      </c>
      <c r="F78" s="82" t="s">
        <v>1417</v>
      </c>
      <c r="G78" s="82">
        <v>4.0</v>
      </c>
      <c r="H78" s="82">
        <v>4.0</v>
      </c>
      <c r="I78" s="82">
        <v>4.0</v>
      </c>
      <c r="J78" s="82">
        <v>50.0</v>
      </c>
      <c r="K78" s="82">
        <f t="shared" ref="K78:K90" si="2">J78/I78</f>
        <v>12.5</v>
      </c>
      <c r="L78" s="82" t="s">
        <v>73</v>
      </c>
    </row>
    <row r="79" ht="15.0" customHeight="1">
      <c r="A79" s="82" t="s">
        <v>1261</v>
      </c>
      <c r="B79" s="78" t="s">
        <v>1253</v>
      </c>
      <c r="C79" s="82" t="s">
        <v>52</v>
      </c>
      <c r="D79" s="82" t="s">
        <v>1262</v>
      </c>
      <c r="E79" s="82" t="s">
        <v>1263</v>
      </c>
      <c r="F79" s="82" t="s">
        <v>1264</v>
      </c>
      <c r="G79" s="82">
        <v>4.0</v>
      </c>
      <c r="H79" s="82">
        <v>4.0</v>
      </c>
      <c r="I79" s="82">
        <v>4.0</v>
      </c>
      <c r="J79" s="82">
        <v>50.0</v>
      </c>
      <c r="K79" s="82">
        <f t="shared" si="2"/>
        <v>12.5</v>
      </c>
      <c r="L79" s="82" t="s">
        <v>73</v>
      </c>
    </row>
    <row r="80" ht="15.0" customHeight="1">
      <c r="A80" s="82" t="s">
        <v>1261</v>
      </c>
      <c r="B80" s="78" t="s">
        <v>1253</v>
      </c>
      <c r="C80" s="82" t="s">
        <v>52</v>
      </c>
      <c r="D80" s="82" t="s">
        <v>1418</v>
      </c>
      <c r="E80" s="95" t="s">
        <v>1419</v>
      </c>
      <c r="F80" s="82" t="s">
        <v>259</v>
      </c>
      <c r="G80" s="82">
        <v>4.0</v>
      </c>
      <c r="H80" s="82">
        <v>4.0</v>
      </c>
      <c r="I80" s="82">
        <v>4.0</v>
      </c>
      <c r="J80" s="82">
        <v>50.0</v>
      </c>
      <c r="K80" s="82">
        <f t="shared" si="2"/>
        <v>12.5</v>
      </c>
      <c r="L80" s="82" t="s">
        <v>73</v>
      </c>
    </row>
    <row r="81" ht="15.0" customHeight="1">
      <c r="A81" s="82" t="s">
        <v>1261</v>
      </c>
      <c r="B81" s="78" t="s">
        <v>1253</v>
      </c>
      <c r="C81" s="82" t="s">
        <v>52</v>
      </c>
      <c r="D81" s="82" t="s">
        <v>1420</v>
      </c>
      <c r="E81" s="95" t="s">
        <v>1421</v>
      </c>
      <c r="F81" s="82" t="s">
        <v>259</v>
      </c>
      <c r="G81" s="82">
        <v>4.0</v>
      </c>
      <c r="H81" s="82">
        <v>4.0</v>
      </c>
      <c r="I81" s="82">
        <v>4.0</v>
      </c>
      <c r="J81" s="82">
        <v>50.0</v>
      </c>
      <c r="K81" s="82">
        <f t="shared" si="2"/>
        <v>12.5</v>
      </c>
      <c r="L81" s="82" t="s">
        <v>73</v>
      </c>
    </row>
    <row r="82" ht="15.0" customHeight="1">
      <c r="A82" s="78" t="s">
        <v>1272</v>
      </c>
      <c r="B82" s="82" t="s">
        <v>1422</v>
      </c>
      <c r="C82" s="82" t="s">
        <v>52</v>
      </c>
      <c r="D82" s="82" t="s">
        <v>1423</v>
      </c>
      <c r="E82" s="95" t="s">
        <v>1424</v>
      </c>
      <c r="F82" s="86" t="s">
        <v>259</v>
      </c>
      <c r="G82" s="82">
        <v>7.0</v>
      </c>
      <c r="H82" s="82">
        <v>7.0</v>
      </c>
      <c r="I82" s="82">
        <v>7.0</v>
      </c>
      <c r="J82" s="152">
        <v>50.0</v>
      </c>
      <c r="K82" s="84">
        <f t="shared" si="2"/>
        <v>7.142857143</v>
      </c>
      <c r="L82" s="82" t="s">
        <v>73</v>
      </c>
    </row>
    <row r="83" ht="15.0" customHeight="1">
      <c r="A83" s="78" t="s">
        <v>1272</v>
      </c>
      <c r="B83" s="82" t="s">
        <v>1422</v>
      </c>
      <c r="C83" s="82" t="s">
        <v>52</v>
      </c>
      <c r="D83" s="82" t="s">
        <v>1425</v>
      </c>
      <c r="E83" s="95" t="s">
        <v>1426</v>
      </c>
      <c r="F83" s="86" t="s">
        <v>259</v>
      </c>
      <c r="G83" s="82">
        <v>7.0</v>
      </c>
      <c r="H83" s="82">
        <v>7.0</v>
      </c>
      <c r="I83" s="82">
        <v>7.0</v>
      </c>
      <c r="J83" s="152">
        <v>50.0</v>
      </c>
      <c r="K83" s="84">
        <f t="shared" si="2"/>
        <v>7.142857143</v>
      </c>
      <c r="L83" s="82" t="s">
        <v>73</v>
      </c>
    </row>
    <row r="84" ht="15.0" customHeight="1">
      <c r="A84" s="78" t="s">
        <v>1272</v>
      </c>
      <c r="B84" s="82" t="s">
        <v>1422</v>
      </c>
      <c r="C84" s="82" t="s">
        <v>52</v>
      </c>
      <c r="D84" s="82" t="s">
        <v>1427</v>
      </c>
      <c r="E84" s="82" t="s">
        <v>1428</v>
      </c>
      <c r="F84" s="86" t="s">
        <v>1417</v>
      </c>
      <c r="G84" s="82">
        <v>7.0</v>
      </c>
      <c r="H84" s="82">
        <v>7.0</v>
      </c>
      <c r="I84" s="82">
        <v>7.0</v>
      </c>
      <c r="J84" s="152">
        <v>50.0</v>
      </c>
      <c r="K84" s="84">
        <f t="shared" si="2"/>
        <v>7.142857143</v>
      </c>
      <c r="L84" s="82" t="s">
        <v>73</v>
      </c>
    </row>
    <row r="85" ht="15.0" customHeight="1">
      <c r="A85" s="82" t="s">
        <v>1429</v>
      </c>
      <c r="B85" s="82" t="s">
        <v>1430</v>
      </c>
      <c r="C85" s="82" t="s">
        <v>52</v>
      </c>
      <c r="D85" s="82" t="s">
        <v>1431</v>
      </c>
      <c r="E85" s="95" t="s">
        <v>1432</v>
      </c>
      <c r="F85" s="86" t="s">
        <v>1417</v>
      </c>
      <c r="G85" s="82">
        <v>8.0</v>
      </c>
      <c r="H85" s="82">
        <v>6.0</v>
      </c>
      <c r="I85" s="82">
        <v>8.0</v>
      </c>
      <c r="J85" s="152">
        <v>50.0</v>
      </c>
      <c r="K85" s="84">
        <f t="shared" si="2"/>
        <v>6.25</v>
      </c>
      <c r="L85" s="82" t="s">
        <v>73</v>
      </c>
    </row>
    <row r="86" ht="15.0" customHeight="1">
      <c r="A86" s="82" t="s">
        <v>1429</v>
      </c>
      <c r="B86" s="82" t="s">
        <v>1430</v>
      </c>
      <c r="C86" s="82" t="s">
        <v>52</v>
      </c>
      <c r="D86" s="82" t="s">
        <v>1433</v>
      </c>
      <c r="E86" s="82" t="s">
        <v>1434</v>
      </c>
      <c r="F86" s="86" t="s">
        <v>1417</v>
      </c>
      <c r="G86" s="82">
        <v>8.0</v>
      </c>
      <c r="H86" s="82">
        <v>6.0</v>
      </c>
      <c r="I86" s="82">
        <v>8.0</v>
      </c>
      <c r="J86" s="152">
        <v>50.0</v>
      </c>
      <c r="K86" s="84">
        <f t="shared" si="2"/>
        <v>6.25</v>
      </c>
      <c r="L86" s="82" t="s">
        <v>73</v>
      </c>
    </row>
    <row r="87" ht="15.0" customHeight="1">
      <c r="A87" s="82" t="s">
        <v>1429</v>
      </c>
      <c r="B87" s="82" t="s">
        <v>1430</v>
      </c>
      <c r="C87" s="82" t="s">
        <v>52</v>
      </c>
      <c r="D87" s="82" t="s">
        <v>1435</v>
      </c>
      <c r="E87" s="95" t="s">
        <v>1436</v>
      </c>
      <c r="F87" s="86" t="s">
        <v>1437</v>
      </c>
      <c r="G87" s="82">
        <v>8.0</v>
      </c>
      <c r="H87" s="82">
        <v>6.0</v>
      </c>
      <c r="I87" s="82">
        <v>8.0</v>
      </c>
      <c r="J87" s="152">
        <v>50.0</v>
      </c>
      <c r="K87" s="84">
        <f t="shared" si="2"/>
        <v>6.25</v>
      </c>
      <c r="L87" s="82" t="s">
        <v>73</v>
      </c>
    </row>
    <row r="88" ht="15.0" customHeight="1">
      <c r="A88" s="100" t="s">
        <v>1438</v>
      </c>
      <c r="B88" s="100" t="s">
        <v>1332</v>
      </c>
      <c r="C88" s="82" t="s">
        <v>52</v>
      </c>
      <c r="D88" s="100" t="s">
        <v>1439</v>
      </c>
      <c r="E88" s="95" t="s">
        <v>1440</v>
      </c>
      <c r="F88" s="86" t="s">
        <v>1441</v>
      </c>
      <c r="G88" s="100">
        <v>4.0</v>
      </c>
      <c r="H88" s="100">
        <v>4.0</v>
      </c>
      <c r="I88" s="100">
        <v>4.0</v>
      </c>
      <c r="J88" s="100">
        <v>50.0</v>
      </c>
      <c r="K88" s="151">
        <f t="shared" si="2"/>
        <v>12.5</v>
      </c>
      <c r="L88" s="82" t="s">
        <v>73</v>
      </c>
    </row>
    <row r="89" ht="15.0" customHeight="1">
      <c r="A89" s="100" t="s">
        <v>1442</v>
      </c>
      <c r="B89" s="100" t="s">
        <v>1282</v>
      </c>
      <c r="C89" s="82" t="s">
        <v>52</v>
      </c>
      <c r="D89" s="100" t="s">
        <v>1443</v>
      </c>
      <c r="E89" s="95" t="s">
        <v>1444</v>
      </c>
      <c r="F89" s="86" t="s">
        <v>1417</v>
      </c>
      <c r="G89" s="100">
        <v>8.0</v>
      </c>
      <c r="H89" s="100">
        <v>8.0</v>
      </c>
      <c r="I89" s="100">
        <v>8.0</v>
      </c>
      <c r="J89" s="100">
        <v>50.0</v>
      </c>
      <c r="K89" s="151">
        <f t="shared" si="2"/>
        <v>6.25</v>
      </c>
      <c r="L89" s="82" t="s">
        <v>73</v>
      </c>
    </row>
    <row r="90" ht="15.0" customHeight="1">
      <c r="A90" s="100" t="s">
        <v>1442</v>
      </c>
      <c r="B90" s="100" t="s">
        <v>1282</v>
      </c>
      <c r="C90" s="82" t="s">
        <v>52</v>
      </c>
      <c r="D90" s="78" t="s">
        <v>1445</v>
      </c>
      <c r="E90" s="95" t="s">
        <v>1446</v>
      </c>
      <c r="F90" s="86" t="s">
        <v>1417</v>
      </c>
      <c r="G90" s="100">
        <v>8.0</v>
      </c>
      <c r="H90" s="100">
        <v>8.0</v>
      </c>
      <c r="I90" s="100">
        <v>8.0</v>
      </c>
      <c r="J90" s="100">
        <v>50.0</v>
      </c>
      <c r="K90" s="151">
        <f t="shared" si="2"/>
        <v>6.25</v>
      </c>
      <c r="L90" s="82" t="s">
        <v>73</v>
      </c>
    </row>
    <row r="91" ht="15.0" customHeight="1">
      <c r="A91" s="100" t="s">
        <v>1447</v>
      </c>
      <c r="B91" s="100" t="s">
        <v>1448</v>
      </c>
      <c r="C91" s="82" t="s">
        <v>52</v>
      </c>
      <c r="D91" s="153" t="s">
        <v>1449</v>
      </c>
      <c r="E91" s="95" t="s">
        <v>1450</v>
      </c>
      <c r="F91" s="86" t="s">
        <v>1451</v>
      </c>
      <c r="G91" s="100">
        <v>4.0</v>
      </c>
      <c r="H91" s="100">
        <v>4.0</v>
      </c>
      <c r="I91" s="100">
        <v>4.0</v>
      </c>
      <c r="J91" s="100">
        <v>50.0</v>
      </c>
      <c r="K91" s="151">
        <v>12.5</v>
      </c>
      <c r="L91" s="82" t="s">
        <v>73</v>
      </c>
    </row>
    <row r="92" ht="15.0" customHeight="1">
      <c r="A92" s="100" t="s">
        <v>1447</v>
      </c>
      <c r="B92" s="100" t="s">
        <v>1448</v>
      </c>
      <c r="C92" s="82" t="s">
        <v>52</v>
      </c>
      <c r="D92" s="153" t="s">
        <v>1452</v>
      </c>
      <c r="E92" s="95" t="s">
        <v>1453</v>
      </c>
      <c r="F92" s="86" t="s">
        <v>1437</v>
      </c>
      <c r="G92" s="100">
        <v>4.0</v>
      </c>
      <c r="H92" s="100">
        <v>4.0</v>
      </c>
      <c r="I92" s="100">
        <v>4.0</v>
      </c>
      <c r="J92" s="100">
        <v>50.0</v>
      </c>
      <c r="K92" s="151">
        <v>12.5</v>
      </c>
      <c r="L92" s="82" t="s">
        <v>73</v>
      </c>
    </row>
    <row r="93" ht="15.0" customHeight="1">
      <c r="A93" s="100" t="s">
        <v>1454</v>
      </c>
      <c r="B93" s="100" t="s">
        <v>1455</v>
      </c>
      <c r="C93" s="82" t="s">
        <v>52</v>
      </c>
      <c r="D93" s="78" t="s">
        <v>1456</v>
      </c>
      <c r="E93" s="95" t="s">
        <v>1457</v>
      </c>
      <c r="F93" s="86" t="s">
        <v>314</v>
      </c>
      <c r="G93" s="100">
        <v>4.0</v>
      </c>
      <c r="H93" s="100">
        <v>4.0</v>
      </c>
      <c r="I93" s="100">
        <v>4.0</v>
      </c>
      <c r="J93" s="100">
        <v>50.0</v>
      </c>
      <c r="K93" s="151">
        <v>12.5</v>
      </c>
      <c r="L93" s="82" t="s">
        <v>73</v>
      </c>
    </row>
    <row r="94" ht="15.0" customHeight="1">
      <c r="A94" s="100" t="s">
        <v>1458</v>
      </c>
      <c r="B94" s="100" t="s">
        <v>1459</v>
      </c>
      <c r="C94" s="82" t="s">
        <v>52</v>
      </c>
      <c r="D94" s="78" t="s">
        <v>1460</v>
      </c>
      <c r="E94" s="82" t="s">
        <v>1461</v>
      </c>
      <c r="F94" s="86" t="s">
        <v>890</v>
      </c>
      <c r="G94" s="100">
        <v>5.0</v>
      </c>
      <c r="H94" s="100">
        <v>5.0</v>
      </c>
      <c r="I94" s="100">
        <v>5.0</v>
      </c>
      <c r="J94" s="100">
        <v>50.0</v>
      </c>
      <c r="K94" s="151">
        <v>10.0</v>
      </c>
      <c r="L94" s="82" t="s">
        <v>73</v>
      </c>
    </row>
    <row r="95" ht="15.0" customHeight="1">
      <c r="A95" s="82" t="s">
        <v>1462</v>
      </c>
      <c r="B95" s="82" t="s">
        <v>1402</v>
      </c>
      <c r="C95" s="82" t="s">
        <v>52</v>
      </c>
      <c r="D95" s="78" t="s">
        <v>1463</v>
      </c>
      <c r="E95" s="82" t="s">
        <v>1464</v>
      </c>
      <c r="F95" s="86" t="s">
        <v>259</v>
      </c>
      <c r="G95" s="82">
        <v>4.0</v>
      </c>
      <c r="H95" s="82">
        <v>4.0</v>
      </c>
      <c r="I95" s="82">
        <v>4.0</v>
      </c>
      <c r="J95" s="152">
        <v>50.0</v>
      </c>
      <c r="K95" s="84">
        <f t="shared" ref="K95:K97" si="3">J95/I95</f>
        <v>12.5</v>
      </c>
      <c r="L95" s="82" t="s">
        <v>73</v>
      </c>
    </row>
    <row r="96" ht="15.0" customHeight="1">
      <c r="A96" s="82" t="s">
        <v>1462</v>
      </c>
      <c r="B96" s="82" t="s">
        <v>1402</v>
      </c>
      <c r="C96" s="82" t="s">
        <v>52</v>
      </c>
      <c r="D96" s="82" t="s">
        <v>1465</v>
      </c>
      <c r="E96" s="95" t="s">
        <v>1466</v>
      </c>
      <c r="F96" s="86" t="s">
        <v>1467</v>
      </c>
      <c r="G96" s="82">
        <v>4.0</v>
      </c>
      <c r="H96" s="82">
        <v>4.0</v>
      </c>
      <c r="I96" s="82">
        <v>4.0</v>
      </c>
      <c r="J96" s="152">
        <v>50.0</v>
      </c>
      <c r="K96" s="84">
        <f t="shared" si="3"/>
        <v>12.5</v>
      </c>
      <c r="L96" s="82" t="s">
        <v>73</v>
      </c>
    </row>
    <row r="97" ht="15.0" customHeight="1">
      <c r="A97" s="82" t="s">
        <v>1462</v>
      </c>
      <c r="B97" s="82" t="s">
        <v>1402</v>
      </c>
      <c r="C97" s="82" t="s">
        <v>52</v>
      </c>
      <c r="D97" s="82" t="s">
        <v>1468</v>
      </c>
      <c r="E97" s="95" t="s">
        <v>1469</v>
      </c>
      <c r="F97" s="86" t="s">
        <v>1470</v>
      </c>
      <c r="G97" s="82">
        <v>4.0</v>
      </c>
      <c r="H97" s="82">
        <v>4.0</v>
      </c>
      <c r="I97" s="82">
        <v>4.0</v>
      </c>
      <c r="J97" s="152">
        <v>50.0</v>
      </c>
      <c r="K97" s="84">
        <f t="shared" si="3"/>
        <v>12.5</v>
      </c>
      <c r="L97" s="82" t="s">
        <v>73</v>
      </c>
    </row>
    <row r="98" ht="15.0" customHeight="1">
      <c r="A98" s="82" t="s">
        <v>1471</v>
      </c>
      <c r="B98" s="82" t="s">
        <v>1472</v>
      </c>
      <c r="C98" s="82" t="s">
        <v>52</v>
      </c>
      <c r="D98" s="82" t="s">
        <v>1473</v>
      </c>
      <c r="E98" s="95" t="s">
        <v>1474</v>
      </c>
      <c r="F98" s="86" t="s">
        <v>890</v>
      </c>
      <c r="G98" s="82">
        <v>3.0</v>
      </c>
      <c r="H98" s="82">
        <v>3.0</v>
      </c>
      <c r="I98" s="82">
        <v>3.0</v>
      </c>
      <c r="J98" s="152">
        <v>50.0</v>
      </c>
      <c r="K98" s="84">
        <v>16.6</v>
      </c>
      <c r="L98" s="82" t="s">
        <v>73</v>
      </c>
    </row>
    <row r="99" ht="15.0" customHeight="1">
      <c r="A99" s="82" t="s">
        <v>1471</v>
      </c>
      <c r="B99" s="82" t="s">
        <v>1472</v>
      </c>
      <c r="C99" s="82" t="s">
        <v>52</v>
      </c>
      <c r="D99" s="82" t="s">
        <v>1475</v>
      </c>
      <c r="E99" s="95" t="s">
        <v>1476</v>
      </c>
      <c r="F99" s="86" t="s">
        <v>890</v>
      </c>
      <c r="G99" s="82">
        <v>3.0</v>
      </c>
      <c r="H99" s="82">
        <v>3.0</v>
      </c>
      <c r="I99" s="82">
        <v>3.0</v>
      </c>
      <c r="J99" s="152">
        <v>50.0</v>
      </c>
      <c r="K99" s="84">
        <v>16.6</v>
      </c>
      <c r="L99" s="82" t="s">
        <v>73</v>
      </c>
    </row>
    <row r="100" ht="15.0" customHeight="1">
      <c r="A100" s="78" t="s">
        <v>1477</v>
      </c>
      <c r="B100" s="82" t="s">
        <v>1472</v>
      </c>
      <c r="C100" s="82" t="s">
        <v>52</v>
      </c>
      <c r="D100" s="82" t="s">
        <v>1478</v>
      </c>
      <c r="E100" s="79" t="s">
        <v>1479</v>
      </c>
      <c r="F100" s="86" t="s">
        <v>259</v>
      </c>
      <c r="G100" s="82">
        <v>3.0</v>
      </c>
      <c r="H100" s="82">
        <v>3.0</v>
      </c>
      <c r="I100" s="82">
        <v>3.0</v>
      </c>
      <c r="J100" s="82">
        <v>50.0</v>
      </c>
      <c r="K100" s="92">
        <f>J100/I100</f>
        <v>16.66666667</v>
      </c>
      <c r="L100" s="82" t="s">
        <v>73</v>
      </c>
    </row>
    <row r="101" ht="15.0" customHeight="1">
      <c r="A101" s="82" t="s">
        <v>1480</v>
      </c>
      <c r="B101" s="82" t="s">
        <v>1381</v>
      </c>
      <c r="C101" s="82" t="s">
        <v>52</v>
      </c>
      <c r="D101" s="82" t="s">
        <v>1481</v>
      </c>
      <c r="E101" s="95" t="s">
        <v>1482</v>
      </c>
      <c r="F101" s="86" t="s">
        <v>890</v>
      </c>
      <c r="G101" s="82">
        <v>4.0</v>
      </c>
      <c r="H101" s="82">
        <v>4.0</v>
      </c>
      <c r="I101" s="82">
        <v>4.0</v>
      </c>
      <c r="J101" s="152">
        <v>50.0</v>
      </c>
      <c r="K101" s="84">
        <v>12.5</v>
      </c>
      <c r="L101" s="82" t="s">
        <v>73</v>
      </c>
    </row>
    <row r="102" ht="15.0" customHeight="1">
      <c r="A102" s="82" t="s">
        <v>1483</v>
      </c>
      <c r="B102" s="82" t="s">
        <v>1484</v>
      </c>
      <c r="C102" s="82" t="s">
        <v>52</v>
      </c>
      <c r="D102" s="82" t="s">
        <v>1485</v>
      </c>
      <c r="E102" s="82" t="s">
        <v>1444</v>
      </c>
      <c r="F102" s="86" t="s">
        <v>890</v>
      </c>
      <c r="G102" s="82">
        <v>5.0</v>
      </c>
      <c r="H102" s="82">
        <v>5.0</v>
      </c>
      <c r="I102" s="82">
        <v>5.0</v>
      </c>
      <c r="J102" s="152">
        <v>50.0</v>
      </c>
      <c r="K102" s="84">
        <v>10.0</v>
      </c>
      <c r="L102" s="82" t="s">
        <v>73</v>
      </c>
    </row>
    <row r="103" ht="15.0" customHeight="1">
      <c r="A103" s="82" t="s">
        <v>1486</v>
      </c>
      <c r="B103" s="82" t="s">
        <v>1487</v>
      </c>
      <c r="C103" s="82" t="s">
        <v>52</v>
      </c>
      <c r="D103" s="82" t="s">
        <v>1488</v>
      </c>
      <c r="E103" s="95" t="s">
        <v>1489</v>
      </c>
      <c r="F103" s="86" t="s">
        <v>890</v>
      </c>
      <c r="G103" s="82">
        <v>4.0</v>
      </c>
      <c r="H103" s="82">
        <v>4.0</v>
      </c>
      <c r="I103" s="82">
        <v>4.0</v>
      </c>
      <c r="J103" s="152">
        <v>50.0</v>
      </c>
      <c r="K103" s="84">
        <v>12.5</v>
      </c>
      <c r="L103" s="82" t="s">
        <v>73</v>
      </c>
    </row>
    <row r="104" ht="15.0" customHeight="1">
      <c r="A104" s="82" t="s">
        <v>1490</v>
      </c>
      <c r="B104" s="87" t="s">
        <v>1491</v>
      </c>
      <c r="C104" s="82" t="s">
        <v>52</v>
      </c>
      <c r="D104" s="82" t="s">
        <v>1492</v>
      </c>
      <c r="E104" s="95" t="s">
        <v>1493</v>
      </c>
      <c r="F104" s="86" t="s">
        <v>890</v>
      </c>
      <c r="G104" s="82">
        <v>4.0</v>
      </c>
      <c r="H104" s="82">
        <v>4.0</v>
      </c>
      <c r="I104" s="82">
        <v>4.0</v>
      </c>
      <c r="J104" s="152">
        <v>50.0</v>
      </c>
      <c r="K104" s="84">
        <v>12.5</v>
      </c>
      <c r="L104" s="82" t="s">
        <v>73</v>
      </c>
    </row>
    <row r="105" ht="15.0" customHeight="1">
      <c r="A105" s="82" t="s">
        <v>1494</v>
      </c>
      <c r="B105" s="82" t="s">
        <v>1495</v>
      </c>
      <c r="C105" s="82" t="s">
        <v>52</v>
      </c>
      <c r="D105" s="82" t="s">
        <v>1496</v>
      </c>
      <c r="E105" s="79" t="s">
        <v>519</v>
      </c>
      <c r="F105" s="86" t="s">
        <v>1417</v>
      </c>
      <c r="G105" s="82">
        <v>4.0</v>
      </c>
      <c r="H105" s="82">
        <v>4.0</v>
      </c>
      <c r="I105" s="82">
        <v>4.0</v>
      </c>
      <c r="J105" s="152">
        <v>50.0</v>
      </c>
      <c r="K105" s="84">
        <v>12.5</v>
      </c>
      <c r="L105" s="82" t="s">
        <v>73</v>
      </c>
    </row>
    <row r="106" ht="15.0" customHeight="1">
      <c r="A106" s="82" t="s">
        <v>1497</v>
      </c>
      <c r="B106" s="82" t="s">
        <v>1498</v>
      </c>
      <c r="C106" s="82" t="s">
        <v>52</v>
      </c>
      <c r="D106" s="82" t="s">
        <v>1499</v>
      </c>
      <c r="E106" s="79" t="s">
        <v>1500</v>
      </c>
      <c r="F106" s="82" t="s">
        <v>1264</v>
      </c>
      <c r="G106" s="82">
        <v>1.0</v>
      </c>
      <c r="H106" s="82">
        <v>1.0</v>
      </c>
      <c r="I106" s="82">
        <v>4.0</v>
      </c>
      <c r="J106" s="82">
        <v>50.0</v>
      </c>
      <c r="K106" s="92">
        <f t="shared" ref="K106:K229" si="4">J106/G106</f>
        <v>50</v>
      </c>
      <c r="L106" s="82" t="s">
        <v>58</v>
      </c>
    </row>
    <row r="107" ht="15.0" customHeight="1">
      <c r="A107" s="82" t="s">
        <v>1497</v>
      </c>
      <c r="B107" s="82" t="s">
        <v>1498</v>
      </c>
      <c r="C107" s="82" t="s">
        <v>52</v>
      </c>
      <c r="D107" s="82" t="s">
        <v>1501</v>
      </c>
      <c r="E107" s="79" t="s">
        <v>1502</v>
      </c>
      <c r="F107" s="82" t="s">
        <v>1264</v>
      </c>
      <c r="G107" s="82">
        <v>1.0</v>
      </c>
      <c r="H107" s="82">
        <v>1.0</v>
      </c>
      <c r="I107" s="82">
        <v>4.0</v>
      </c>
      <c r="J107" s="82">
        <v>50.0</v>
      </c>
      <c r="K107" s="92">
        <f t="shared" si="4"/>
        <v>50</v>
      </c>
      <c r="L107" s="82" t="s">
        <v>58</v>
      </c>
    </row>
    <row r="108" ht="15.0" customHeight="1">
      <c r="A108" s="82" t="s">
        <v>1497</v>
      </c>
      <c r="B108" s="82" t="s">
        <v>1498</v>
      </c>
      <c r="C108" s="82" t="s">
        <v>52</v>
      </c>
      <c r="D108" s="82" t="s">
        <v>1503</v>
      </c>
      <c r="E108" s="79" t="s">
        <v>1504</v>
      </c>
      <c r="F108" s="82" t="s">
        <v>1264</v>
      </c>
      <c r="G108" s="82">
        <v>1.0</v>
      </c>
      <c r="H108" s="82">
        <v>1.0</v>
      </c>
      <c r="I108" s="82">
        <v>4.0</v>
      </c>
      <c r="J108" s="82">
        <v>50.0</v>
      </c>
      <c r="K108" s="92">
        <f t="shared" si="4"/>
        <v>50</v>
      </c>
      <c r="L108" s="82" t="s">
        <v>58</v>
      </c>
    </row>
    <row r="109" ht="15.0" customHeight="1">
      <c r="A109" s="82" t="s">
        <v>1497</v>
      </c>
      <c r="B109" s="82" t="s">
        <v>1498</v>
      </c>
      <c r="C109" s="82" t="s">
        <v>52</v>
      </c>
      <c r="D109" s="82" t="s">
        <v>1505</v>
      </c>
      <c r="E109" s="79" t="s">
        <v>1506</v>
      </c>
      <c r="F109" s="82" t="s">
        <v>1264</v>
      </c>
      <c r="G109" s="82">
        <v>1.0</v>
      </c>
      <c r="H109" s="82">
        <v>1.0</v>
      </c>
      <c r="I109" s="82">
        <v>4.0</v>
      </c>
      <c r="J109" s="82">
        <v>50.0</v>
      </c>
      <c r="K109" s="92">
        <f t="shared" si="4"/>
        <v>50</v>
      </c>
      <c r="L109" s="82" t="s">
        <v>58</v>
      </c>
    </row>
    <row r="110" ht="15.0" customHeight="1">
      <c r="A110" s="82" t="s">
        <v>1497</v>
      </c>
      <c r="B110" s="82" t="s">
        <v>1498</v>
      </c>
      <c r="C110" s="82" t="s">
        <v>52</v>
      </c>
      <c r="D110" s="82" t="s">
        <v>1507</v>
      </c>
      <c r="E110" s="79" t="s">
        <v>1508</v>
      </c>
      <c r="F110" s="82" t="s">
        <v>1264</v>
      </c>
      <c r="G110" s="82">
        <v>1.0</v>
      </c>
      <c r="H110" s="82">
        <v>1.0</v>
      </c>
      <c r="I110" s="82">
        <v>4.0</v>
      </c>
      <c r="J110" s="82">
        <v>50.0</v>
      </c>
      <c r="K110" s="92">
        <f t="shared" si="4"/>
        <v>50</v>
      </c>
      <c r="L110" s="82" t="s">
        <v>58</v>
      </c>
    </row>
    <row r="111" ht="15.0" customHeight="1">
      <c r="A111" s="82" t="s">
        <v>1497</v>
      </c>
      <c r="B111" s="82" t="s">
        <v>1498</v>
      </c>
      <c r="C111" s="82" t="s">
        <v>52</v>
      </c>
      <c r="D111" s="82" t="s">
        <v>1509</v>
      </c>
      <c r="E111" s="79" t="s">
        <v>1510</v>
      </c>
      <c r="F111" s="82" t="s">
        <v>1264</v>
      </c>
      <c r="G111" s="82">
        <v>1.0</v>
      </c>
      <c r="H111" s="82">
        <v>1.0</v>
      </c>
      <c r="I111" s="82">
        <v>4.0</v>
      </c>
      <c r="J111" s="82">
        <v>50.0</v>
      </c>
      <c r="K111" s="92">
        <f t="shared" si="4"/>
        <v>50</v>
      </c>
      <c r="L111" s="82" t="s">
        <v>58</v>
      </c>
    </row>
    <row r="112" ht="15.0" customHeight="1">
      <c r="A112" s="82" t="s">
        <v>1497</v>
      </c>
      <c r="B112" s="82" t="s">
        <v>1498</v>
      </c>
      <c r="C112" s="82" t="s">
        <v>52</v>
      </c>
      <c r="D112" s="82" t="s">
        <v>1511</v>
      </c>
      <c r="E112" s="79" t="s">
        <v>1512</v>
      </c>
      <c r="F112" s="82" t="s">
        <v>1264</v>
      </c>
      <c r="G112" s="82">
        <v>1.0</v>
      </c>
      <c r="H112" s="82">
        <v>1.0</v>
      </c>
      <c r="I112" s="82">
        <v>4.0</v>
      </c>
      <c r="J112" s="82">
        <v>50.0</v>
      </c>
      <c r="K112" s="92">
        <f t="shared" si="4"/>
        <v>50</v>
      </c>
      <c r="L112" s="82" t="s">
        <v>58</v>
      </c>
    </row>
    <row r="113" ht="15.0" customHeight="1">
      <c r="A113" s="82" t="s">
        <v>1497</v>
      </c>
      <c r="B113" s="82" t="s">
        <v>1498</v>
      </c>
      <c r="C113" s="82" t="s">
        <v>52</v>
      </c>
      <c r="D113" s="82" t="s">
        <v>1513</v>
      </c>
      <c r="E113" s="79" t="s">
        <v>1514</v>
      </c>
      <c r="F113" s="82" t="s">
        <v>1264</v>
      </c>
      <c r="G113" s="82">
        <v>1.0</v>
      </c>
      <c r="H113" s="82">
        <v>1.0</v>
      </c>
      <c r="I113" s="82">
        <v>4.0</v>
      </c>
      <c r="J113" s="82">
        <v>50.0</v>
      </c>
      <c r="K113" s="92">
        <f t="shared" si="4"/>
        <v>50</v>
      </c>
      <c r="L113" s="82" t="s">
        <v>58</v>
      </c>
    </row>
    <row r="114" ht="15.0" customHeight="1">
      <c r="A114" s="82" t="s">
        <v>1497</v>
      </c>
      <c r="B114" s="82" t="s">
        <v>1498</v>
      </c>
      <c r="C114" s="82" t="s">
        <v>52</v>
      </c>
      <c r="D114" s="82" t="s">
        <v>1515</v>
      </c>
      <c r="E114" s="79" t="s">
        <v>1516</v>
      </c>
      <c r="F114" s="82" t="s">
        <v>1264</v>
      </c>
      <c r="G114" s="82">
        <v>1.0</v>
      </c>
      <c r="H114" s="82">
        <v>1.0</v>
      </c>
      <c r="I114" s="82">
        <v>4.0</v>
      </c>
      <c r="J114" s="82">
        <v>50.0</v>
      </c>
      <c r="K114" s="92">
        <f t="shared" si="4"/>
        <v>50</v>
      </c>
      <c r="L114" s="82" t="s">
        <v>58</v>
      </c>
    </row>
    <row r="115" ht="15.0" customHeight="1">
      <c r="A115" s="82" t="s">
        <v>1497</v>
      </c>
      <c r="B115" s="82" t="s">
        <v>1498</v>
      </c>
      <c r="C115" s="82" t="s">
        <v>52</v>
      </c>
      <c r="D115" s="82" t="s">
        <v>1517</v>
      </c>
      <c r="E115" s="79" t="s">
        <v>1518</v>
      </c>
      <c r="F115" s="82" t="s">
        <v>1264</v>
      </c>
      <c r="G115" s="82">
        <v>1.0</v>
      </c>
      <c r="H115" s="82">
        <v>1.0</v>
      </c>
      <c r="I115" s="82">
        <v>4.0</v>
      </c>
      <c r="J115" s="82">
        <v>50.0</v>
      </c>
      <c r="K115" s="92">
        <f t="shared" si="4"/>
        <v>50</v>
      </c>
      <c r="L115" s="82" t="s">
        <v>58</v>
      </c>
    </row>
    <row r="116" ht="15.0" customHeight="1">
      <c r="A116" s="82" t="s">
        <v>1497</v>
      </c>
      <c r="B116" s="82" t="s">
        <v>1498</v>
      </c>
      <c r="C116" s="82" t="s">
        <v>52</v>
      </c>
      <c r="D116" s="82" t="s">
        <v>1519</v>
      </c>
      <c r="E116" s="79" t="s">
        <v>1520</v>
      </c>
      <c r="F116" s="82" t="s">
        <v>1264</v>
      </c>
      <c r="G116" s="82">
        <v>1.0</v>
      </c>
      <c r="H116" s="82">
        <v>1.0</v>
      </c>
      <c r="I116" s="82">
        <v>4.0</v>
      </c>
      <c r="J116" s="82">
        <v>50.0</v>
      </c>
      <c r="K116" s="92">
        <f t="shared" si="4"/>
        <v>50</v>
      </c>
      <c r="L116" s="82" t="s">
        <v>58</v>
      </c>
    </row>
    <row r="117" ht="15.0" customHeight="1">
      <c r="A117" s="82" t="s">
        <v>1497</v>
      </c>
      <c r="B117" s="82" t="s">
        <v>1498</v>
      </c>
      <c r="C117" s="82" t="s">
        <v>52</v>
      </c>
      <c r="D117" s="82" t="s">
        <v>1521</v>
      </c>
      <c r="E117" s="79" t="s">
        <v>1522</v>
      </c>
      <c r="F117" s="82" t="s">
        <v>1264</v>
      </c>
      <c r="G117" s="82">
        <v>1.0</v>
      </c>
      <c r="H117" s="82">
        <v>1.0</v>
      </c>
      <c r="I117" s="82">
        <v>4.0</v>
      </c>
      <c r="J117" s="82">
        <v>50.0</v>
      </c>
      <c r="K117" s="92">
        <f t="shared" si="4"/>
        <v>50</v>
      </c>
      <c r="L117" s="82" t="s">
        <v>58</v>
      </c>
    </row>
    <row r="118" ht="15.0" customHeight="1">
      <c r="A118" s="82" t="s">
        <v>1497</v>
      </c>
      <c r="B118" s="82" t="s">
        <v>1498</v>
      </c>
      <c r="C118" s="82" t="s">
        <v>52</v>
      </c>
      <c r="D118" s="82" t="s">
        <v>1523</v>
      </c>
      <c r="E118" s="79" t="s">
        <v>1524</v>
      </c>
      <c r="F118" s="82" t="s">
        <v>1264</v>
      </c>
      <c r="G118" s="82">
        <v>1.0</v>
      </c>
      <c r="H118" s="82">
        <v>1.0</v>
      </c>
      <c r="I118" s="82">
        <v>4.0</v>
      </c>
      <c r="J118" s="82">
        <v>50.0</v>
      </c>
      <c r="K118" s="92">
        <f t="shared" si="4"/>
        <v>50</v>
      </c>
      <c r="L118" s="82" t="s">
        <v>58</v>
      </c>
    </row>
    <row r="119" ht="15.0" customHeight="1">
      <c r="A119" s="82" t="s">
        <v>1497</v>
      </c>
      <c r="B119" s="82" t="s">
        <v>1498</v>
      </c>
      <c r="C119" s="82" t="s">
        <v>52</v>
      </c>
      <c r="D119" s="82" t="s">
        <v>1525</v>
      </c>
      <c r="E119" s="79" t="s">
        <v>1526</v>
      </c>
      <c r="F119" s="82" t="s">
        <v>259</v>
      </c>
      <c r="G119" s="82">
        <v>1.0</v>
      </c>
      <c r="H119" s="82">
        <v>1.0</v>
      </c>
      <c r="I119" s="82">
        <v>4.0</v>
      </c>
      <c r="J119" s="82">
        <v>50.0</v>
      </c>
      <c r="K119" s="92">
        <f t="shared" si="4"/>
        <v>50</v>
      </c>
      <c r="L119" s="82" t="s">
        <v>58</v>
      </c>
    </row>
    <row r="120" ht="15.0" customHeight="1">
      <c r="A120" s="82" t="s">
        <v>1497</v>
      </c>
      <c r="B120" s="82" t="s">
        <v>1498</v>
      </c>
      <c r="C120" s="82" t="s">
        <v>52</v>
      </c>
      <c r="D120" s="82" t="s">
        <v>1527</v>
      </c>
      <c r="E120" s="79" t="s">
        <v>1528</v>
      </c>
      <c r="F120" s="82" t="s">
        <v>259</v>
      </c>
      <c r="G120" s="82">
        <v>1.0</v>
      </c>
      <c r="H120" s="82">
        <v>1.0</v>
      </c>
      <c r="I120" s="82">
        <v>4.0</v>
      </c>
      <c r="J120" s="82">
        <v>50.0</v>
      </c>
      <c r="K120" s="92">
        <f t="shared" si="4"/>
        <v>50</v>
      </c>
      <c r="L120" s="82" t="s">
        <v>58</v>
      </c>
    </row>
    <row r="121" ht="15.0" customHeight="1">
      <c r="A121" s="82" t="s">
        <v>1497</v>
      </c>
      <c r="B121" s="82" t="s">
        <v>1498</v>
      </c>
      <c r="C121" s="82" t="s">
        <v>52</v>
      </c>
      <c r="D121" s="82" t="s">
        <v>1529</v>
      </c>
      <c r="E121" s="79" t="s">
        <v>1530</v>
      </c>
      <c r="F121" s="82" t="s">
        <v>259</v>
      </c>
      <c r="G121" s="82">
        <v>1.0</v>
      </c>
      <c r="H121" s="82">
        <v>1.0</v>
      </c>
      <c r="I121" s="82">
        <v>4.0</v>
      </c>
      <c r="J121" s="82">
        <v>50.0</v>
      </c>
      <c r="K121" s="92">
        <f t="shared" si="4"/>
        <v>50</v>
      </c>
      <c r="L121" s="82" t="s">
        <v>58</v>
      </c>
    </row>
    <row r="122" ht="15.0" customHeight="1">
      <c r="A122" s="82" t="s">
        <v>1497</v>
      </c>
      <c r="B122" s="82" t="s">
        <v>1498</v>
      </c>
      <c r="C122" s="82" t="s">
        <v>52</v>
      </c>
      <c r="D122" s="82" t="s">
        <v>1531</v>
      </c>
      <c r="E122" s="79" t="s">
        <v>1532</v>
      </c>
      <c r="F122" s="82" t="s">
        <v>259</v>
      </c>
      <c r="G122" s="82">
        <v>1.0</v>
      </c>
      <c r="H122" s="82">
        <v>1.0</v>
      </c>
      <c r="I122" s="82">
        <v>4.0</v>
      </c>
      <c r="J122" s="82">
        <v>50.0</v>
      </c>
      <c r="K122" s="92">
        <f t="shared" si="4"/>
        <v>50</v>
      </c>
      <c r="L122" s="82" t="s">
        <v>58</v>
      </c>
    </row>
    <row r="123" ht="15.0" customHeight="1">
      <c r="A123" s="82" t="s">
        <v>1497</v>
      </c>
      <c r="B123" s="82" t="s">
        <v>1498</v>
      </c>
      <c r="C123" s="82" t="s">
        <v>52</v>
      </c>
      <c r="D123" s="82" t="s">
        <v>1533</v>
      </c>
      <c r="E123" s="79" t="s">
        <v>1534</v>
      </c>
      <c r="F123" s="82" t="s">
        <v>259</v>
      </c>
      <c r="G123" s="82">
        <v>1.0</v>
      </c>
      <c r="H123" s="82">
        <v>1.0</v>
      </c>
      <c r="I123" s="82">
        <v>4.0</v>
      </c>
      <c r="J123" s="82">
        <v>50.0</v>
      </c>
      <c r="K123" s="92">
        <f t="shared" si="4"/>
        <v>50</v>
      </c>
      <c r="L123" s="82" t="s">
        <v>58</v>
      </c>
    </row>
    <row r="124" ht="15.0" customHeight="1">
      <c r="A124" s="82" t="s">
        <v>1497</v>
      </c>
      <c r="B124" s="82" t="s">
        <v>1498</v>
      </c>
      <c r="C124" s="82" t="s">
        <v>52</v>
      </c>
      <c r="D124" s="82" t="s">
        <v>1535</v>
      </c>
      <c r="E124" s="79" t="s">
        <v>1536</v>
      </c>
      <c r="F124" s="82" t="s">
        <v>259</v>
      </c>
      <c r="G124" s="82">
        <v>1.0</v>
      </c>
      <c r="H124" s="82">
        <v>1.0</v>
      </c>
      <c r="I124" s="82">
        <v>4.0</v>
      </c>
      <c r="J124" s="82">
        <v>50.0</v>
      </c>
      <c r="K124" s="92">
        <f t="shared" si="4"/>
        <v>50</v>
      </c>
      <c r="L124" s="82" t="s">
        <v>58</v>
      </c>
    </row>
    <row r="125" ht="15.0" customHeight="1">
      <c r="A125" s="82" t="s">
        <v>1497</v>
      </c>
      <c r="B125" s="82" t="s">
        <v>1498</v>
      </c>
      <c r="C125" s="82" t="s">
        <v>52</v>
      </c>
      <c r="D125" s="82" t="s">
        <v>1537</v>
      </c>
      <c r="E125" s="79" t="s">
        <v>1538</v>
      </c>
      <c r="F125" s="82" t="s">
        <v>259</v>
      </c>
      <c r="G125" s="82">
        <v>1.0</v>
      </c>
      <c r="H125" s="82">
        <v>1.0</v>
      </c>
      <c r="I125" s="82">
        <v>4.0</v>
      </c>
      <c r="J125" s="82">
        <v>50.0</v>
      </c>
      <c r="K125" s="92">
        <f t="shared" si="4"/>
        <v>50</v>
      </c>
      <c r="L125" s="82" t="s">
        <v>58</v>
      </c>
    </row>
    <row r="126" ht="15.0" customHeight="1">
      <c r="A126" s="82" t="s">
        <v>1497</v>
      </c>
      <c r="B126" s="82" t="s">
        <v>1498</v>
      </c>
      <c r="C126" s="82" t="s">
        <v>52</v>
      </c>
      <c r="D126" s="82" t="s">
        <v>1539</v>
      </c>
      <c r="E126" s="79" t="s">
        <v>1540</v>
      </c>
      <c r="F126" s="82" t="s">
        <v>259</v>
      </c>
      <c r="G126" s="82">
        <v>1.0</v>
      </c>
      <c r="H126" s="82">
        <v>1.0</v>
      </c>
      <c r="I126" s="82">
        <v>4.0</v>
      </c>
      <c r="J126" s="82">
        <v>50.0</v>
      </c>
      <c r="K126" s="92">
        <f t="shared" si="4"/>
        <v>50</v>
      </c>
      <c r="L126" s="82" t="s">
        <v>58</v>
      </c>
    </row>
    <row r="127" ht="15.0" customHeight="1">
      <c r="A127" s="82" t="s">
        <v>1497</v>
      </c>
      <c r="B127" s="82" t="s">
        <v>1498</v>
      </c>
      <c r="C127" s="82" t="s">
        <v>52</v>
      </c>
      <c r="D127" s="82" t="s">
        <v>1541</v>
      </c>
      <c r="E127" s="79" t="s">
        <v>1542</v>
      </c>
      <c r="F127" s="82" t="s">
        <v>259</v>
      </c>
      <c r="G127" s="82">
        <v>1.0</v>
      </c>
      <c r="H127" s="82">
        <v>1.0</v>
      </c>
      <c r="I127" s="82">
        <v>4.0</v>
      </c>
      <c r="J127" s="82">
        <v>50.0</v>
      </c>
      <c r="K127" s="92">
        <f t="shared" si="4"/>
        <v>50</v>
      </c>
      <c r="L127" s="82" t="s">
        <v>58</v>
      </c>
    </row>
    <row r="128" ht="15.0" customHeight="1">
      <c r="A128" s="82" t="s">
        <v>1497</v>
      </c>
      <c r="B128" s="82" t="s">
        <v>1498</v>
      </c>
      <c r="C128" s="82" t="s">
        <v>52</v>
      </c>
      <c r="D128" s="82" t="s">
        <v>1543</v>
      </c>
      <c r="E128" s="79" t="s">
        <v>1544</v>
      </c>
      <c r="F128" s="82" t="s">
        <v>259</v>
      </c>
      <c r="G128" s="82">
        <v>1.0</v>
      </c>
      <c r="H128" s="82">
        <v>1.0</v>
      </c>
      <c r="I128" s="82">
        <v>4.0</v>
      </c>
      <c r="J128" s="82">
        <v>50.0</v>
      </c>
      <c r="K128" s="92">
        <f t="shared" si="4"/>
        <v>50</v>
      </c>
      <c r="L128" s="82" t="s">
        <v>58</v>
      </c>
    </row>
    <row r="129" ht="15.0" customHeight="1">
      <c r="A129" s="82" t="s">
        <v>1497</v>
      </c>
      <c r="B129" s="82" t="s">
        <v>1498</v>
      </c>
      <c r="C129" s="82" t="s">
        <v>52</v>
      </c>
      <c r="D129" s="82" t="s">
        <v>1545</v>
      </c>
      <c r="E129" s="79" t="s">
        <v>1546</v>
      </c>
      <c r="F129" s="82" t="s">
        <v>259</v>
      </c>
      <c r="G129" s="82">
        <v>1.0</v>
      </c>
      <c r="H129" s="82">
        <v>1.0</v>
      </c>
      <c r="I129" s="82">
        <v>4.0</v>
      </c>
      <c r="J129" s="82">
        <v>50.0</v>
      </c>
      <c r="K129" s="92">
        <f t="shared" si="4"/>
        <v>50</v>
      </c>
      <c r="L129" s="82" t="s">
        <v>58</v>
      </c>
    </row>
    <row r="130" ht="15.0" customHeight="1">
      <c r="A130" s="82" t="s">
        <v>1497</v>
      </c>
      <c r="B130" s="82" t="s">
        <v>1498</v>
      </c>
      <c r="C130" s="82" t="s">
        <v>52</v>
      </c>
      <c r="D130" s="82" t="s">
        <v>1547</v>
      </c>
      <c r="E130" s="79" t="s">
        <v>1548</v>
      </c>
      <c r="F130" s="82" t="s">
        <v>259</v>
      </c>
      <c r="G130" s="82">
        <v>1.0</v>
      </c>
      <c r="H130" s="82">
        <v>1.0</v>
      </c>
      <c r="I130" s="82">
        <v>4.0</v>
      </c>
      <c r="J130" s="82">
        <v>50.0</v>
      </c>
      <c r="K130" s="92">
        <f t="shared" si="4"/>
        <v>50</v>
      </c>
      <c r="L130" s="82" t="s">
        <v>58</v>
      </c>
    </row>
    <row r="131" ht="15.0" customHeight="1">
      <c r="A131" s="82" t="s">
        <v>1497</v>
      </c>
      <c r="B131" s="82" t="s">
        <v>1498</v>
      </c>
      <c r="C131" s="82" t="s">
        <v>52</v>
      </c>
      <c r="D131" s="82" t="s">
        <v>1549</v>
      </c>
      <c r="E131" s="79" t="s">
        <v>1550</v>
      </c>
      <c r="F131" s="82" t="s">
        <v>259</v>
      </c>
      <c r="G131" s="82">
        <v>1.0</v>
      </c>
      <c r="H131" s="82">
        <v>1.0</v>
      </c>
      <c r="I131" s="82">
        <v>4.0</v>
      </c>
      <c r="J131" s="82">
        <v>50.0</v>
      </c>
      <c r="K131" s="92">
        <f t="shared" si="4"/>
        <v>50</v>
      </c>
      <c r="L131" s="82" t="s">
        <v>58</v>
      </c>
    </row>
    <row r="132" ht="15.0" customHeight="1">
      <c r="A132" s="82" t="s">
        <v>1497</v>
      </c>
      <c r="B132" s="82" t="s">
        <v>1498</v>
      </c>
      <c r="C132" s="82" t="s">
        <v>52</v>
      </c>
      <c r="D132" s="82" t="s">
        <v>1551</v>
      </c>
      <c r="E132" s="79" t="s">
        <v>1552</v>
      </c>
      <c r="F132" s="82" t="s">
        <v>259</v>
      </c>
      <c r="G132" s="82">
        <v>1.0</v>
      </c>
      <c r="H132" s="82">
        <v>1.0</v>
      </c>
      <c r="I132" s="82">
        <v>4.0</v>
      </c>
      <c r="J132" s="82">
        <v>50.0</v>
      </c>
      <c r="K132" s="92">
        <f t="shared" si="4"/>
        <v>50</v>
      </c>
      <c r="L132" s="82" t="s">
        <v>58</v>
      </c>
    </row>
    <row r="133" ht="15.0" customHeight="1">
      <c r="A133" s="82" t="s">
        <v>1497</v>
      </c>
      <c r="B133" s="82" t="s">
        <v>1498</v>
      </c>
      <c r="C133" s="82" t="s">
        <v>52</v>
      </c>
      <c r="D133" s="82" t="s">
        <v>1553</v>
      </c>
      <c r="E133" s="79" t="s">
        <v>1554</v>
      </c>
      <c r="F133" s="82" t="s">
        <v>259</v>
      </c>
      <c r="G133" s="82">
        <v>1.0</v>
      </c>
      <c r="H133" s="82">
        <v>1.0</v>
      </c>
      <c r="I133" s="82">
        <v>4.0</v>
      </c>
      <c r="J133" s="82">
        <v>50.0</v>
      </c>
      <c r="K133" s="92">
        <f t="shared" si="4"/>
        <v>50</v>
      </c>
      <c r="L133" s="82" t="s">
        <v>58</v>
      </c>
    </row>
    <row r="134" ht="15.0" customHeight="1">
      <c r="A134" s="100" t="s">
        <v>1555</v>
      </c>
      <c r="B134" s="100" t="s">
        <v>1556</v>
      </c>
      <c r="C134" s="100" t="s">
        <v>52</v>
      </c>
      <c r="D134" s="82" t="s">
        <v>1557</v>
      </c>
      <c r="E134" s="79" t="s">
        <v>1558</v>
      </c>
      <c r="F134" s="82" t="s">
        <v>1264</v>
      </c>
      <c r="G134" s="82">
        <v>6.0</v>
      </c>
      <c r="H134" s="82">
        <v>6.0</v>
      </c>
      <c r="I134" s="82">
        <v>6.0</v>
      </c>
      <c r="J134" s="82">
        <v>50.0</v>
      </c>
      <c r="K134" s="92">
        <f t="shared" si="4"/>
        <v>8.333333333</v>
      </c>
      <c r="L134" s="82" t="s">
        <v>58</v>
      </c>
    </row>
    <row r="135" ht="15.0" customHeight="1">
      <c r="A135" s="100" t="s">
        <v>1555</v>
      </c>
      <c r="B135" s="100" t="s">
        <v>1556</v>
      </c>
      <c r="C135" s="100" t="s">
        <v>52</v>
      </c>
      <c r="D135" s="82" t="s">
        <v>1559</v>
      </c>
      <c r="E135" s="79" t="s">
        <v>1560</v>
      </c>
      <c r="F135" s="82" t="s">
        <v>1264</v>
      </c>
      <c r="G135" s="82">
        <v>6.0</v>
      </c>
      <c r="H135" s="82">
        <v>6.0</v>
      </c>
      <c r="I135" s="82">
        <v>6.0</v>
      </c>
      <c r="J135" s="82">
        <v>50.0</v>
      </c>
      <c r="K135" s="92">
        <f t="shared" si="4"/>
        <v>8.333333333</v>
      </c>
      <c r="L135" s="82" t="s">
        <v>58</v>
      </c>
    </row>
    <row r="136" ht="15.0" customHeight="1">
      <c r="A136" s="100" t="s">
        <v>1555</v>
      </c>
      <c r="B136" s="100" t="s">
        <v>1556</v>
      </c>
      <c r="C136" s="100" t="s">
        <v>52</v>
      </c>
      <c r="D136" s="82" t="s">
        <v>1561</v>
      </c>
      <c r="E136" s="79" t="s">
        <v>1562</v>
      </c>
      <c r="F136" s="82" t="s">
        <v>259</v>
      </c>
      <c r="G136" s="82">
        <v>6.0</v>
      </c>
      <c r="H136" s="82">
        <v>6.0</v>
      </c>
      <c r="I136" s="82">
        <v>6.0</v>
      </c>
      <c r="J136" s="82">
        <v>50.0</v>
      </c>
      <c r="K136" s="92">
        <f t="shared" si="4"/>
        <v>8.333333333</v>
      </c>
      <c r="L136" s="82" t="s">
        <v>58</v>
      </c>
    </row>
    <row r="137" ht="15.0" customHeight="1">
      <c r="A137" s="100" t="s">
        <v>1555</v>
      </c>
      <c r="B137" s="100" t="s">
        <v>1556</v>
      </c>
      <c r="C137" s="100" t="s">
        <v>52</v>
      </c>
      <c r="D137" s="82" t="s">
        <v>1563</v>
      </c>
      <c r="E137" s="79" t="s">
        <v>1564</v>
      </c>
      <c r="F137" s="82" t="s">
        <v>259</v>
      </c>
      <c r="G137" s="82">
        <v>6.0</v>
      </c>
      <c r="H137" s="82">
        <v>6.0</v>
      </c>
      <c r="I137" s="82">
        <v>6.0</v>
      </c>
      <c r="J137" s="82">
        <v>50.0</v>
      </c>
      <c r="K137" s="92">
        <f t="shared" si="4"/>
        <v>8.333333333</v>
      </c>
      <c r="L137" s="82" t="s">
        <v>58</v>
      </c>
    </row>
    <row r="138" ht="15.0" customHeight="1">
      <c r="A138" s="82" t="s">
        <v>1565</v>
      </c>
      <c r="B138" s="82" t="s">
        <v>1566</v>
      </c>
      <c r="C138" s="82" t="s">
        <v>52</v>
      </c>
      <c r="D138" s="82" t="s">
        <v>1567</v>
      </c>
      <c r="E138" s="79" t="s">
        <v>1506</v>
      </c>
      <c r="F138" s="82" t="s">
        <v>1264</v>
      </c>
      <c r="G138" s="82">
        <v>6.0</v>
      </c>
      <c r="H138" s="82">
        <v>6.0</v>
      </c>
      <c r="I138" s="82">
        <v>6.0</v>
      </c>
      <c r="J138" s="82">
        <v>50.0</v>
      </c>
      <c r="K138" s="92">
        <f t="shared" si="4"/>
        <v>8.333333333</v>
      </c>
      <c r="L138" s="82" t="s">
        <v>58</v>
      </c>
    </row>
    <row r="139" ht="15.0" customHeight="1">
      <c r="A139" s="82" t="s">
        <v>1565</v>
      </c>
      <c r="B139" s="82" t="s">
        <v>1566</v>
      </c>
      <c r="C139" s="82" t="s">
        <v>52</v>
      </c>
      <c r="D139" s="82" t="s">
        <v>1568</v>
      </c>
      <c r="E139" s="79" t="s">
        <v>1569</v>
      </c>
      <c r="F139" s="82" t="s">
        <v>1264</v>
      </c>
      <c r="G139" s="82">
        <v>6.0</v>
      </c>
      <c r="H139" s="82">
        <v>6.0</v>
      </c>
      <c r="I139" s="82">
        <v>6.0</v>
      </c>
      <c r="J139" s="82">
        <v>50.0</v>
      </c>
      <c r="K139" s="92">
        <f t="shared" si="4"/>
        <v>8.333333333</v>
      </c>
      <c r="L139" s="82" t="s">
        <v>58</v>
      </c>
    </row>
    <row r="140" ht="15.0" customHeight="1">
      <c r="A140" s="82" t="s">
        <v>1565</v>
      </c>
      <c r="B140" s="82" t="s">
        <v>1566</v>
      </c>
      <c r="C140" s="82" t="s">
        <v>52</v>
      </c>
      <c r="D140" s="100" t="s">
        <v>1570</v>
      </c>
      <c r="E140" s="79" t="s">
        <v>1571</v>
      </c>
      <c r="F140" s="82" t="s">
        <v>259</v>
      </c>
      <c r="G140" s="82">
        <v>6.0</v>
      </c>
      <c r="H140" s="82">
        <v>6.0</v>
      </c>
      <c r="I140" s="82">
        <v>6.0</v>
      </c>
      <c r="J140" s="82">
        <v>50.0</v>
      </c>
      <c r="K140" s="92">
        <f t="shared" si="4"/>
        <v>8.333333333</v>
      </c>
      <c r="L140" s="82" t="s">
        <v>58</v>
      </c>
    </row>
    <row r="141" ht="15.0" customHeight="1">
      <c r="A141" s="82" t="s">
        <v>1565</v>
      </c>
      <c r="B141" s="82" t="s">
        <v>1566</v>
      </c>
      <c r="C141" s="82" t="s">
        <v>52</v>
      </c>
      <c r="D141" s="82" t="s">
        <v>1572</v>
      </c>
      <c r="E141" s="79" t="s">
        <v>1573</v>
      </c>
      <c r="F141" s="82" t="s">
        <v>259</v>
      </c>
      <c r="G141" s="82">
        <v>6.0</v>
      </c>
      <c r="H141" s="82">
        <v>6.0</v>
      </c>
      <c r="I141" s="82">
        <v>6.0</v>
      </c>
      <c r="J141" s="82">
        <v>50.0</v>
      </c>
      <c r="K141" s="92">
        <f t="shared" si="4"/>
        <v>8.333333333</v>
      </c>
      <c r="L141" s="82" t="s">
        <v>58</v>
      </c>
    </row>
    <row r="142" ht="15.0" customHeight="1">
      <c r="A142" s="82" t="s">
        <v>1565</v>
      </c>
      <c r="B142" s="82" t="s">
        <v>1566</v>
      </c>
      <c r="C142" s="82" t="s">
        <v>52</v>
      </c>
      <c r="D142" s="82" t="s">
        <v>1574</v>
      </c>
      <c r="E142" s="79" t="s">
        <v>1575</v>
      </c>
      <c r="F142" s="82" t="s">
        <v>259</v>
      </c>
      <c r="G142" s="82">
        <v>6.0</v>
      </c>
      <c r="H142" s="82">
        <v>6.0</v>
      </c>
      <c r="I142" s="82">
        <v>6.0</v>
      </c>
      <c r="J142" s="82">
        <v>50.0</v>
      </c>
      <c r="K142" s="92">
        <f t="shared" si="4"/>
        <v>8.333333333</v>
      </c>
      <c r="L142" s="82" t="s">
        <v>58</v>
      </c>
    </row>
    <row r="143" ht="15.0" customHeight="1">
      <c r="A143" s="82" t="s">
        <v>1576</v>
      </c>
      <c r="B143" s="82" t="s">
        <v>1577</v>
      </c>
      <c r="C143" s="82" t="s">
        <v>52</v>
      </c>
      <c r="D143" s="82" t="s">
        <v>1578</v>
      </c>
      <c r="E143" s="79" t="s">
        <v>1540</v>
      </c>
      <c r="F143" s="82" t="s">
        <v>259</v>
      </c>
      <c r="G143" s="82">
        <v>2.0</v>
      </c>
      <c r="H143" s="82">
        <v>2.0</v>
      </c>
      <c r="I143" s="82">
        <v>2.0</v>
      </c>
      <c r="J143" s="82">
        <v>50.0</v>
      </c>
      <c r="K143" s="92">
        <f t="shared" si="4"/>
        <v>25</v>
      </c>
      <c r="L143" s="82" t="s">
        <v>58</v>
      </c>
    </row>
    <row r="144" ht="15.0" customHeight="1">
      <c r="A144" s="82" t="s">
        <v>1576</v>
      </c>
      <c r="B144" s="82" t="s">
        <v>1577</v>
      </c>
      <c r="C144" s="82" t="s">
        <v>52</v>
      </c>
      <c r="D144" s="82" t="s">
        <v>1579</v>
      </c>
      <c r="E144" s="79" t="s">
        <v>1580</v>
      </c>
      <c r="F144" s="82" t="s">
        <v>259</v>
      </c>
      <c r="G144" s="82">
        <v>2.0</v>
      </c>
      <c r="H144" s="82">
        <v>2.0</v>
      </c>
      <c r="I144" s="82">
        <v>2.0</v>
      </c>
      <c r="J144" s="82">
        <v>50.0</v>
      </c>
      <c r="K144" s="92">
        <f t="shared" si="4"/>
        <v>25</v>
      </c>
      <c r="L144" s="82" t="s">
        <v>58</v>
      </c>
    </row>
    <row r="145" ht="15.0" customHeight="1">
      <c r="A145" s="82" t="s">
        <v>1576</v>
      </c>
      <c r="B145" s="82" t="s">
        <v>1577</v>
      </c>
      <c r="C145" s="82" t="s">
        <v>52</v>
      </c>
      <c r="D145" s="82" t="s">
        <v>1581</v>
      </c>
      <c r="E145" s="79" t="s">
        <v>1582</v>
      </c>
      <c r="F145" s="82" t="s">
        <v>1583</v>
      </c>
      <c r="G145" s="82">
        <v>2.0</v>
      </c>
      <c r="H145" s="82">
        <v>2.0</v>
      </c>
      <c r="I145" s="82">
        <v>2.0</v>
      </c>
      <c r="J145" s="82">
        <v>50.0</v>
      </c>
      <c r="K145" s="92">
        <f t="shared" si="4"/>
        <v>25</v>
      </c>
      <c r="L145" s="82" t="s">
        <v>58</v>
      </c>
    </row>
    <row r="146" ht="15.0" customHeight="1">
      <c r="A146" s="82" t="s">
        <v>1584</v>
      </c>
      <c r="B146" s="82" t="s">
        <v>1585</v>
      </c>
      <c r="C146" s="82" t="s">
        <v>52</v>
      </c>
      <c r="D146" s="82" t="s">
        <v>1586</v>
      </c>
      <c r="E146" s="79" t="s">
        <v>1502</v>
      </c>
      <c r="F146" s="82" t="s">
        <v>1256</v>
      </c>
      <c r="G146" s="82">
        <v>1.0</v>
      </c>
      <c r="H146" s="82">
        <v>1.0</v>
      </c>
      <c r="I146" s="82">
        <v>6.0</v>
      </c>
      <c r="J146" s="82">
        <v>50.0</v>
      </c>
      <c r="K146" s="92">
        <f t="shared" si="4"/>
        <v>50</v>
      </c>
      <c r="L146" s="82" t="s">
        <v>58</v>
      </c>
    </row>
    <row r="147" ht="15.0" customHeight="1">
      <c r="A147" s="82" t="s">
        <v>1584</v>
      </c>
      <c r="B147" s="82" t="s">
        <v>1585</v>
      </c>
      <c r="C147" s="82" t="s">
        <v>52</v>
      </c>
      <c r="D147" s="82" t="s">
        <v>1587</v>
      </c>
      <c r="E147" s="79" t="s">
        <v>1588</v>
      </c>
      <c r="F147" s="82" t="s">
        <v>1256</v>
      </c>
      <c r="G147" s="82">
        <v>1.0</v>
      </c>
      <c r="H147" s="82">
        <v>1.0</v>
      </c>
      <c r="I147" s="82">
        <v>6.0</v>
      </c>
      <c r="J147" s="82">
        <v>50.0</v>
      </c>
      <c r="K147" s="92">
        <f t="shared" si="4"/>
        <v>50</v>
      </c>
      <c r="L147" s="82" t="s">
        <v>58</v>
      </c>
    </row>
    <row r="148" ht="15.0" customHeight="1">
      <c r="A148" s="82" t="s">
        <v>1584</v>
      </c>
      <c r="B148" s="82" t="s">
        <v>1585</v>
      </c>
      <c r="C148" s="82" t="s">
        <v>52</v>
      </c>
      <c r="D148" s="82" t="s">
        <v>1589</v>
      </c>
      <c r="E148" s="79" t="s">
        <v>1590</v>
      </c>
      <c r="F148" s="82" t="s">
        <v>1256</v>
      </c>
      <c r="G148" s="82">
        <v>1.0</v>
      </c>
      <c r="H148" s="82">
        <v>1.0</v>
      </c>
      <c r="I148" s="82">
        <v>6.0</v>
      </c>
      <c r="J148" s="82">
        <v>50.0</v>
      </c>
      <c r="K148" s="92">
        <f t="shared" si="4"/>
        <v>50</v>
      </c>
      <c r="L148" s="82" t="s">
        <v>58</v>
      </c>
    </row>
    <row r="149" ht="15.0" customHeight="1">
      <c r="A149" s="82" t="s">
        <v>1584</v>
      </c>
      <c r="B149" s="82" t="s">
        <v>1585</v>
      </c>
      <c r="C149" s="82" t="s">
        <v>52</v>
      </c>
      <c r="D149" s="82" t="s">
        <v>1591</v>
      </c>
      <c r="E149" s="79" t="s">
        <v>1592</v>
      </c>
      <c r="F149" s="82" t="s">
        <v>1256</v>
      </c>
      <c r="G149" s="82">
        <v>1.0</v>
      </c>
      <c r="H149" s="82">
        <v>1.0</v>
      </c>
      <c r="I149" s="82">
        <v>6.0</v>
      </c>
      <c r="J149" s="82">
        <v>50.0</v>
      </c>
      <c r="K149" s="92">
        <f t="shared" si="4"/>
        <v>50</v>
      </c>
      <c r="L149" s="82" t="s">
        <v>58</v>
      </c>
    </row>
    <row r="150" ht="15.0" customHeight="1">
      <c r="A150" s="82" t="s">
        <v>1584</v>
      </c>
      <c r="B150" s="82" t="s">
        <v>1585</v>
      </c>
      <c r="C150" s="82" t="s">
        <v>52</v>
      </c>
      <c r="D150" s="82" t="s">
        <v>1593</v>
      </c>
      <c r="E150" s="79" t="s">
        <v>1516</v>
      </c>
      <c r="F150" s="82" t="s">
        <v>1256</v>
      </c>
      <c r="G150" s="82">
        <v>1.0</v>
      </c>
      <c r="H150" s="82">
        <v>1.0</v>
      </c>
      <c r="I150" s="82">
        <v>6.0</v>
      </c>
      <c r="J150" s="82">
        <v>50.0</v>
      </c>
      <c r="K150" s="92">
        <f t="shared" si="4"/>
        <v>50</v>
      </c>
      <c r="L150" s="82" t="s">
        <v>58</v>
      </c>
    </row>
    <row r="151" ht="15.0" customHeight="1">
      <c r="A151" s="82" t="s">
        <v>1584</v>
      </c>
      <c r="B151" s="82" t="s">
        <v>1585</v>
      </c>
      <c r="C151" s="82" t="s">
        <v>52</v>
      </c>
      <c r="D151" s="82" t="s">
        <v>1594</v>
      </c>
      <c r="E151" s="79" t="s">
        <v>1595</v>
      </c>
      <c r="F151" s="82" t="s">
        <v>1256</v>
      </c>
      <c r="G151" s="82">
        <v>1.0</v>
      </c>
      <c r="H151" s="82">
        <v>1.0</v>
      </c>
      <c r="I151" s="82">
        <v>6.0</v>
      </c>
      <c r="J151" s="82">
        <v>50.0</v>
      </c>
      <c r="K151" s="92">
        <f t="shared" si="4"/>
        <v>50</v>
      </c>
      <c r="L151" s="82" t="s">
        <v>58</v>
      </c>
    </row>
    <row r="152" ht="15.0" customHeight="1">
      <c r="A152" s="82" t="s">
        <v>1584</v>
      </c>
      <c r="B152" s="82" t="s">
        <v>1585</v>
      </c>
      <c r="C152" s="82" t="s">
        <v>52</v>
      </c>
      <c r="D152" s="82" t="s">
        <v>1596</v>
      </c>
      <c r="E152" s="79" t="s">
        <v>1597</v>
      </c>
      <c r="F152" s="82" t="s">
        <v>1256</v>
      </c>
      <c r="G152" s="82">
        <v>1.0</v>
      </c>
      <c r="H152" s="82">
        <v>1.0</v>
      </c>
      <c r="I152" s="82">
        <v>6.0</v>
      </c>
      <c r="J152" s="82">
        <v>50.0</v>
      </c>
      <c r="K152" s="92">
        <f t="shared" si="4"/>
        <v>50</v>
      </c>
      <c r="L152" s="82" t="s">
        <v>58</v>
      </c>
    </row>
    <row r="153" ht="15.0" customHeight="1">
      <c r="A153" s="82" t="s">
        <v>1584</v>
      </c>
      <c r="B153" s="82" t="s">
        <v>1585</v>
      </c>
      <c r="C153" s="82" t="s">
        <v>52</v>
      </c>
      <c r="D153" s="82" t="s">
        <v>1598</v>
      </c>
      <c r="E153" s="79" t="s">
        <v>1599</v>
      </c>
      <c r="F153" s="82" t="s">
        <v>1256</v>
      </c>
      <c r="G153" s="82">
        <v>1.0</v>
      </c>
      <c r="H153" s="82">
        <v>1.0</v>
      </c>
      <c r="I153" s="82">
        <v>6.0</v>
      </c>
      <c r="J153" s="82">
        <v>50.0</v>
      </c>
      <c r="K153" s="92">
        <f t="shared" si="4"/>
        <v>50</v>
      </c>
      <c r="L153" s="82" t="s">
        <v>58</v>
      </c>
    </row>
    <row r="154" ht="15.0" customHeight="1">
      <c r="A154" s="82" t="s">
        <v>1584</v>
      </c>
      <c r="B154" s="82" t="s">
        <v>1585</v>
      </c>
      <c r="C154" s="82" t="s">
        <v>52</v>
      </c>
      <c r="D154" s="82" t="s">
        <v>1600</v>
      </c>
      <c r="E154" s="79" t="s">
        <v>1601</v>
      </c>
      <c r="F154" s="82" t="s">
        <v>1256</v>
      </c>
      <c r="G154" s="82">
        <v>1.0</v>
      </c>
      <c r="H154" s="82">
        <v>1.0</v>
      </c>
      <c r="I154" s="82">
        <v>6.0</v>
      </c>
      <c r="J154" s="82">
        <v>50.0</v>
      </c>
      <c r="K154" s="92">
        <f t="shared" si="4"/>
        <v>50</v>
      </c>
      <c r="L154" s="82" t="s">
        <v>58</v>
      </c>
    </row>
    <row r="155" ht="15.0" customHeight="1">
      <c r="A155" s="82" t="s">
        <v>1584</v>
      </c>
      <c r="B155" s="82" t="s">
        <v>1585</v>
      </c>
      <c r="C155" s="82" t="s">
        <v>52</v>
      </c>
      <c r="D155" s="82" t="s">
        <v>1602</v>
      </c>
      <c r="E155" s="79" t="s">
        <v>1603</v>
      </c>
      <c r="F155" s="82" t="s">
        <v>259</v>
      </c>
      <c r="G155" s="82">
        <v>1.0</v>
      </c>
      <c r="H155" s="82">
        <v>1.0</v>
      </c>
      <c r="I155" s="82">
        <v>6.0</v>
      </c>
      <c r="J155" s="82">
        <v>50.0</v>
      </c>
      <c r="K155" s="92">
        <f t="shared" si="4"/>
        <v>50</v>
      </c>
      <c r="L155" s="82" t="s">
        <v>58</v>
      </c>
    </row>
    <row r="156" ht="15.0" customHeight="1">
      <c r="A156" s="82" t="s">
        <v>1584</v>
      </c>
      <c r="B156" s="82" t="s">
        <v>1585</v>
      </c>
      <c r="C156" s="82" t="s">
        <v>52</v>
      </c>
      <c r="D156" s="82" t="s">
        <v>1604</v>
      </c>
      <c r="E156" s="79" t="s">
        <v>1605</v>
      </c>
      <c r="F156" s="82" t="s">
        <v>259</v>
      </c>
      <c r="G156" s="82">
        <v>1.0</v>
      </c>
      <c r="H156" s="82">
        <v>1.0</v>
      </c>
      <c r="I156" s="82">
        <v>6.0</v>
      </c>
      <c r="J156" s="82">
        <v>50.0</v>
      </c>
      <c r="K156" s="92">
        <f t="shared" si="4"/>
        <v>50</v>
      </c>
      <c r="L156" s="82" t="s">
        <v>58</v>
      </c>
    </row>
    <row r="157" ht="15.0" customHeight="1">
      <c r="A157" s="82" t="s">
        <v>1584</v>
      </c>
      <c r="B157" s="82" t="s">
        <v>1585</v>
      </c>
      <c r="C157" s="82" t="s">
        <v>52</v>
      </c>
      <c r="D157" s="82" t="s">
        <v>1606</v>
      </c>
      <c r="E157" s="79" t="s">
        <v>1607</v>
      </c>
      <c r="F157" s="82" t="s">
        <v>259</v>
      </c>
      <c r="G157" s="82">
        <v>1.0</v>
      </c>
      <c r="H157" s="82">
        <v>1.0</v>
      </c>
      <c r="I157" s="82">
        <v>6.0</v>
      </c>
      <c r="J157" s="82">
        <v>50.0</v>
      </c>
      <c r="K157" s="92">
        <f t="shared" si="4"/>
        <v>50</v>
      </c>
      <c r="L157" s="82" t="s">
        <v>58</v>
      </c>
    </row>
    <row r="158" ht="15.0" customHeight="1">
      <c r="A158" s="82" t="s">
        <v>1584</v>
      </c>
      <c r="B158" s="82" t="s">
        <v>1585</v>
      </c>
      <c r="C158" s="82" t="s">
        <v>52</v>
      </c>
      <c r="D158" s="82" t="s">
        <v>1608</v>
      </c>
      <c r="E158" s="79" t="s">
        <v>1609</v>
      </c>
      <c r="F158" s="82" t="s">
        <v>259</v>
      </c>
      <c r="G158" s="82">
        <v>1.0</v>
      </c>
      <c r="H158" s="82">
        <v>1.0</v>
      </c>
      <c r="I158" s="82">
        <v>6.0</v>
      </c>
      <c r="J158" s="82">
        <v>50.0</v>
      </c>
      <c r="K158" s="92">
        <f t="shared" si="4"/>
        <v>50</v>
      </c>
      <c r="L158" s="82" t="s">
        <v>58</v>
      </c>
    </row>
    <row r="159" ht="15.0" customHeight="1">
      <c r="A159" s="82" t="s">
        <v>1584</v>
      </c>
      <c r="B159" s="82" t="s">
        <v>1585</v>
      </c>
      <c r="C159" s="82" t="s">
        <v>52</v>
      </c>
      <c r="D159" s="82" t="s">
        <v>1610</v>
      </c>
      <c r="E159" s="79" t="s">
        <v>1611</v>
      </c>
      <c r="F159" s="82" t="s">
        <v>259</v>
      </c>
      <c r="G159" s="82">
        <v>1.0</v>
      </c>
      <c r="H159" s="82">
        <v>1.0</v>
      </c>
      <c r="I159" s="82">
        <v>6.0</v>
      </c>
      <c r="J159" s="82">
        <v>50.0</v>
      </c>
      <c r="K159" s="92">
        <f t="shared" si="4"/>
        <v>50</v>
      </c>
      <c r="L159" s="82" t="s">
        <v>58</v>
      </c>
    </row>
    <row r="160" ht="15.0" customHeight="1">
      <c r="A160" s="82" t="s">
        <v>1584</v>
      </c>
      <c r="B160" s="82" t="s">
        <v>1585</v>
      </c>
      <c r="C160" s="82" t="s">
        <v>52</v>
      </c>
      <c r="D160" s="82" t="s">
        <v>1579</v>
      </c>
      <c r="E160" s="79" t="s">
        <v>1580</v>
      </c>
      <c r="F160" s="82" t="s">
        <v>259</v>
      </c>
      <c r="G160" s="82">
        <v>1.0</v>
      </c>
      <c r="H160" s="82">
        <v>1.0</v>
      </c>
      <c r="I160" s="82">
        <v>6.0</v>
      </c>
      <c r="J160" s="82">
        <v>50.0</v>
      </c>
      <c r="K160" s="92">
        <f t="shared" si="4"/>
        <v>50</v>
      </c>
      <c r="L160" s="82" t="s">
        <v>58</v>
      </c>
    </row>
    <row r="161" ht="15.0" customHeight="1">
      <c r="A161" s="82" t="s">
        <v>1584</v>
      </c>
      <c r="B161" s="82" t="s">
        <v>1585</v>
      </c>
      <c r="C161" s="82" t="s">
        <v>52</v>
      </c>
      <c r="D161" s="82" t="s">
        <v>1612</v>
      </c>
      <c r="E161" s="79" t="s">
        <v>1613</v>
      </c>
      <c r="F161" s="82" t="s">
        <v>259</v>
      </c>
      <c r="G161" s="82">
        <v>1.0</v>
      </c>
      <c r="H161" s="82">
        <v>1.0</v>
      </c>
      <c r="I161" s="82">
        <v>6.0</v>
      </c>
      <c r="J161" s="82">
        <v>50.0</v>
      </c>
      <c r="K161" s="92">
        <f t="shared" si="4"/>
        <v>50</v>
      </c>
      <c r="L161" s="82" t="s">
        <v>58</v>
      </c>
    </row>
    <row r="162" ht="15.0" customHeight="1">
      <c r="A162" s="82" t="s">
        <v>1584</v>
      </c>
      <c r="B162" s="82" t="s">
        <v>1585</v>
      </c>
      <c r="C162" s="82" t="s">
        <v>52</v>
      </c>
      <c r="D162" s="82" t="s">
        <v>1614</v>
      </c>
      <c r="E162" s="79" t="s">
        <v>1615</v>
      </c>
      <c r="F162" s="82" t="s">
        <v>259</v>
      </c>
      <c r="G162" s="82">
        <v>1.0</v>
      </c>
      <c r="H162" s="82">
        <v>1.0</v>
      </c>
      <c r="I162" s="82">
        <v>6.0</v>
      </c>
      <c r="J162" s="82">
        <v>50.0</v>
      </c>
      <c r="K162" s="92">
        <f t="shared" si="4"/>
        <v>50</v>
      </c>
      <c r="L162" s="82" t="s">
        <v>58</v>
      </c>
    </row>
    <row r="163" ht="15.0" customHeight="1">
      <c r="A163" s="82" t="s">
        <v>1616</v>
      </c>
      <c r="B163" s="82" t="s">
        <v>1617</v>
      </c>
      <c r="C163" s="82" t="s">
        <v>52</v>
      </c>
      <c r="D163" s="82" t="s">
        <v>1618</v>
      </c>
      <c r="E163" s="79" t="s">
        <v>1619</v>
      </c>
      <c r="F163" s="82" t="s">
        <v>1264</v>
      </c>
      <c r="G163" s="82">
        <v>1.0</v>
      </c>
      <c r="H163" s="82">
        <v>1.0</v>
      </c>
      <c r="I163" s="82">
        <v>1.0</v>
      </c>
      <c r="J163" s="82">
        <v>50.0</v>
      </c>
      <c r="K163" s="92">
        <f t="shared" si="4"/>
        <v>50</v>
      </c>
      <c r="L163" s="82" t="s">
        <v>58</v>
      </c>
    </row>
    <row r="164" ht="15.0" customHeight="1">
      <c r="A164" s="82" t="s">
        <v>1616</v>
      </c>
      <c r="B164" s="82" t="s">
        <v>1617</v>
      </c>
      <c r="C164" s="82" t="s">
        <v>52</v>
      </c>
      <c r="D164" s="82" t="s">
        <v>1620</v>
      </c>
      <c r="E164" s="79" t="s">
        <v>1621</v>
      </c>
      <c r="F164" s="82" t="s">
        <v>1264</v>
      </c>
      <c r="G164" s="82">
        <v>1.0</v>
      </c>
      <c r="H164" s="82">
        <v>1.0</v>
      </c>
      <c r="I164" s="82">
        <v>1.0</v>
      </c>
      <c r="J164" s="82">
        <v>50.0</v>
      </c>
      <c r="K164" s="92">
        <f t="shared" si="4"/>
        <v>50</v>
      </c>
      <c r="L164" s="82" t="s">
        <v>58</v>
      </c>
    </row>
    <row r="165" ht="15.0" customHeight="1">
      <c r="A165" s="82" t="s">
        <v>1616</v>
      </c>
      <c r="B165" s="82" t="s">
        <v>1617</v>
      </c>
      <c r="C165" s="82" t="s">
        <v>52</v>
      </c>
      <c r="D165" s="82" t="s">
        <v>1622</v>
      </c>
      <c r="E165" s="79" t="s">
        <v>1623</v>
      </c>
      <c r="F165" s="82" t="s">
        <v>259</v>
      </c>
      <c r="G165" s="82">
        <v>1.0</v>
      </c>
      <c r="H165" s="82">
        <v>1.0</v>
      </c>
      <c r="I165" s="82">
        <v>1.0</v>
      </c>
      <c r="J165" s="82">
        <v>50.0</v>
      </c>
      <c r="K165" s="92">
        <f t="shared" si="4"/>
        <v>50</v>
      </c>
      <c r="L165" s="82" t="s">
        <v>58</v>
      </c>
    </row>
    <row r="166" ht="15.0" customHeight="1">
      <c r="A166" s="82" t="s">
        <v>1624</v>
      </c>
      <c r="B166" s="82" t="s">
        <v>1625</v>
      </c>
      <c r="C166" s="82" t="s">
        <v>52</v>
      </c>
      <c r="D166" s="82" t="s">
        <v>1626</v>
      </c>
      <c r="E166" s="79" t="s">
        <v>1502</v>
      </c>
      <c r="F166" s="82" t="s">
        <v>1264</v>
      </c>
      <c r="G166" s="82">
        <v>1.0</v>
      </c>
      <c r="H166" s="82">
        <v>1.0</v>
      </c>
      <c r="I166" s="82">
        <v>6.0</v>
      </c>
      <c r="J166" s="82">
        <v>50.0</v>
      </c>
      <c r="K166" s="92">
        <f t="shared" si="4"/>
        <v>50</v>
      </c>
      <c r="L166" s="82" t="s">
        <v>58</v>
      </c>
    </row>
    <row r="167" ht="15.0" customHeight="1">
      <c r="A167" s="82" t="s">
        <v>1624</v>
      </c>
      <c r="B167" s="82" t="s">
        <v>1625</v>
      </c>
      <c r="C167" s="82" t="s">
        <v>52</v>
      </c>
      <c r="D167" s="82" t="s">
        <v>1627</v>
      </c>
      <c r="E167" s="79" t="s">
        <v>1628</v>
      </c>
      <c r="F167" s="82" t="s">
        <v>1264</v>
      </c>
      <c r="G167" s="82">
        <v>1.0</v>
      </c>
      <c r="H167" s="82">
        <v>1.0</v>
      </c>
      <c r="I167" s="82">
        <v>6.0</v>
      </c>
      <c r="J167" s="82">
        <v>50.0</v>
      </c>
      <c r="K167" s="92">
        <f t="shared" si="4"/>
        <v>50</v>
      </c>
      <c r="L167" s="82" t="s">
        <v>58</v>
      </c>
    </row>
    <row r="168" ht="15.0" customHeight="1">
      <c r="A168" s="82" t="s">
        <v>1624</v>
      </c>
      <c r="B168" s="82" t="s">
        <v>1625</v>
      </c>
      <c r="C168" s="82" t="s">
        <v>52</v>
      </c>
      <c r="D168" s="82" t="s">
        <v>1629</v>
      </c>
      <c r="E168" s="79" t="s">
        <v>1621</v>
      </c>
      <c r="F168" s="82" t="s">
        <v>1264</v>
      </c>
      <c r="G168" s="82">
        <v>1.0</v>
      </c>
      <c r="H168" s="82">
        <v>1.0</v>
      </c>
      <c r="I168" s="82">
        <v>6.0</v>
      </c>
      <c r="J168" s="82">
        <v>50.0</v>
      </c>
      <c r="K168" s="92">
        <f t="shared" si="4"/>
        <v>50</v>
      </c>
      <c r="L168" s="82" t="s">
        <v>58</v>
      </c>
    </row>
    <row r="169" ht="15.0" customHeight="1">
      <c r="A169" s="82" t="s">
        <v>1624</v>
      </c>
      <c r="B169" s="82" t="s">
        <v>1625</v>
      </c>
      <c r="C169" s="82" t="s">
        <v>52</v>
      </c>
      <c r="D169" s="82" t="s">
        <v>1630</v>
      </c>
      <c r="E169" s="79" t="s">
        <v>1508</v>
      </c>
      <c r="F169" s="82" t="s">
        <v>1264</v>
      </c>
      <c r="G169" s="82">
        <v>1.0</v>
      </c>
      <c r="H169" s="82">
        <v>1.0</v>
      </c>
      <c r="I169" s="82">
        <v>6.0</v>
      </c>
      <c r="J169" s="82">
        <v>50.0</v>
      </c>
      <c r="K169" s="92">
        <f t="shared" si="4"/>
        <v>50</v>
      </c>
      <c r="L169" s="82" t="s">
        <v>58</v>
      </c>
    </row>
    <row r="170" ht="15.0" customHeight="1">
      <c r="A170" s="82" t="s">
        <v>1624</v>
      </c>
      <c r="B170" s="82" t="s">
        <v>1625</v>
      </c>
      <c r="C170" s="82" t="s">
        <v>52</v>
      </c>
      <c r="D170" s="82" t="s">
        <v>1631</v>
      </c>
      <c r="E170" s="79" t="s">
        <v>1632</v>
      </c>
      <c r="F170" s="82" t="s">
        <v>1264</v>
      </c>
      <c r="G170" s="82">
        <v>1.0</v>
      </c>
      <c r="H170" s="82">
        <v>1.0</v>
      </c>
      <c r="I170" s="82">
        <v>6.0</v>
      </c>
      <c r="J170" s="82">
        <v>50.0</v>
      </c>
      <c r="K170" s="92">
        <f t="shared" si="4"/>
        <v>50</v>
      </c>
      <c r="L170" s="82" t="s">
        <v>58</v>
      </c>
    </row>
    <row r="171" ht="15.0" customHeight="1">
      <c r="A171" s="82" t="s">
        <v>1624</v>
      </c>
      <c r="B171" s="82" t="s">
        <v>1625</v>
      </c>
      <c r="C171" s="82" t="s">
        <v>52</v>
      </c>
      <c r="D171" s="82" t="s">
        <v>1633</v>
      </c>
      <c r="E171" s="79" t="s">
        <v>1634</v>
      </c>
      <c r="F171" s="82" t="s">
        <v>1264</v>
      </c>
      <c r="G171" s="82">
        <v>1.0</v>
      </c>
      <c r="H171" s="82">
        <v>1.0</v>
      </c>
      <c r="I171" s="82">
        <v>6.0</v>
      </c>
      <c r="J171" s="82">
        <v>50.0</v>
      </c>
      <c r="K171" s="92">
        <f t="shared" si="4"/>
        <v>50</v>
      </c>
      <c r="L171" s="82" t="s">
        <v>58</v>
      </c>
    </row>
    <row r="172" ht="15.0" customHeight="1">
      <c r="A172" s="82" t="s">
        <v>1624</v>
      </c>
      <c r="B172" s="82" t="s">
        <v>1625</v>
      </c>
      <c r="C172" s="82" t="s">
        <v>52</v>
      </c>
      <c r="D172" s="82" t="s">
        <v>1635</v>
      </c>
      <c r="E172" s="79" t="s">
        <v>1636</v>
      </c>
      <c r="F172" s="82" t="s">
        <v>259</v>
      </c>
      <c r="G172" s="82">
        <v>1.0</v>
      </c>
      <c r="H172" s="82">
        <v>1.0</v>
      </c>
      <c r="I172" s="82">
        <v>6.0</v>
      </c>
      <c r="J172" s="82">
        <v>50.0</v>
      </c>
      <c r="K172" s="92">
        <f t="shared" si="4"/>
        <v>50</v>
      </c>
      <c r="L172" s="82" t="s">
        <v>58</v>
      </c>
    </row>
    <row r="173" ht="15.0" customHeight="1">
      <c r="A173" s="82" t="s">
        <v>1624</v>
      </c>
      <c r="B173" s="82" t="s">
        <v>1625</v>
      </c>
      <c r="C173" s="82" t="s">
        <v>52</v>
      </c>
      <c r="D173" s="82" t="s">
        <v>1637</v>
      </c>
      <c r="E173" s="79" t="s">
        <v>1615</v>
      </c>
      <c r="F173" s="82" t="s">
        <v>259</v>
      </c>
      <c r="G173" s="82">
        <v>1.0</v>
      </c>
      <c r="H173" s="82">
        <v>1.0</v>
      </c>
      <c r="I173" s="82">
        <v>6.0</v>
      </c>
      <c r="J173" s="82">
        <v>50.0</v>
      </c>
      <c r="K173" s="92">
        <f t="shared" si="4"/>
        <v>50</v>
      </c>
      <c r="L173" s="82" t="s">
        <v>58</v>
      </c>
    </row>
    <row r="174" ht="15.0" customHeight="1">
      <c r="A174" s="82" t="s">
        <v>1638</v>
      </c>
      <c r="B174" s="82" t="s">
        <v>1639</v>
      </c>
      <c r="C174" s="82" t="s">
        <v>52</v>
      </c>
      <c r="D174" s="82" t="s">
        <v>1640</v>
      </c>
      <c r="E174" s="154" t="s">
        <v>1641</v>
      </c>
      <c r="F174" s="100" t="s">
        <v>259</v>
      </c>
      <c r="G174" s="83">
        <v>3.0</v>
      </c>
      <c r="H174" s="82">
        <v>3.0</v>
      </c>
      <c r="I174" s="82">
        <v>4.0</v>
      </c>
      <c r="J174" s="152">
        <v>50.0</v>
      </c>
      <c r="K174" s="92">
        <f t="shared" si="4"/>
        <v>16.66666667</v>
      </c>
      <c r="L174" s="82" t="s">
        <v>58</v>
      </c>
    </row>
    <row r="175" ht="15.0" customHeight="1">
      <c r="A175" s="82" t="s">
        <v>1638</v>
      </c>
      <c r="B175" s="82" t="s">
        <v>1639</v>
      </c>
      <c r="C175" s="82" t="s">
        <v>52</v>
      </c>
      <c r="D175" s="82" t="s">
        <v>1642</v>
      </c>
      <c r="E175" s="154" t="s">
        <v>1643</v>
      </c>
      <c r="F175" s="100" t="s">
        <v>259</v>
      </c>
      <c r="G175" s="83">
        <v>3.0</v>
      </c>
      <c r="H175" s="82">
        <v>3.0</v>
      </c>
      <c r="I175" s="82">
        <v>4.0</v>
      </c>
      <c r="J175" s="152">
        <v>50.0</v>
      </c>
      <c r="K175" s="92">
        <f t="shared" si="4"/>
        <v>16.66666667</v>
      </c>
      <c r="L175" s="82" t="s">
        <v>58</v>
      </c>
    </row>
    <row r="176" ht="15.0" customHeight="1">
      <c r="A176" s="82" t="s">
        <v>1638</v>
      </c>
      <c r="B176" s="82" t="s">
        <v>1639</v>
      </c>
      <c r="C176" s="82" t="s">
        <v>52</v>
      </c>
      <c r="D176" s="82" t="s">
        <v>1644</v>
      </c>
      <c r="E176" s="154" t="s">
        <v>1645</v>
      </c>
      <c r="F176" s="100" t="s">
        <v>259</v>
      </c>
      <c r="G176" s="83">
        <v>3.0</v>
      </c>
      <c r="H176" s="82">
        <v>3.0</v>
      </c>
      <c r="I176" s="82">
        <v>4.0</v>
      </c>
      <c r="J176" s="152">
        <v>50.0</v>
      </c>
      <c r="K176" s="92">
        <f t="shared" si="4"/>
        <v>16.66666667</v>
      </c>
      <c r="L176" s="82" t="s">
        <v>58</v>
      </c>
    </row>
    <row r="177" ht="15.0" customHeight="1">
      <c r="A177" s="82" t="s">
        <v>1638</v>
      </c>
      <c r="B177" s="82" t="s">
        <v>1639</v>
      </c>
      <c r="C177" s="82" t="s">
        <v>52</v>
      </c>
      <c r="D177" s="82" t="s">
        <v>1646</v>
      </c>
      <c r="E177" s="154" t="s">
        <v>1573</v>
      </c>
      <c r="F177" s="100" t="s">
        <v>259</v>
      </c>
      <c r="G177" s="83">
        <v>3.0</v>
      </c>
      <c r="H177" s="82">
        <v>3.0</v>
      </c>
      <c r="I177" s="82">
        <v>4.0</v>
      </c>
      <c r="J177" s="152">
        <v>50.0</v>
      </c>
      <c r="K177" s="92">
        <f t="shared" si="4"/>
        <v>16.66666667</v>
      </c>
      <c r="L177" s="82" t="s">
        <v>58</v>
      </c>
    </row>
    <row r="178" ht="15.0" customHeight="1">
      <c r="A178" s="82" t="s">
        <v>1638</v>
      </c>
      <c r="B178" s="82" t="s">
        <v>1639</v>
      </c>
      <c r="C178" s="82" t="s">
        <v>52</v>
      </c>
      <c r="D178" s="82" t="s">
        <v>1647</v>
      </c>
      <c r="E178" s="154" t="s">
        <v>1648</v>
      </c>
      <c r="F178" s="100" t="s">
        <v>259</v>
      </c>
      <c r="G178" s="83">
        <v>3.0</v>
      </c>
      <c r="H178" s="82">
        <v>3.0</v>
      </c>
      <c r="I178" s="82">
        <v>4.0</v>
      </c>
      <c r="J178" s="152">
        <v>50.0</v>
      </c>
      <c r="K178" s="92">
        <f t="shared" si="4"/>
        <v>16.66666667</v>
      </c>
      <c r="L178" s="82" t="s">
        <v>58</v>
      </c>
    </row>
    <row r="179" ht="15.0" customHeight="1">
      <c r="A179" s="82" t="s">
        <v>1649</v>
      </c>
      <c r="B179" s="82" t="s">
        <v>1650</v>
      </c>
      <c r="C179" s="82" t="s">
        <v>52</v>
      </c>
      <c r="D179" s="82" t="s">
        <v>1651</v>
      </c>
      <c r="E179" s="79" t="s">
        <v>1652</v>
      </c>
      <c r="F179" s="82" t="s">
        <v>1264</v>
      </c>
      <c r="G179" s="82">
        <v>2.0</v>
      </c>
      <c r="H179" s="82">
        <v>2.0</v>
      </c>
      <c r="I179" s="82">
        <v>6.0</v>
      </c>
      <c r="J179" s="82">
        <v>50.0</v>
      </c>
      <c r="K179" s="92">
        <f t="shared" si="4"/>
        <v>25</v>
      </c>
      <c r="L179" s="82" t="s">
        <v>58</v>
      </c>
    </row>
    <row r="180" ht="15.0" customHeight="1">
      <c r="A180" s="82" t="s">
        <v>1649</v>
      </c>
      <c r="B180" s="82" t="s">
        <v>1650</v>
      </c>
      <c r="C180" s="82" t="s">
        <v>52</v>
      </c>
      <c r="D180" s="82" t="s">
        <v>1653</v>
      </c>
      <c r="E180" s="79" t="s">
        <v>1654</v>
      </c>
      <c r="F180" s="82" t="s">
        <v>1264</v>
      </c>
      <c r="G180" s="82">
        <v>2.0</v>
      </c>
      <c r="H180" s="82">
        <v>2.0</v>
      </c>
      <c r="I180" s="82">
        <v>6.0</v>
      </c>
      <c r="J180" s="82">
        <v>50.0</v>
      </c>
      <c r="K180" s="92">
        <f t="shared" si="4"/>
        <v>25</v>
      </c>
      <c r="L180" s="82" t="s">
        <v>58</v>
      </c>
    </row>
    <row r="181" ht="15.0" customHeight="1">
      <c r="A181" s="82" t="s">
        <v>1649</v>
      </c>
      <c r="B181" s="82" t="s">
        <v>1650</v>
      </c>
      <c r="C181" s="82" t="s">
        <v>52</v>
      </c>
      <c r="D181" s="82" t="s">
        <v>1655</v>
      </c>
      <c r="E181" s="79" t="s">
        <v>1656</v>
      </c>
      <c r="F181" s="82" t="s">
        <v>1264</v>
      </c>
      <c r="G181" s="82">
        <v>2.0</v>
      </c>
      <c r="H181" s="82">
        <v>2.0</v>
      </c>
      <c r="I181" s="82">
        <v>6.0</v>
      </c>
      <c r="J181" s="82">
        <v>50.0</v>
      </c>
      <c r="K181" s="92">
        <f t="shared" si="4"/>
        <v>25</v>
      </c>
      <c r="L181" s="82" t="s">
        <v>58</v>
      </c>
    </row>
    <row r="182" ht="15.0" customHeight="1">
      <c r="A182" s="82" t="s">
        <v>1649</v>
      </c>
      <c r="B182" s="82" t="s">
        <v>1650</v>
      </c>
      <c r="C182" s="82" t="s">
        <v>52</v>
      </c>
      <c r="D182" s="82" t="s">
        <v>1657</v>
      </c>
      <c r="E182" s="79" t="s">
        <v>1597</v>
      </c>
      <c r="F182" s="82" t="s">
        <v>1264</v>
      </c>
      <c r="G182" s="82">
        <v>2.0</v>
      </c>
      <c r="H182" s="82">
        <v>2.0</v>
      </c>
      <c r="I182" s="82">
        <v>6.0</v>
      </c>
      <c r="J182" s="82">
        <v>50.0</v>
      </c>
      <c r="K182" s="92">
        <f t="shared" si="4"/>
        <v>25</v>
      </c>
      <c r="L182" s="82" t="s">
        <v>58</v>
      </c>
    </row>
    <row r="183" ht="15.0" customHeight="1">
      <c r="A183" s="82" t="s">
        <v>1649</v>
      </c>
      <c r="B183" s="82" t="s">
        <v>1650</v>
      </c>
      <c r="C183" s="82" t="s">
        <v>52</v>
      </c>
      <c r="D183" s="155" t="s">
        <v>1658</v>
      </c>
      <c r="E183" s="79" t="s">
        <v>1659</v>
      </c>
      <c r="F183" s="82" t="s">
        <v>259</v>
      </c>
      <c r="G183" s="82">
        <v>2.0</v>
      </c>
      <c r="H183" s="82">
        <v>2.0</v>
      </c>
      <c r="I183" s="82">
        <v>6.0</v>
      </c>
      <c r="J183" s="82">
        <v>50.0</v>
      </c>
      <c r="K183" s="92">
        <f t="shared" si="4"/>
        <v>25</v>
      </c>
      <c r="L183" s="82" t="s">
        <v>58</v>
      </c>
    </row>
    <row r="184" ht="15.0" customHeight="1">
      <c r="A184" s="82" t="s">
        <v>1649</v>
      </c>
      <c r="B184" s="82" t="s">
        <v>1650</v>
      </c>
      <c r="C184" s="82" t="s">
        <v>52</v>
      </c>
      <c r="D184" s="82" t="s">
        <v>1660</v>
      </c>
      <c r="E184" s="79" t="s">
        <v>1605</v>
      </c>
      <c r="F184" s="82" t="s">
        <v>259</v>
      </c>
      <c r="G184" s="82">
        <v>2.0</v>
      </c>
      <c r="H184" s="82">
        <v>2.0</v>
      </c>
      <c r="I184" s="82">
        <v>6.0</v>
      </c>
      <c r="J184" s="82">
        <v>50.0</v>
      </c>
      <c r="K184" s="92">
        <f t="shared" si="4"/>
        <v>25</v>
      </c>
      <c r="L184" s="82" t="s">
        <v>58</v>
      </c>
    </row>
    <row r="185" ht="15.0" customHeight="1">
      <c r="A185" s="82" t="s">
        <v>1649</v>
      </c>
      <c r="B185" s="82" t="s">
        <v>1650</v>
      </c>
      <c r="C185" s="82" t="s">
        <v>52</v>
      </c>
      <c r="D185" s="82" t="s">
        <v>1661</v>
      </c>
      <c r="E185" s="79" t="s">
        <v>1662</v>
      </c>
      <c r="F185" s="82" t="s">
        <v>259</v>
      </c>
      <c r="G185" s="82">
        <v>2.0</v>
      </c>
      <c r="H185" s="82">
        <v>2.0</v>
      </c>
      <c r="I185" s="82">
        <v>6.0</v>
      </c>
      <c r="J185" s="82">
        <v>50.0</v>
      </c>
      <c r="K185" s="92">
        <f t="shared" si="4"/>
        <v>25</v>
      </c>
      <c r="L185" s="82" t="s">
        <v>58</v>
      </c>
    </row>
    <row r="186" ht="15.0" customHeight="1">
      <c r="A186" s="82" t="s">
        <v>1649</v>
      </c>
      <c r="B186" s="82" t="s">
        <v>1650</v>
      </c>
      <c r="C186" s="82" t="s">
        <v>52</v>
      </c>
      <c r="D186" s="82" t="s">
        <v>1663</v>
      </c>
      <c r="E186" s="79" t="s">
        <v>1664</v>
      </c>
      <c r="F186" s="82" t="s">
        <v>259</v>
      </c>
      <c r="G186" s="82">
        <v>2.0</v>
      </c>
      <c r="H186" s="82">
        <v>2.0</v>
      </c>
      <c r="I186" s="82">
        <v>6.0</v>
      </c>
      <c r="J186" s="82">
        <v>50.0</v>
      </c>
      <c r="K186" s="92">
        <f t="shared" si="4"/>
        <v>25</v>
      </c>
      <c r="L186" s="82" t="s">
        <v>58</v>
      </c>
    </row>
    <row r="187" ht="15.0" customHeight="1">
      <c r="A187" s="82" t="s">
        <v>1649</v>
      </c>
      <c r="B187" s="82" t="s">
        <v>1650</v>
      </c>
      <c r="C187" s="82" t="s">
        <v>52</v>
      </c>
      <c r="D187" s="82" t="s">
        <v>1665</v>
      </c>
      <c r="E187" s="79" t="s">
        <v>1611</v>
      </c>
      <c r="F187" s="82" t="s">
        <v>259</v>
      </c>
      <c r="G187" s="82">
        <v>2.0</v>
      </c>
      <c r="H187" s="82">
        <v>2.0</v>
      </c>
      <c r="I187" s="82">
        <v>6.0</v>
      </c>
      <c r="J187" s="82">
        <v>50.0</v>
      </c>
      <c r="K187" s="92">
        <f t="shared" si="4"/>
        <v>25</v>
      </c>
      <c r="L187" s="82" t="s">
        <v>58</v>
      </c>
    </row>
    <row r="188" ht="15.0" customHeight="1">
      <c r="A188" s="82" t="s">
        <v>1649</v>
      </c>
      <c r="B188" s="82" t="s">
        <v>1650</v>
      </c>
      <c r="C188" s="82" t="s">
        <v>52</v>
      </c>
      <c r="D188" s="82" t="s">
        <v>1666</v>
      </c>
      <c r="E188" s="79" t="s">
        <v>1667</v>
      </c>
      <c r="F188" s="82" t="s">
        <v>259</v>
      </c>
      <c r="G188" s="82">
        <v>2.0</v>
      </c>
      <c r="H188" s="82">
        <v>2.0</v>
      </c>
      <c r="I188" s="82">
        <v>6.0</v>
      </c>
      <c r="J188" s="82">
        <v>50.0</v>
      </c>
      <c r="K188" s="92">
        <f t="shared" si="4"/>
        <v>25</v>
      </c>
      <c r="L188" s="82" t="s">
        <v>58</v>
      </c>
    </row>
    <row r="189" ht="15.0" customHeight="1">
      <c r="A189" s="82" t="s">
        <v>1649</v>
      </c>
      <c r="B189" s="82" t="s">
        <v>1650</v>
      </c>
      <c r="C189" s="82" t="s">
        <v>52</v>
      </c>
      <c r="D189" s="82" t="s">
        <v>1551</v>
      </c>
      <c r="E189" s="79" t="s">
        <v>1552</v>
      </c>
      <c r="F189" s="82" t="s">
        <v>259</v>
      </c>
      <c r="G189" s="82">
        <v>2.0</v>
      </c>
      <c r="H189" s="82">
        <v>2.0</v>
      </c>
      <c r="I189" s="82">
        <v>6.0</v>
      </c>
      <c r="J189" s="82">
        <v>50.0</v>
      </c>
      <c r="K189" s="92">
        <f t="shared" si="4"/>
        <v>25</v>
      </c>
      <c r="L189" s="82" t="s">
        <v>58</v>
      </c>
    </row>
    <row r="190" ht="15.0" customHeight="1">
      <c r="A190" s="82" t="s">
        <v>1649</v>
      </c>
      <c r="B190" s="82" t="s">
        <v>1650</v>
      </c>
      <c r="C190" s="82" t="s">
        <v>52</v>
      </c>
      <c r="D190" s="82" t="s">
        <v>1668</v>
      </c>
      <c r="E190" s="79" t="s">
        <v>1615</v>
      </c>
      <c r="F190" s="82" t="s">
        <v>259</v>
      </c>
      <c r="G190" s="82">
        <v>2.0</v>
      </c>
      <c r="H190" s="82">
        <v>2.0</v>
      </c>
      <c r="I190" s="82">
        <v>6.0</v>
      </c>
      <c r="J190" s="82">
        <v>50.0</v>
      </c>
      <c r="K190" s="92">
        <f t="shared" si="4"/>
        <v>25</v>
      </c>
      <c r="L190" s="82" t="s">
        <v>58</v>
      </c>
    </row>
    <row r="191" ht="15.0" customHeight="1">
      <c r="A191" s="82" t="s">
        <v>1649</v>
      </c>
      <c r="B191" s="82" t="s">
        <v>1650</v>
      </c>
      <c r="C191" s="82" t="s">
        <v>52</v>
      </c>
      <c r="D191" s="82" t="s">
        <v>1669</v>
      </c>
      <c r="E191" s="79" t="s">
        <v>1670</v>
      </c>
      <c r="F191" s="82" t="s">
        <v>259</v>
      </c>
      <c r="G191" s="82">
        <v>2.0</v>
      </c>
      <c r="H191" s="82">
        <v>2.0</v>
      </c>
      <c r="I191" s="82">
        <v>6.0</v>
      </c>
      <c r="J191" s="82">
        <v>50.0</v>
      </c>
      <c r="K191" s="92">
        <f t="shared" si="4"/>
        <v>25</v>
      </c>
      <c r="L191" s="82" t="s">
        <v>58</v>
      </c>
    </row>
    <row r="192" ht="15.0" customHeight="1">
      <c r="A192" s="82" t="s">
        <v>1671</v>
      </c>
      <c r="B192" s="82" t="s">
        <v>1672</v>
      </c>
      <c r="C192" s="82" t="s">
        <v>52</v>
      </c>
      <c r="D192" s="82" t="s">
        <v>1673</v>
      </c>
      <c r="E192" s="79" t="s">
        <v>1674</v>
      </c>
      <c r="F192" s="86" t="s">
        <v>259</v>
      </c>
      <c r="G192" s="82">
        <v>4.0</v>
      </c>
      <c r="H192" s="82">
        <v>4.0</v>
      </c>
      <c r="I192" s="82">
        <v>4.0</v>
      </c>
      <c r="J192" s="152">
        <v>50.0</v>
      </c>
      <c r="K192" s="92">
        <f t="shared" si="4"/>
        <v>12.5</v>
      </c>
      <c r="L192" s="82" t="s">
        <v>58</v>
      </c>
    </row>
    <row r="193" ht="15.0" customHeight="1">
      <c r="A193" s="82" t="s">
        <v>1671</v>
      </c>
      <c r="B193" s="82" t="s">
        <v>1672</v>
      </c>
      <c r="C193" s="82" t="s">
        <v>52</v>
      </c>
      <c r="D193" s="82" t="s">
        <v>1675</v>
      </c>
      <c r="E193" s="79" t="s">
        <v>1676</v>
      </c>
      <c r="F193" s="86" t="s">
        <v>259</v>
      </c>
      <c r="G193" s="82">
        <v>4.0</v>
      </c>
      <c r="H193" s="82">
        <v>4.0</v>
      </c>
      <c r="I193" s="82">
        <v>4.0</v>
      </c>
      <c r="J193" s="152">
        <v>50.0</v>
      </c>
      <c r="K193" s="92">
        <f t="shared" si="4"/>
        <v>12.5</v>
      </c>
      <c r="L193" s="82" t="s">
        <v>58</v>
      </c>
    </row>
    <row r="194" ht="15.0" customHeight="1">
      <c r="A194" s="78" t="s">
        <v>1677</v>
      </c>
      <c r="B194" s="78" t="s">
        <v>1678</v>
      </c>
      <c r="C194" s="82" t="s">
        <v>52</v>
      </c>
      <c r="D194" s="82" t="s">
        <v>1679</v>
      </c>
      <c r="E194" s="79" t="s">
        <v>1680</v>
      </c>
      <c r="F194" s="86" t="s">
        <v>1264</v>
      </c>
      <c r="G194" s="82">
        <v>5.0</v>
      </c>
      <c r="H194" s="82">
        <v>5.0</v>
      </c>
      <c r="I194" s="82">
        <v>5.0</v>
      </c>
      <c r="J194" s="152">
        <v>50.0</v>
      </c>
      <c r="K194" s="92">
        <f t="shared" si="4"/>
        <v>10</v>
      </c>
      <c r="L194" s="82" t="s">
        <v>58</v>
      </c>
    </row>
    <row r="195" ht="15.0" customHeight="1">
      <c r="A195" s="78" t="s">
        <v>1677</v>
      </c>
      <c r="B195" s="78" t="s">
        <v>1678</v>
      </c>
      <c r="C195" s="82" t="s">
        <v>52</v>
      </c>
      <c r="D195" s="82" t="s">
        <v>1681</v>
      </c>
      <c r="E195" s="79" t="s">
        <v>1682</v>
      </c>
      <c r="F195" s="86" t="s">
        <v>1264</v>
      </c>
      <c r="G195" s="82">
        <v>5.0</v>
      </c>
      <c r="H195" s="82">
        <v>5.0</v>
      </c>
      <c r="I195" s="82">
        <v>5.0</v>
      </c>
      <c r="J195" s="152">
        <v>50.0</v>
      </c>
      <c r="K195" s="92">
        <f t="shared" si="4"/>
        <v>10</v>
      </c>
      <c r="L195" s="82" t="s">
        <v>58</v>
      </c>
    </row>
    <row r="196" ht="15.0" customHeight="1">
      <c r="A196" s="78" t="s">
        <v>1677</v>
      </c>
      <c r="B196" s="78" t="s">
        <v>1678</v>
      </c>
      <c r="C196" s="82" t="s">
        <v>52</v>
      </c>
      <c r="D196" s="82" t="s">
        <v>1683</v>
      </c>
      <c r="E196" s="79" t="s">
        <v>1684</v>
      </c>
      <c r="F196" s="86" t="s">
        <v>1264</v>
      </c>
      <c r="G196" s="82">
        <v>5.0</v>
      </c>
      <c r="H196" s="82">
        <v>5.0</v>
      </c>
      <c r="I196" s="82">
        <v>5.0</v>
      </c>
      <c r="J196" s="152">
        <v>50.0</v>
      </c>
      <c r="K196" s="92">
        <f t="shared" si="4"/>
        <v>10</v>
      </c>
      <c r="L196" s="82" t="s">
        <v>58</v>
      </c>
    </row>
    <row r="197" ht="15.0" customHeight="1">
      <c r="A197" s="78" t="s">
        <v>1685</v>
      </c>
      <c r="B197" s="82" t="s">
        <v>1686</v>
      </c>
      <c r="C197" s="78" t="s">
        <v>52</v>
      </c>
      <c r="D197" s="82" t="s">
        <v>1687</v>
      </c>
      <c r="E197" s="79" t="s">
        <v>1688</v>
      </c>
      <c r="F197" s="86" t="s">
        <v>1256</v>
      </c>
      <c r="G197" s="82">
        <v>2.0</v>
      </c>
      <c r="H197" s="82">
        <v>2.0</v>
      </c>
      <c r="I197" s="82">
        <v>3.0</v>
      </c>
      <c r="J197" s="152">
        <v>50.0</v>
      </c>
      <c r="K197" s="92">
        <f t="shared" si="4"/>
        <v>25</v>
      </c>
      <c r="L197" s="82" t="s">
        <v>58</v>
      </c>
    </row>
    <row r="198" ht="15.0" customHeight="1">
      <c r="A198" s="78" t="s">
        <v>1685</v>
      </c>
      <c r="B198" s="82" t="s">
        <v>1686</v>
      </c>
      <c r="C198" s="78" t="s">
        <v>52</v>
      </c>
      <c r="D198" s="82" t="s">
        <v>1689</v>
      </c>
      <c r="E198" s="79" t="s">
        <v>1690</v>
      </c>
      <c r="F198" s="86" t="s">
        <v>259</v>
      </c>
      <c r="G198" s="82">
        <v>2.0</v>
      </c>
      <c r="H198" s="82">
        <v>2.0</v>
      </c>
      <c r="I198" s="82">
        <v>3.0</v>
      </c>
      <c r="J198" s="152">
        <v>50.0</v>
      </c>
      <c r="K198" s="92">
        <f t="shared" si="4"/>
        <v>25</v>
      </c>
      <c r="L198" s="82" t="s">
        <v>58</v>
      </c>
    </row>
    <row r="199" ht="15.0" customHeight="1">
      <c r="A199" s="78" t="s">
        <v>1685</v>
      </c>
      <c r="B199" s="82" t="s">
        <v>1686</v>
      </c>
      <c r="C199" s="78" t="s">
        <v>52</v>
      </c>
      <c r="D199" s="82" t="s">
        <v>1691</v>
      </c>
      <c r="E199" s="79" t="s">
        <v>1692</v>
      </c>
      <c r="F199" s="86" t="s">
        <v>259</v>
      </c>
      <c r="G199" s="82">
        <v>2.0</v>
      </c>
      <c r="H199" s="82">
        <v>2.0</v>
      </c>
      <c r="I199" s="82">
        <v>3.0</v>
      </c>
      <c r="J199" s="152">
        <v>50.0</v>
      </c>
      <c r="K199" s="92">
        <f t="shared" si="4"/>
        <v>25</v>
      </c>
      <c r="L199" s="82" t="s">
        <v>58</v>
      </c>
    </row>
    <row r="200" ht="15.0" customHeight="1">
      <c r="A200" s="100" t="s">
        <v>1693</v>
      </c>
      <c r="B200" s="100" t="s">
        <v>1694</v>
      </c>
      <c r="C200" s="100" t="s">
        <v>52</v>
      </c>
      <c r="D200" s="82" t="s">
        <v>1695</v>
      </c>
      <c r="E200" s="79" t="s">
        <v>1696</v>
      </c>
      <c r="F200" s="86" t="s">
        <v>259</v>
      </c>
      <c r="G200" s="82">
        <v>4.0</v>
      </c>
      <c r="H200" s="82">
        <v>4.0</v>
      </c>
      <c r="I200" s="82">
        <v>4.0</v>
      </c>
      <c r="J200" s="152">
        <v>50.0</v>
      </c>
      <c r="K200" s="92">
        <f t="shared" si="4"/>
        <v>12.5</v>
      </c>
      <c r="L200" s="82" t="s">
        <v>58</v>
      </c>
    </row>
    <row r="201" ht="15.0" customHeight="1">
      <c r="A201" s="82" t="s">
        <v>281</v>
      </c>
      <c r="B201" s="82" t="s">
        <v>1697</v>
      </c>
      <c r="C201" s="82" t="s">
        <v>52</v>
      </c>
      <c r="D201" s="82" t="s">
        <v>1698</v>
      </c>
      <c r="E201" s="79" t="s">
        <v>1699</v>
      </c>
      <c r="F201" s="86" t="s">
        <v>1256</v>
      </c>
      <c r="G201" s="82">
        <v>1.0</v>
      </c>
      <c r="H201" s="82">
        <v>1.0</v>
      </c>
      <c r="I201" s="82">
        <v>5.0</v>
      </c>
      <c r="J201" s="82">
        <v>50.0</v>
      </c>
      <c r="K201" s="92">
        <f t="shared" si="4"/>
        <v>50</v>
      </c>
      <c r="L201" s="82" t="s">
        <v>58</v>
      </c>
    </row>
    <row r="202" ht="15.0" customHeight="1">
      <c r="A202" s="82" t="s">
        <v>281</v>
      </c>
      <c r="B202" s="82" t="s">
        <v>1697</v>
      </c>
      <c r="C202" s="82" t="s">
        <v>52</v>
      </c>
      <c r="D202" s="82" t="s">
        <v>1700</v>
      </c>
      <c r="E202" s="79" t="s">
        <v>1701</v>
      </c>
      <c r="F202" s="86" t="s">
        <v>1256</v>
      </c>
      <c r="G202" s="82">
        <v>1.0</v>
      </c>
      <c r="H202" s="82">
        <v>1.0</v>
      </c>
      <c r="I202" s="82">
        <v>5.0</v>
      </c>
      <c r="J202" s="82">
        <v>50.0</v>
      </c>
      <c r="K202" s="92">
        <f t="shared" si="4"/>
        <v>50</v>
      </c>
      <c r="L202" s="82" t="s">
        <v>58</v>
      </c>
    </row>
    <row r="203" ht="15.0" customHeight="1">
      <c r="A203" s="82" t="s">
        <v>281</v>
      </c>
      <c r="B203" s="82" t="s">
        <v>1697</v>
      </c>
      <c r="C203" s="82" t="s">
        <v>52</v>
      </c>
      <c r="D203" s="82" t="s">
        <v>1702</v>
      </c>
      <c r="E203" s="79" t="s">
        <v>1703</v>
      </c>
      <c r="F203" s="86" t="s">
        <v>1256</v>
      </c>
      <c r="G203" s="82">
        <v>1.0</v>
      </c>
      <c r="H203" s="82">
        <v>1.0</v>
      </c>
      <c r="I203" s="82">
        <v>5.0</v>
      </c>
      <c r="J203" s="82">
        <v>50.0</v>
      </c>
      <c r="K203" s="92">
        <f t="shared" si="4"/>
        <v>50</v>
      </c>
      <c r="L203" s="82" t="s">
        <v>58</v>
      </c>
    </row>
    <row r="204" ht="15.0" customHeight="1">
      <c r="A204" s="82" t="s">
        <v>281</v>
      </c>
      <c r="B204" s="82" t="s">
        <v>1697</v>
      </c>
      <c r="C204" s="82" t="s">
        <v>52</v>
      </c>
      <c r="D204" s="82" t="s">
        <v>1704</v>
      </c>
      <c r="E204" s="79" t="s">
        <v>1705</v>
      </c>
      <c r="F204" s="86" t="s">
        <v>259</v>
      </c>
      <c r="G204" s="82">
        <v>1.0</v>
      </c>
      <c r="H204" s="82">
        <v>1.0</v>
      </c>
      <c r="I204" s="82">
        <v>5.0</v>
      </c>
      <c r="J204" s="82">
        <v>50.0</v>
      </c>
      <c r="K204" s="92">
        <f t="shared" si="4"/>
        <v>50</v>
      </c>
      <c r="L204" s="82" t="s">
        <v>58</v>
      </c>
    </row>
    <row r="205" ht="15.0" customHeight="1">
      <c r="A205" s="82" t="s">
        <v>281</v>
      </c>
      <c r="B205" s="82" t="s">
        <v>1697</v>
      </c>
      <c r="C205" s="82" t="s">
        <v>52</v>
      </c>
      <c r="D205" s="82" t="s">
        <v>1706</v>
      </c>
      <c r="E205" s="79" t="s">
        <v>1707</v>
      </c>
      <c r="F205" s="86" t="s">
        <v>259</v>
      </c>
      <c r="G205" s="82">
        <v>1.0</v>
      </c>
      <c r="H205" s="82">
        <v>1.0</v>
      </c>
      <c r="I205" s="82">
        <v>5.0</v>
      </c>
      <c r="J205" s="82">
        <v>50.0</v>
      </c>
      <c r="K205" s="92">
        <f t="shared" si="4"/>
        <v>50</v>
      </c>
      <c r="L205" s="82" t="s">
        <v>58</v>
      </c>
    </row>
    <row r="206" ht="15.0" customHeight="1">
      <c r="A206" s="82" t="s">
        <v>281</v>
      </c>
      <c r="B206" s="82" t="s">
        <v>1697</v>
      </c>
      <c r="C206" s="82" t="s">
        <v>52</v>
      </c>
      <c r="D206" s="82" t="s">
        <v>1708</v>
      </c>
      <c r="E206" s="79" t="s">
        <v>1709</v>
      </c>
      <c r="F206" s="86" t="s">
        <v>259</v>
      </c>
      <c r="G206" s="82">
        <v>1.0</v>
      </c>
      <c r="H206" s="82">
        <v>1.0</v>
      </c>
      <c r="I206" s="82">
        <v>5.0</v>
      </c>
      <c r="J206" s="82">
        <v>50.0</v>
      </c>
      <c r="K206" s="92">
        <f t="shared" si="4"/>
        <v>50</v>
      </c>
      <c r="L206" s="82" t="s">
        <v>58</v>
      </c>
    </row>
    <row r="207" ht="15.0" customHeight="1">
      <c r="A207" s="82" t="s">
        <v>1710</v>
      </c>
      <c r="B207" s="82" t="s">
        <v>1711</v>
      </c>
      <c r="C207" s="82" t="s">
        <v>52</v>
      </c>
      <c r="D207" s="82" t="s">
        <v>1712</v>
      </c>
      <c r="E207" s="79" t="s">
        <v>1645</v>
      </c>
      <c r="F207" s="86" t="s">
        <v>1256</v>
      </c>
      <c r="G207" s="82">
        <v>5.0</v>
      </c>
      <c r="H207" s="82">
        <v>5.0</v>
      </c>
      <c r="I207" s="82">
        <v>5.0</v>
      </c>
      <c r="J207" s="152">
        <v>50.0</v>
      </c>
      <c r="K207" s="92">
        <f t="shared" si="4"/>
        <v>10</v>
      </c>
      <c r="L207" s="82" t="s">
        <v>58</v>
      </c>
    </row>
    <row r="208" ht="15.0" customHeight="1">
      <c r="A208" s="82" t="s">
        <v>1710</v>
      </c>
      <c r="B208" s="82" t="s">
        <v>1711</v>
      </c>
      <c r="C208" s="82" t="s">
        <v>52</v>
      </c>
      <c r="D208" s="82" t="s">
        <v>1713</v>
      </c>
      <c r="E208" s="79" t="s">
        <v>1562</v>
      </c>
      <c r="F208" s="86" t="s">
        <v>259</v>
      </c>
      <c r="G208" s="82">
        <v>5.0</v>
      </c>
      <c r="H208" s="82">
        <v>5.0</v>
      </c>
      <c r="I208" s="82">
        <v>5.0</v>
      </c>
      <c r="J208" s="152">
        <v>50.0</v>
      </c>
      <c r="K208" s="92">
        <f t="shared" si="4"/>
        <v>10</v>
      </c>
      <c r="L208" s="82" t="s">
        <v>58</v>
      </c>
    </row>
    <row r="209" ht="15.0" customHeight="1">
      <c r="A209" s="82" t="s">
        <v>1714</v>
      </c>
      <c r="B209" s="82" t="s">
        <v>1715</v>
      </c>
      <c r="C209" s="82" t="s">
        <v>52</v>
      </c>
      <c r="D209" s="82" t="s">
        <v>1716</v>
      </c>
      <c r="E209" s="79" t="s">
        <v>1717</v>
      </c>
      <c r="F209" s="86" t="s">
        <v>1256</v>
      </c>
      <c r="G209" s="82">
        <v>5.0</v>
      </c>
      <c r="H209" s="82">
        <v>5.0</v>
      </c>
      <c r="I209" s="82">
        <v>5.0</v>
      </c>
      <c r="J209" s="152">
        <v>50.0</v>
      </c>
      <c r="K209" s="92">
        <f t="shared" si="4"/>
        <v>10</v>
      </c>
      <c r="L209" s="82" t="s">
        <v>58</v>
      </c>
    </row>
    <row r="210" ht="15.0" customHeight="1">
      <c r="A210" s="82" t="s">
        <v>1718</v>
      </c>
      <c r="B210" s="82" t="s">
        <v>1719</v>
      </c>
      <c r="C210" s="82" t="s">
        <v>52</v>
      </c>
      <c r="D210" s="82" t="s">
        <v>1720</v>
      </c>
      <c r="E210" s="79" t="s">
        <v>1721</v>
      </c>
      <c r="F210" s="86" t="s">
        <v>259</v>
      </c>
      <c r="G210" s="82">
        <v>8.0</v>
      </c>
      <c r="H210" s="82">
        <v>3.0</v>
      </c>
      <c r="I210" s="82">
        <v>8.0</v>
      </c>
      <c r="J210" s="152">
        <v>50.0</v>
      </c>
      <c r="K210" s="92">
        <f t="shared" si="4"/>
        <v>6.25</v>
      </c>
      <c r="L210" s="82" t="s">
        <v>58</v>
      </c>
    </row>
    <row r="211" ht="15.0" customHeight="1">
      <c r="A211" s="82" t="s">
        <v>1718</v>
      </c>
      <c r="B211" s="82" t="s">
        <v>1722</v>
      </c>
      <c r="C211" s="82" t="s">
        <v>52</v>
      </c>
      <c r="D211" s="82" t="s">
        <v>1723</v>
      </c>
      <c r="E211" s="79" t="s">
        <v>1724</v>
      </c>
      <c r="F211" s="86" t="s">
        <v>259</v>
      </c>
      <c r="G211" s="82">
        <v>8.0</v>
      </c>
      <c r="H211" s="82">
        <v>3.0</v>
      </c>
      <c r="I211" s="82">
        <v>8.0</v>
      </c>
      <c r="J211" s="152">
        <v>50.0</v>
      </c>
      <c r="K211" s="92">
        <f t="shared" si="4"/>
        <v>6.25</v>
      </c>
      <c r="L211" s="82" t="s">
        <v>58</v>
      </c>
    </row>
    <row r="212" ht="15.0" customHeight="1">
      <c r="A212" s="100" t="s">
        <v>1725</v>
      </c>
      <c r="B212" s="100" t="s">
        <v>1726</v>
      </c>
      <c r="C212" s="100" t="s">
        <v>52</v>
      </c>
      <c r="D212" s="82" t="s">
        <v>1727</v>
      </c>
      <c r="E212" s="154" t="s">
        <v>1636</v>
      </c>
      <c r="F212" s="100" t="s">
        <v>259</v>
      </c>
      <c r="G212" s="156">
        <v>5.0</v>
      </c>
      <c r="H212" s="82">
        <v>5.0</v>
      </c>
      <c r="I212" s="82">
        <v>5.0</v>
      </c>
      <c r="J212" s="152">
        <v>50.0</v>
      </c>
      <c r="K212" s="92">
        <f t="shared" si="4"/>
        <v>10</v>
      </c>
      <c r="L212" s="82" t="s">
        <v>58</v>
      </c>
    </row>
    <row r="213" ht="15.0" customHeight="1">
      <c r="A213" s="82" t="s">
        <v>1728</v>
      </c>
      <c r="B213" s="82" t="s">
        <v>1729</v>
      </c>
      <c r="C213" s="82" t="s">
        <v>52</v>
      </c>
      <c r="D213" s="82" t="s">
        <v>1730</v>
      </c>
      <c r="E213" s="79" t="s">
        <v>1601</v>
      </c>
      <c r="F213" s="86" t="s">
        <v>1256</v>
      </c>
      <c r="G213" s="82">
        <v>3.0</v>
      </c>
      <c r="H213" s="82">
        <v>3.0</v>
      </c>
      <c r="I213" s="82">
        <v>3.0</v>
      </c>
      <c r="J213" s="152">
        <v>50.0</v>
      </c>
      <c r="K213" s="92">
        <f t="shared" si="4"/>
        <v>16.66666667</v>
      </c>
      <c r="L213" s="82" t="s">
        <v>58</v>
      </c>
    </row>
    <row r="214" ht="15.0" customHeight="1">
      <c r="A214" s="82" t="s">
        <v>1731</v>
      </c>
      <c r="B214" s="82" t="s">
        <v>1732</v>
      </c>
      <c r="C214" s="82" t="s">
        <v>52</v>
      </c>
      <c r="D214" s="82" t="s">
        <v>1733</v>
      </c>
      <c r="E214" s="79" t="s">
        <v>1526</v>
      </c>
      <c r="F214" s="86" t="s">
        <v>259</v>
      </c>
      <c r="G214" s="82">
        <v>4.0</v>
      </c>
      <c r="H214" s="82">
        <v>4.0</v>
      </c>
      <c r="I214" s="82">
        <v>4.0</v>
      </c>
      <c r="J214" s="152">
        <v>50.0</v>
      </c>
      <c r="K214" s="92">
        <f t="shared" si="4"/>
        <v>12.5</v>
      </c>
      <c r="L214" s="82" t="s">
        <v>58</v>
      </c>
    </row>
    <row r="215" ht="15.0" customHeight="1">
      <c r="A215" s="78" t="s">
        <v>1734</v>
      </c>
      <c r="B215" s="82" t="s">
        <v>1735</v>
      </c>
      <c r="C215" s="82" t="s">
        <v>52</v>
      </c>
      <c r="D215" s="82" t="s">
        <v>1736</v>
      </c>
      <c r="E215" s="79" t="s">
        <v>1737</v>
      </c>
      <c r="F215" s="86" t="s">
        <v>1256</v>
      </c>
      <c r="G215" s="82">
        <v>7.0</v>
      </c>
      <c r="H215" s="82">
        <v>7.0</v>
      </c>
      <c r="I215" s="82">
        <v>8.0</v>
      </c>
      <c r="J215" s="152">
        <v>50.0</v>
      </c>
      <c r="K215" s="92">
        <f t="shared" si="4"/>
        <v>7.142857143</v>
      </c>
      <c r="L215" s="82" t="s">
        <v>58</v>
      </c>
    </row>
    <row r="216" ht="15.0" customHeight="1">
      <c r="A216" s="82" t="s">
        <v>1731</v>
      </c>
      <c r="B216" s="78" t="s">
        <v>1738</v>
      </c>
      <c r="C216" s="82" t="s">
        <v>52</v>
      </c>
      <c r="D216" s="82" t="s">
        <v>1739</v>
      </c>
      <c r="E216" s="79" t="s">
        <v>1615</v>
      </c>
      <c r="F216" s="86" t="s">
        <v>259</v>
      </c>
      <c r="G216" s="82">
        <v>4.0</v>
      </c>
      <c r="H216" s="82">
        <v>4.0</v>
      </c>
      <c r="I216" s="82">
        <v>4.0</v>
      </c>
      <c r="J216" s="152">
        <v>50.0</v>
      </c>
      <c r="K216" s="92">
        <f t="shared" si="4"/>
        <v>12.5</v>
      </c>
      <c r="L216" s="82" t="s">
        <v>58</v>
      </c>
    </row>
    <row r="217" ht="15.0" customHeight="1">
      <c r="A217" s="157" t="s">
        <v>1740</v>
      </c>
      <c r="B217" s="157" t="s">
        <v>1741</v>
      </c>
      <c r="C217" s="157" t="s">
        <v>52</v>
      </c>
      <c r="D217" s="82" t="s">
        <v>1742</v>
      </c>
      <c r="E217" s="154" t="s">
        <v>1615</v>
      </c>
      <c r="F217" s="100" t="s">
        <v>259</v>
      </c>
      <c r="G217" s="156">
        <v>3.0</v>
      </c>
      <c r="H217" s="156">
        <v>3.0</v>
      </c>
      <c r="I217" s="100">
        <v>3.0</v>
      </c>
      <c r="J217" s="100">
        <v>50.0</v>
      </c>
      <c r="K217" s="92">
        <f t="shared" si="4"/>
        <v>16.66666667</v>
      </c>
      <c r="L217" s="82" t="s">
        <v>58</v>
      </c>
    </row>
    <row r="218" ht="15.0" customHeight="1">
      <c r="A218" s="157" t="s">
        <v>1743</v>
      </c>
      <c r="B218" s="157" t="s">
        <v>1744</v>
      </c>
      <c r="C218" s="157" t="s">
        <v>52</v>
      </c>
      <c r="D218" s="82" t="s">
        <v>1745</v>
      </c>
      <c r="E218" s="79" t="s">
        <v>1615</v>
      </c>
      <c r="F218" s="86" t="s">
        <v>259</v>
      </c>
      <c r="G218" s="156">
        <v>5.0</v>
      </c>
      <c r="H218" s="156">
        <v>5.0</v>
      </c>
      <c r="I218" s="100">
        <v>5.0</v>
      </c>
      <c r="J218" s="100">
        <v>50.0</v>
      </c>
      <c r="K218" s="92">
        <f t="shared" si="4"/>
        <v>10</v>
      </c>
      <c r="L218" s="82" t="s">
        <v>58</v>
      </c>
    </row>
    <row r="219" ht="15.0" customHeight="1">
      <c r="A219" s="78" t="s">
        <v>1746</v>
      </c>
      <c r="B219" s="82" t="s">
        <v>1747</v>
      </c>
      <c r="C219" s="82" t="s">
        <v>52</v>
      </c>
      <c r="D219" s="82" t="s">
        <v>1748</v>
      </c>
      <c r="E219" s="79" t="s">
        <v>1749</v>
      </c>
      <c r="F219" s="86" t="s">
        <v>1256</v>
      </c>
      <c r="G219" s="82">
        <v>7.0</v>
      </c>
      <c r="H219" s="82">
        <v>7.0</v>
      </c>
      <c r="I219" s="82">
        <v>7.0</v>
      </c>
      <c r="J219" s="152">
        <v>50.0</v>
      </c>
      <c r="K219" s="92">
        <f t="shared" si="4"/>
        <v>7.142857143</v>
      </c>
      <c r="L219" s="82" t="s">
        <v>58</v>
      </c>
    </row>
    <row r="220" ht="15.0" customHeight="1">
      <c r="A220" s="82" t="s">
        <v>1750</v>
      </c>
      <c r="B220" s="78" t="s">
        <v>1751</v>
      </c>
      <c r="C220" s="78" t="s">
        <v>52</v>
      </c>
      <c r="D220" s="82" t="s">
        <v>1752</v>
      </c>
      <c r="E220" s="79" t="s">
        <v>1753</v>
      </c>
      <c r="F220" s="86" t="s">
        <v>259</v>
      </c>
      <c r="G220" s="82">
        <v>4.0</v>
      </c>
      <c r="H220" s="82">
        <v>4.0</v>
      </c>
      <c r="I220" s="82">
        <v>4.0</v>
      </c>
      <c r="J220" s="152">
        <v>50.0</v>
      </c>
      <c r="K220" s="92">
        <f t="shared" si="4"/>
        <v>12.5</v>
      </c>
      <c r="L220" s="82" t="s">
        <v>58</v>
      </c>
    </row>
    <row r="221" ht="15.0" customHeight="1">
      <c r="A221" s="78" t="s">
        <v>276</v>
      </c>
      <c r="B221" s="82" t="s">
        <v>1754</v>
      </c>
      <c r="C221" s="82" t="s">
        <v>52</v>
      </c>
      <c r="D221" s="82" t="s">
        <v>1755</v>
      </c>
      <c r="E221" s="79" t="s">
        <v>1588</v>
      </c>
      <c r="F221" s="86" t="s">
        <v>1256</v>
      </c>
      <c r="G221" s="82">
        <v>5.0</v>
      </c>
      <c r="H221" s="82">
        <v>5.0</v>
      </c>
      <c r="I221" s="82">
        <v>5.0</v>
      </c>
      <c r="J221" s="152">
        <v>50.0</v>
      </c>
      <c r="K221" s="92">
        <f t="shared" si="4"/>
        <v>10</v>
      </c>
      <c r="L221" s="82" t="s">
        <v>58</v>
      </c>
    </row>
    <row r="222" ht="15.0" customHeight="1">
      <c r="A222" s="82" t="s">
        <v>1756</v>
      </c>
      <c r="B222" s="82" t="s">
        <v>1757</v>
      </c>
      <c r="C222" s="82" t="s">
        <v>52</v>
      </c>
      <c r="D222" s="82" t="s">
        <v>1758</v>
      </c>
      <c r="E222" s="79" t="s">
        <v>1759</v>
      </c>
      <c r="F222" s="86" t="s">
        <v>1256</v>
      </c>
      <c r="G222" s="82">
        <v>7.0</v>
      </c>
      <c r="H222" s="82">
        <v>5.0</v>
      </c>
      <c r="I222" s="82">
        <v>7.0</v>
      </c>
      <c r="J222" s="152">
        <v>50.0</v>
      </c>
      <c r="K222" s="92">
        <f t="shared" si="4"/>
        <v>7.142857143</v>
      </c>
      <c r="L222" s="82" t="s">
        <v>58</v>
      </c>
    </row>
    <row r="223" ht="15.0" customHeight="1">
      <c r="A223" s="100" t="s">
        <v>1760</v>
      </c>
      <c r="B223" s="100" t="s">
        <v>1761</v>
      </c>
      <c r="C223" s="82" t="s">
        <v>52</v>
      </c>
      <c r="D223" s="85" t="s">
        <v>1762</v>
      </c>
      <c r="E223" s="85" t="s">
        <v>1763</v>
      </c>
      <c r="F223" s="86" t="s">
        <v>259</v>
      </c>
      <c r="G223" s="148">
        <v>2.0</v>
      </c>
      <c r="H223" s="148">
        <v>2.0</v>
      </c>
      <c r="I223" s="148">
        <v>3.0</v>
      </c>
      <c r="J223" s="148">
        <v>50.0</v>
      </c>
      <c r="K223" s="158">
        <f t="shared" si="4"/>
        <v>25</v>
      </c>
      <c r="L223" s="82" t="s">
        <v>1764</v>
      </c>
    </row>
    <row r="224" ht="15.0" customHeight="1">
      <c r="A224" s="100" t="s">
        <v>1760</v>
      </c>
      <c r="B224" s="100" t="s">
        <v>1761</v>
      </c>
      <c r="C224" s="82" t="s">
        <v>52</v>
      </c>
      <c r="D224" s="85" t="s">
        <v>1765</v>
      </c>
      <c r="E224" s="85" t="s">
        <v>1766</v>
      </c>
      <c r="F224" s="86" t="s">
        <v>1264</v>
      </c>
      <c r="G224" s="148">
        <v>2.0</v>
      </c>
      <c r="H224" s="148">
        <v>2.0</v>
      </c>
      <c r="I224" s="148">
        <v>3.0</v>
      </c>
      <c r="J224" s="148">
        <v>50.0</v>
      </c>
      <c r="K224" s="158">
        <f t="shared" si="4"/>
        <v>25</v>
      </c>
      <c r="L224" s="82" t="s">
        <v>1764</v>
      </c>
    </row>
    <row r="225" ht="15.0" customHeight="1">
      <c r="A225" s="100" t="s">
        <v>1760</v>
      </c>
      <c r="B225" s="100" t="s">
        <v>1761</v>
      </c>
      <c r="C225" s="82" t="s">
        <v>52</v>
      </c>
      <c r="D225" s="85" t="s">
        <v>1767</v>
      </c>
      <c r="E225" s="85" t="s">
        <v>1768</v>
      </c>
      <c r="F225" s="86" t="s">
        <v>1264</v>
      </c>
      <c r="G225" s="148">
        <v>2.0</v>
      </c>
      <c r="H225" s="148">
        <v>2.0</v>
      </c>
      <c r="I225" s="148">
        <v>3.0</v>
      </c>
      <c r="J225" s="148">
        <v>50.0</v>
      </c>
      <c r="K225" s="158">
        <f t="shared" si="4"/>
        <v>25</v>
      </c>
      <c r="L225" s="82" t="s">
        <v>1764</v>
      </c>
    </row>
    <row r="226" ht="15.0" customHeight="1">
      <c r="A226" s="157" t="s">
        <v>1769</v>
      </c>
      <c r="B226" s="85" t="s">
        <v>1770</v>
      </c>
      <c r="C226" s="82" t="s">
        <v>52</v>
      </c>
      <c r="D226" s="85" t="s">
        <v>1771</v>
      </c>
      <c r="E226" s="85" t="s">
        <v>1772</v>
      </c>
      <c r="F226" s="86" t="s">
        <v>1264</v>
      </c>
      <c r="G226" s="148">
        <v>3.0</v>
      </c>
      <c r="H226" s="148">
        <v>3.0</v>
      </c>
      <c r="I226" s="148">
        <v>3.0</v>
      </c>
      <c r="J226" s="148">
        <v>50.0</v>
      </c>
      <c r="K226" s="158">
        <f t="shared" si="4"/>
        <v>16.66666667</v>
      </c>
      <c r="L226" s="82" t="s">
        <v>1764</v>
      </c>
    </row>
    <row r="227" ht="15.0" customHeight="1">
      <c r="A227" s="157" t="s">
        <v>1769</v>
      </c>
      <c r="B227" s="85" t="s">
        <v>1770</v>
      </c>
      <c r="C227" s="82" t="s">
        <v>52</v>
      </c>
      <c r="D227" s="85" t="s">
        <v>1773</v>
      </c>
      <c r="E227" s="85" t="s">
        <v>1774</v>
      </c>
      <c r="F227" s="86" t="s">
        <v>1264</v>
      </c>
      <c r="G227" s="148">
        <v>3.0</v>
      </c>
      <c r="H227" s="148">
        <v>3.0</v>
      </c>
      <c r="I227" s="148">
        <v>3.0</v>
      </c>
      <c r="J227" s="148">
        <v>50.0</v>
      </c>
      <c r="K227" s="158">
        <f t="shared" si="4"/>
        <v>16.66666667</v>
      </c>
      <c r="L227" s="82" t="s">
        <v>1764</v>
      </c>
    </row>
    <row r="228" ht="15.0" customHeight="1">
      <c r="A228" s="82" t="s">
        <v>1775</v>
      </c>
      <c r="B228" s="82" t="s">
        <v>1776</v>
      </c>
      <c r="C228" s="82" t="s">
        <v>52</v>
      </c>
      <c r="D228" s="82" t="s">
        <v>1777</v>
      </c>
      <c r="E228" s="79" t="s">
        <v>1778</v>
      </c>
      <c r="F228" s="86" t="s">
        <v>1264</v>
      </c>
      <c r="G228" s="82">
        <v>1.0</v>
      </c>
      <c r="H228" s="82">
        <v>1.0</v>
      </c>
      <c r="I228" s="82">
        <v>1.0</v>
      </c>
      <c r="J228" s="152">
        <v>50.0</v>
      </c>
      <c r="K228" s="84">
        <f t="shared" si="4"/>
        <v>50</v>
      </c>
      <c r="L228" s="82" t="s">
        <v>1764</v>
      </c>
    </row>
    <row r="229" ht="15.0" customHeight="1">
      <c r="A229" s="82" t="s">
        <v>1775</v>
      </c>
      <c r="B229" s="82" t="s">
        <v>1776</v>
      </c>
      <c r="C229" s="82" t="s">
        <v>52</v>
      </c>
      <c r="D229" s="82" t="s">
        <v>1779</v>
      </c>
      <c r="E229" s="79" t="s">
        <v>1780</v>
      </c>
      <c r="F229" s="86" t="s">
        <v>1264</v>
      </c>
      <c r="G229" s="82">
        <v>1.0</v>
      </c>
      <c r="H229" s="82">
        <v>1.0</v>
      </c>
      <c r="I229" s="82">
        <v>1.0</v>
      </c>
      <c r="J229" s="152">
        <v>50.0</v>
      </c>
      <c r="K229" s="84">
        <f t="shared" si="4"/>
        <v>50</v>
      </c>
      <c r="L229" s="82" t="s">
        <v>1764</v>
      </c>
    </row>
    <row r="230" ht="15.0" customHeight="1">
      <c r="A230" s="82" t="s">
        <v>1781</v>
      </c>
      <c r="B230" s="82" t="s">
        <v>1782</v>
      </c>
      <c r="C230" s="82" t="s">
        <v>1783</v>
      </c>
      <c r="D230" s="82" t="s">
        <v>1784</v>
      </c>
      <c r="E230" s="79" t="s">
        <v>1785</v>
      </c>
      <c r="F230" s="86" t="s">
        <v>1786</v>
      </c>
      <c r="G230" s="82">
        <v>2.0</v>
      </c>
      <c r="H230" s="82">
        <v>2.0</v>
      </c>
      <c r="I230" s="82">
        <v>3.0</v>
      </c>
      <c r="J230" s="152">
        <v>50.0</v>
      </c>
      <c r="K230" s="84">
        <f>J230/2</f>
        <v>25</v>
      </c>
      <c r="L230" s="82" t="s">
        <v>71</v>
      </c>
    </row>
    <row r="231" ht="15.0" customHeight="1">
      <c r="A231" s="82" t="s">
        <v>1787</v>
      </c>
      <c r="B231" s="82" t="s">
        <v>1788</v>
      </c>
      <c r="C231" s="82" t="s">
        <v>52</v>
      </c>
      <c r="D231" s="82" t="s">
        <v>1789</v>
      </c>
      <c r="E231" s="79" t="s">
        <v>1790</v>
      </c>
      <c r="F231" s="86" t="s">
        <v>314</v>
      </c>
      <c r="G231" s="82">
        <v>4.0</v>
      </c>
      <c r="H231" s="82">
        <v>4.0</v>
      </c>
      <c r="I231" s="82">
        <v>4.0</v>
      </c>
      <c r="J231" s="152">
        <v>50.0</v>
      </c>
      <c r="K231" s="84">
        <v>12.5</v>
      </c>
      <c r="L231" s="82" t="s">
        <v>296</v>
      </c>
    </row>
    <row r="232" ht="15.0" customHeight="1">
      <c r="A232" s="82" t="s">
        <v>1787</v>
      </c>
      <c r="B232" s="82" t="s">
        <v>1788</v>
      </c>
      <c r="C232" s="82" t="s">
        <v>52</v>
      </c>
      <c r="D232" s="82" t="s">
        <v>1791</v>
      </c>
      <c r="E232" s="79" t="s">
        <v>1526</v>
      </c>
      <c r="F232" s="86" t="s">
        <v>314</v>
      </c>
      <c r="G232" s="82">
        <v>4.0</v>
      </c>
      <c r="H232" s="82">
        <v>4.0</v>
      </c>
      <c r="I232" s="82">
        <v>4.0</v>
      </c>
      <c r="J232" s="152">
        <v>50.0</v>
      </c>
      <c r="K232" s="84">
        <v>12.5</v>
      </c>
      <c r="L232" s="82" t="s">
        <v>296</v>
      </c>
    </row>
    <row r="233" ht="15.0" customHeight="1">
      <c r="A233" s="82" t="s">
        <v>1787</v>
      </c>
      <c r="B233" s="82" t="s">
        <v>1788</v>
      </c>
      <c r="C233" s="82" t="s">
        <v>52</v>
      </c>
      <c r="D233" s="82" t="s">
        <v>1792</v>
      </c>
      <c r="E233" s="79" t="s">
        <v>1793</v>
      </c>
      <c r="F233" s="86" t="s">
        <v>314</v>
      </c>
      <c r="G233" s="82">
        <v>4.0</v>
      </c>
      <c r="H233" s="82">
        <v>4.0</v>
      </c>
      <c r="I233" s="82">
        <v>4.0</v>
      </c>
      <c r="J233" s="152">
        <v>50.0</v>
      </c>
      <c r="K233" s="84">
        <v>12.5</v>
      </c>
      <c r="L233" s="82" t="s">
        <v>296</v>
      </c>
    </row>
    <row r="234" ht="15.0" customHeight="1">
      <c r="A234" s="82" t="s">
        <v>1787</v>
      </c>
      <c r="B234" s="82" t="s">
        <v>1788</v>
      </c>
      <c r="C234" s="82" t="s">
        <v>52</v>
      </c>
      <c r="D234" s="82" t="s">
        <v>1794</v>
      </c>
      <c r="E234" s="79" t="s">
        <v>1795</v>
      </c>
      <c r="F234" s="86" t="s">
        <v>314</v>
      </c>
      <c r="G234" s="82">
        <v>4.0</v>
      </c>
      <c r="H234" s="82">
        <v>4.0</v>
      </c>
      <c r="I234" s="82">
        <v>4.0</v>
      </c>
      <c r="J234" s="152">
        <v>50.0</v>
      </c>
      <c r="K234" s="84">
        <v>12.5</v>
      </c>
      <c r="L234" s="82" t="s">
        <v>296</v>
      </c>
    </row>
    <row r="235" ht="15.0" customHeight="1">
      <c r="A235" s="82" t="s">
        <v>1796</v>
      </c>
      <c r="B235" s="78" t="s">
        <v>290</v>
      </c>
      <c r="C235" s="82" t="s">
        <v>52</v>
      </c>
      <c r="D235" s="78" t="s">
        <v>1797</v>
      </c>
      <c r="E235" s="80" t="s">
        <v>1798</v>
      </c>
      <c r="F235" s="86" t="s">
        <v>1264</v>
      </c>
      <c r="G235" s="82">
        <v>8.0</v>
      </c>
      <c r="H235" s="82">
        <v>6.0</v>
      </c>
      <c r="I235" s="82">
        <v>8.0</v>
      </c>
      <c r="J235" s="152">
        <v>50.0</v>
      </c>
      <c r="K235" s="84">
        <v>6.25</v>
      </c>
      <c r="L235" s="82" t="s">
        <v>296</v>
      </c>
    </row>
    <row r="236" ht="15.0" customHeight="1">
      <c r="A236" s="82" t="s">
        <v>1796</v>
      </c>
      <c r="B236" s="78" t="s">
        <v>290</v>
      </c>
      <c r="C236" s="82" t="s">
        <v>52</v>
      </c>
      <c r="D236" s="82" t="s">
        <v>1799</v>
      </c>
      <c r="E236" s="79" t="s">
        <v>1800</v>
      </c>
      <c r="F236" s="86" t="s">
        <v>1264</v>
      </c>
      <c r="G236" s="82">
        <v>8.0</v>
      </c>
      <c r="H236" s="82">
        <v>6.0</v>
      </c>
      <c r="I236" s="82">
        <v>8.0</v>
      </c>
      <c r="J236" s="152">
        <v>50.0</v>
      </c>
      <c r="K236" s="84">
        <v>6.25</v>
      </c>
      <c r="L236" s="82" t="s">
        <v>296</v>
      </c>
    </row>
    <row r="237" ht="15.0" customHeight="1">
      <c r="A237" s="82" t="s">
        <v>1796</v>
      </c>
      <c r="B237" s="78" t="s">
        <v>290</v>
      </c>
      <c r="C237" s="82" t="s">
        <v>52</v>
      </c>
      <c r="D237" s="82" t="s">
        <v>1801</v>
      </c>
      <c r="E237" s="79" t="s">
        <v>1802</v>
      </c>
      <c r="F237" s="86" t="s">
        <v>1264</v>
      </c>
      <c r="G237" s="82">
        <v>8.0</v>
      </c>
      <c r="H237" s="82">
        <v>6.0</v>
      </c>
      <c r="I237" s="82">
        <v>8.0</v>
      </c>
      <c r="J237" s="152">
        <v>50.0</v>
      </c>
      <c r="K237" s="84">
        <v>6.25</v>
      </c>
      <c r="L237" s="82" t="s">
        <v>296</v>
      </c>
    </row>
    <row r="238" ht="15.0" customHeight="1">
      <c r="A238" s="78" t="s">
        <v>1803</v>
      </c>
      <c r="B238" s="78" t="s">
        <v>1282</v>
      </c>
      <c r="C238" s="82" t="s">
        <v>52</v>
      </c>
      <c r="D238" s="82" t="s">
        <v>1804</v>
      </c>
      <c r="E238" s="79" t="s">
        <v>1805</v>
      </c>
      <c r="F238" s="86" t="s">
        <v>314</v>
      </c>
      <c r="G238" s="82">
        <v>8.0</v>
      </c>
      <c r="H238" s="82">
        <v>8.0</v>
      </c>
      <c r="I238" s="82">
        <v>8.0</v>
      </c>
      <c r="J238" s="152">
        <v>50.0</v>
      </c>
      <c r="K238" s="84">
        <v>6.25</v>
      </c>
      <c r="L238" s="82" t="s">
        <v>296</v>
      </c>
    </row>
    <row r="239" ht="15.0" customHeight="1">
      <c r="A239" s="78" t="s">
        <v>1803</v>
      </c>
      <c r="B239" s="78" t="s">
        <v>1282</v>
      </c>
      <c r="C239" s="82" t="s">
        <v>52</v>
      </c>
      <c r="D239" s="78" t="s">
        <v>1806</v>
      </c>
      <c r="E239" s="80" t="s">
        <v>384</v>
      </c>
      <c r="F239" s="86" t="s">
        <v>314</v>
      </c>
      <c r="G239" s="82">
        <v>8.0</v>
      </c>
      <c r="H239" s="82">
        <v>8.0</v>
      </c>
      <c r="I239" s="82">
        <v>8.0</v>
      </c>
      <c r="J239" s="152">
        <v>50.0</v>
      </c>
      <c r="K239" s="84">
        <v>6.25</v>
      </c>
      <c r="L239" s="82" t="s">
        <v>296</v>
      </c>
    </row>
    <row r="240" ht="15.0" customHeight="1">
      <c r="A240" s="82" t="s">
        <v>1807</v>
      </c>
      <c r="B240" s="82" t="s">
        <v>1808</v>
      </c>
      <c r="C240" s="82" t="s">
        <v>52</v>
      </c>
      <c r="D240" s="82" t="s">
        <v>1809</v>
      </c>
      <c r="E240" s="79" t="s">
        <v>1810</v>
      </c>
      <c r="F240" s="86" t="s">
        <v>314</v>
      </c>
      <c r="G240" s="82">
        <v>2.0</v>
      </c>
      <c r="H240" s="82">
        <v>1.0</v>
      </c>
      <c r="I240" s="82">
        <v>2.0</v>
      </c>
      <c r="J240" s="152">
        <v>50.0</v>
      </c>
      <c r="K240" s="84">
        <v>25.0</v>
      </c>
      <c r="L240" s="82" t="s">
        <v>296</v>
      </c>
    </row>
    <row r="241" ht="15.0" customHeight="1">
      <c r="A241" s="82" t="s">
        <v>1807</v>
      </c>
      <c r="B241" s="82" t="s">
        <v>1811</v>
      </c>
      <c r="C241" s="82" t="s">
        <v>52</v>
      </c>
      <c r="D241" s="82" t="s">
        <v>1812</v>
      </c>
      <c r="E241" s="80" t="s">
        <v>1813</v>
      </c>
      <c r="F241" s="86" t="s">
        <v>314</v>
      </c>
      <c r="G241" s="82">
        <v>2.0</v>
      </c>
      <c r="H241" s="82">
        <v>1.0</v>
      </c>
      <c r="I241" s="82">
        <v>2.0</v>
      </c>
      <c r="J241" s="152">
        <v>50.0</v>
      </c>
      <c r="K241" s="84">
        <v>25.0</v>
      </c>
      <c r="L241" s="82" t="s">
        <v>296</v>
      </c>
    </row>
    <row r="242" ht="15.0" customHeight="1">
      <c r="A242" s="82" t="s">
        <v>1814</v>
      </c>
      <c r="B242" s="82" t="s">
        <v>1815</v>
      </c>
      <c r="C242" s="82" t="s">
        <v>52</v>
      </c>
      <c r="D242" s="82" t="s">
        <v>1816</v>
      </c>
      <c r="E242" s="79" t="s">
        <v>1817</v>
      </c>
      <c r="F242" s="86" t="s">
        <v>314</v>
      </c>
      <c r="G242" s="82">
        <v>4.0</v>
      </c>
      <c r="H242" s="82">
        <v>3.0</v>
      </c>
      <c r="I242" s="82">
        <v>4.0</v>
      </c>
      <c r="J242" s="152">
        <v>50.0</v>
      </c>
      <c r="K242" s="84">
        <v>12.5</v>
      </c>
      <c r="L242" s="82" t="s">
        <v>296</v>
      </c>
    </row>
    <row r="243" ht="15.0" customHeight="1">
      <c r="A243" s="82" t="s">
        <v>1818</v>
      </c>
      <c r="B243" s="82" t="s">
        <v>1484</v>
      </c>
      <c r="C243" s="82" t="s">
        <v>52</v>
      </c>
      <c r="D243" s="82" t="s">
        <v>1819</v>
      </c>
      <c r="E243" s="79" t="s">
        <v>1820</v>
      </c>
      <c r="F243" s="86" t="s">
        <v>314</v>
      </c>
      <c r="G243" s="82">
        <v>5.0</v>
      </c>
      <c r="H243" s="82">
        <v>4.0</v>
      </c>
      <c r="I243" s="82">
        <v>5.0</v>
      </c>
      <c r="J243" s="152">
        <v>50.0</v>
      </c>
      <c r="K243" s="84">
        <v>10.0</v>
      </c>
      <c r="L243" s="82" t="s">
        <v>296</v>
      </c>
    </row>
    <row r="244" ht="15.0" customHeight="1">
      <c r="A244" s="82" t="s">
        <v>1807</v>
      </c>
      <c r="B244" s="82" t="s">
        <v>1821</v>
      </c>
      <c r="C244" s="82" t="s">
        <v>52</v>
      </c>
      <c r="D244" s="82" t="s">
        <v>1822</v>
      </c>
      <c r="E244" s="79" t="s">
        <v>1823</v>
      </c>
      <c r="F244" s="86" t="s">
        <v>314</v>
      </c>
      <c r="G244" s="82">
        <v>2.0</v>
      </c>
      <c r="H244" s="82">
        <v>1.0</v>
      </c>
      <c r="I244" s="82">
        <v>2.0</v>
      </c>
      <c r="J244" s="152">
        <v>50.0</v>
      </c>
      <c r="K244" s="84">
        <v>25.0</v>
      </c>
      <c r="L244" s="82" t="s">
        <v>296</v>
      </c>
    </row>
    <row r="245" ht="15.0" customHeight="1">
      <c r="A245" s="82" t="s">
        <v>1824</v>
      </c>
      <c r="B245" s="78" t="s">
        <v>1788</v>
      </c>
      <c r="C245" s="82" t="s">
        <v>52</v>
      </c>
      <c r="D245" s="82" t="s">
        <v>1825</v>
      </c>
      <c r="E245" s="159" t="s">
        <v>1826</v>
      </c>
      <c r="F245" s="148" t="s">
        <v>314</v>
      </c>
      <c r="G245" s="82">
        <v>4.0</v>
      </c>
      <c r="H245" s="82">
        <v>4.0</v>
      </c>
      <c r="I245" s="82">
        <v>4.0</v>
      </c>
      <c r="J245" s="82">
        <v>50.0</v>
      </c>
      <c r="K245" s="82">
        <f t="shared" ref="K245:K246" si="5">J245/I245</f>
        <v>12.5</v>
      </c>
      <c r="L245" s="82" t="s">
        <v>90</v>
      </c>
    </row>
    <row r="246" ht="15.0" customHeight="1">
      <c r="A246" s="78" t="s">
        <v>1827</v>
      </c>
      <c r="B246" s="82" t="s">
        <v>1828</v>
      </c>
      <c r="C246" s="82" t="s">
        <v>52</v>
      </c>
      <c r="D246" s="82" t="s">
        <v>1825</v>
      </c>
      <c r="E246" s="159" t="s">
        <v>1826</v>
      </c>
      <c r="F246" s="148" t="s">
        <v>314</v>
      </c>
      <c r="G246" s="82">
        <v>4.0</v>
      </c>
      <c r="H246" s="82">
        <v>4.0</v>
      </c>
      <c r="I246" s="82">
        <v>4.0</v>
      </c>
      <c r="J246" s="82">
        <v>50.0</v>
      </c>
      <c r="K246" s="82">
        <f t="shared" si="5"/>
        <v>12.5</v>
      </c>
      <c r="L246" s="82" t="s">
        <v>90</v>
      </c>
    </row>
    <row r="247" ht="15.0" customHeight="1">
      <c r="A247" s="82" t="s">
        <v>1829</v>
      </c>
      <c r="B247" s="78" t="s">
        <v>1830</v>
      </c>
      <c r="C247" s="82" t="s">
        <v>52</v>
      </c>
      <c r="D247" s="82" t="s">
        <v>1831</v>
      </c>
      <c r="E247" s="79" t="s">
        <v>1832</v>
      </c>
      <c r="F247" s="160" t="s">
        <v>1833</v>
      </c>
      <c r="G247" s="82">
        <v>4.0</v>
      </c>
      <c r="H247" s="82">
        <v>3.0</v>
      </c>
      <c r="I247" s="82">
        <v>4.0</v>
      </c>
      <c r="J247" s="152">
        <v>50.0</v>
      </c>
      <c r="K247" s="84">
        <f>J247/H247</f>
        <v>16.66666667</v>
      </c>
      <c r="L247" s="82" t="s">
        <v>90</v>
      </c>
    </row>
    <row r="248" ht="15.0" customHeight="1">
      <c r="A248" s="78" t="s">
        <v>1834</v>
      </c>
      <c r="B248" s="78" t="s">
        <v>243</v>
      </c>
      <c r="C248" s="82" t="s">
        <v>52</v>
      </c>
      <c r="D248" s="82" t="s">
        <v>1835</v>
      </c>
      <c r="E248" s="79" t="s">
        <v>1836</v>
      </c>
      <c r="F248" s="160" t="s">
        <v>1833</v>
      </c>
      <c r="G248" s="82">
        <v>5.0</v>
      </c>
      <c r="H248" s="82">
        <v>5.0</v>
      </c>
      <c r="I248" s="82">
        <v>5.0</v>
      </c>
      <c r="J248" s="152">
        <v>50.0</v>
      </c>
      <c r="K248" s="84">
        <f t="shared" ref="K248:K253" si="6">J248/I248</f>
        <v>10</v>
      </c>
      <c r="L248" s="82" t="s">
        <v>90</v>
      </c>
    </row>
    <row r="249" ht="15.0" customHeight="1">
      <c r="A249" s="82" t="s">
        <v>1837</v>
      </c>
      <c r="B249" s="82" t="s">
        <v>1838</v>
      </c>
      <c r="C249" s="82" t="s">
        <v>52</v>
      </c>
      <c r="D249" s="82" t="s">
        <v>1835</v>
      </c>
      <c r="E249" s="82" t="s">
        <v>1836</v>
      </c>
      <c r="F249" s="160" t="s">
        <v>1256</v>
      </c>
      <c r="G249" s="82">
        <v>4.0</v>
      </c>
      <c r="H249" s="82">
        <v>4.0</v>
      </c>
      <c r="I249" s="82">
        <v>4.0</v>
      </c>
      <c r="J249" s="152">
        <v>50.0</v>
      </c>
      <c r="K249" s="84">
        <f t="shared" si="6"/>
        <v>12.5</v>
      </c>
      <c r="L249" s="82" t="s">
        <v>90</v>
      </c>
    </row>
    <row r="250" ht="15.0" customHeight="1">
      <c r="A250" s="82" t="s">
        <v>1839</v>
      </c>
      <c r="B250" s="82" t="s">
        <v>1840</v>
      </c>
      <c r="C250" s="82" t="s">
        <v>52</v>
      </c>
      <c r="D250" s="82" t="s">
        <v>1841</v>
      </c>
      <c r="E250" s="159" t="s">
        <v>1842</v>
      </c>
      <c r="F250" s="160" t="s">
        <v>314</v>
      </c>
      <c r="G250" s="82">
        <v>4.0</v>
      </c>
      <c r="H250" s="82">
        <v>4.0</v>
      </c>
      <c r="I250" s="82">
        <v>4.0</v>
      </c>
      <c r="J250" s="152">
        <v>50.0</v>
      </c>
      <c r="K250" s="84">
        <f t="shared" si="6"/>
        <v>12.5</v>
      </c>
      <c r="L250" s="82" t="s">
        <v>90</v>
      </c>
    </row>
    <row r="251" ht="15.0" customHeight="1">
      <c r="A251" s="82" t="s">
        <v>1824</v>
      </c>
      <c r="B251" s="78" t="s">
        <v>1788</v>
      </c>
      <c r="C251" s="82" t="s">
        <v>52</v>
      </c>
      <c r="D251" s="82" t="s">
        <v>1843</v>
      </c>
      <c r="E251" s="159" t="s">
        <v>1844</v>
      </c>
      <c r="F251" s="160" t="s">
        <v>314</v>
      </c>
      <c r="G251" s="82">
        <v>4.0</v>
      </c>
      <c r="H251" s="82">
        <v>4.0</v>
      </c>
      <c r="I251" s="82">
        <v>4.0</v>
      </c>
      <c r="J251" s="152">
        <v>50.0</v>
      </c>
      <c r="K251" s="84">
        <f t="shared" si="6"/>
        <v>12.5</v>
      </c>
      <c r="L251" s="82" t="s">
        <v>90</v>
      </c>
    </row>
    <row r="252" ht="15.0" customHeight="1">
      <c r="A252" s="82" t="s">
        <v>1824</v>
      </c>
      <c r="B252" s="78" t="s">
        <v>1788</v>
      </c>
      <c r="C252" s="82" t="s">
        <v>52</v>
      </c>
      <c r="D252" s="82" t="s">
        <v>1845</v>
      </c>
      <c r="E252" s="159" t="s">
        <v>1846</v>
      </c>
      <c r="F252" s="160" t="s">
        <v>314</v>
      </c>
      <c r="G252" s="82">
        <v>4.0</v>
      </c>
      <c r="H252" s="82">
        <v>4.0</v>
      </c>
      <c r="I252" s="82">
        <v>4.0</v>
      </c>
      <c r="J252" s="152">
        <v>50.0</v>
      </c>
      <c r="K252" s="84">
        <f t="shared" si="6"/>
        <v>12.5</v>
      </c>
      <c r="L252" s="82" t="s">
        <v>90</v>
      </c>
    </row>
    <row r="253" ht="15.0" customHeight="1">
      <c r="A253" s="82" t="s">
        <v>1824</v>
      </c>
      <c r="B253" s="78" t="s">
        <v>1788</v>
      </c>
      <c r="C253" s="82" t="s">
        <v>52</v>
      </c>
      <c r="D253" s="82" t="s">
        <v>1847</v>
      </c>
      <c r="E253" s="159" t="s">
        <v>1848</v>
      </c>
      <c r="F253" s="160" t="s">
        <v>314</v>
      </c>
      <c r="G253" s="86">
        <v>4.0</v>
      </c>
      <c r="H253" s="86">
        <v>4.0</v>
      </c>
      <c r="I253" s="86">
        <v>4.0</v>
      </c>
      <c r="J253" s="152">
        <v>50.0</v>
      </c>
      <c r="K253" s="84">
        <f t="shared" si="6"/>
        <v>12.5</v>
      </c>
      <c r="L253" s="82" t="s">
        <v>90</v>
      </c>
    </row>
    <row r="254" ht="15.75" customHeight="1">
      <c r="A254" s="148" t="s">
        <v>1849</v>
      </c>
      <c r="B254" s="148" t="s">
        <v>1850</v>
      </c>
      <c r="C254" s="148" t="s">
        <v>52</v>
      </c>
      <c r="D254" s="148" t="s">
        <v>1851</v>
      </c>
      <c r="E254" s="161" t="s">
        <v>1852</v>
      </c>
      <c r="F254" s="160" t="s">
        <v>314</v>
      </c>
      <c r="G254" s="160">
        <v>2.0</v>
      </c>
      <c r="H254" s="160">
        <v>1.0</v>
      </c>
      <c r="I254" s="160">
        <v>6.0</v>
      </c>
      <c r="J254" s="160">
        <v>50.0</v>
      </c>
      <c r="K254" s="160">
        <f t="shared" ref="K254:K258" si="7">50/2</f>
        <v>25</v>
      </c>
      <c r="L254" s="82" t="s">
        <v>92</v>
      </c>
    </row>
    <row r="255" ht="15.75" customHeight="1">
      <c r="A255" s="148" t="s">
        <v>1849</v>
      </c>
      <c r="B255" s="148" t="s">
        <v>1850</v>
      </c>
      <c r="C255" s="148" t="s">
        <v>52</v>
      </c>
      <c r="D255" s="148" t="s">
        <v>1853</v>
      </c>
      <c r="E255" s="161" t="s">
        <v>1854</v>
      </c>
      <c r="F255" s="160" t="s">
        <v>314</v>
      </c>
      <c r="G255" s="160">
        <v>2.0</v>
      </c>
      <c r="H255" s="160">
        <v>1.0</v>
      </c>
      <c r="I255" s="160">
        <v>6.0</v>
      </c>
      <c r="J255" s="160">
        <v>50.0</v>
      </c>
      <c r="K255" s="160">
        <f t="shared" si="7"/>
        <v>25</v>
      </c>
      <c r="L255" s="82" t="s">
        <v>92</v>
      </c>
    </row>
    <row r="256" ht="15.75" customHeight="1">
      <c r="A256" s="148" t="s">
        <v>1849</v>
      </c>
      <c r="B256" s="148" t="s">
        <v>1850</v>
      </c>
      <c r="C256" s="148" t="s">
        <v>52</v>
      </c>
      <c r="D256" s="148" t="s">
        <v>1855</v>
      </c>
      <c r="E256" s="161" t="s">
        <v>1856</v>
      </c>
      <c r="F256" s="160" t="s">
        <v>314</v>
      </c>
      <c r="G256" s="160">
        <v>2.0</v>
      </c>
      <c r="H256" s="160">
        <v>1.0</v>
      </c>
      <c r="I256" s="160">
        <v>6.0</v>
      </c>
      <c r="J256" s="160">
        <v>50.0</v>
      </c>
      <c r="K256" s="160">
        <f t="shared" si="7"/>
        <v>25</v>
      </c>
      <c r="L256" s="82" t="s">
        <v>92</v>
      </c>
    </row>
    <row r="257" ht="15.75" customHeight="1">
      <c r="A257" s="148" t="s">
        <v>1849</v>
      </c>
      <c r="B257" s="148" t="s">
        <v>1850</v>
      </c>
      <c r="C257" s="148" t="s">
        <v>52</v>
      </c>
      <c r="D257" s="148" t="s">
        <v>1857</v>
      </c>
      <c r="E257" s="161" t="s">
        <v>1858</v>
      </c>
      <c r="F257" s="160" t="s">
        <v>1264</v>
      </c>
      <c r="G257" s="160">
        <v>2.0</v>
      </c>
      <c r="H257" s="160">
        <v>1.0</v>
      </c>
      <c r="I257" s="160">
        <v>6.0</v>
      </c>
      <c r="J257" s="160">
        <v>50.0</v>
      </c>
      <c r="K257" s="160">
        <f t="shared" si="7"/>
        <v>25</v>
      </c>
      <c r="L257" s="82" t="s">
        <v>92</v>
      </c>
    </row>
    <row r="258" ht="15.75" customHeight="1">
      <c r="A258" s="148" t="s">
        <v>1849</v>
      </c>
      <c r="B258" s="148" t="s">
        <v>1850</v>
      </c>
      <c r="C258" s="148" t="s">
        <v>52</v>
      </c>
      <c r="D258" s="148" t="s">
        <v>1859</v>
      </c>
      <c r="E258" s="161" t="s">
        <v>1860</v>
      </c>
      <c r="F258" s="160" t="s">
        <v>1264</v>
      </c>
      <c r="G258" s="160" t="s">
        <v>1861</v>
      </c>
      <c r="H258" s="160">
        <v>1.0</v>
      </c>
      <c r="I258" s="160">
        <v>6.0</v>
      </c>
      <c r="J258" s="160">
        <v>50.0</v>
      </c>
      <c r="K258" s="160">
        <f t="shared" si="7"/>
        <v>25</v>
      </c>
      <c r="L258" s="82" t="s">
        <v>92</v>
      </c>
    </row>
    <row r="259" ht="15.75" customHeight="1">
      <c r="A259" s="148" t="s">
        <v>1862</v>
      </c>
      <c r="B259" s="148" t="s">
        <v>1863</v>
      </c>
      <c r="C259" s="148" t="s">
        <v>52</v>
      </c>
      <c r="D259" s="148" t="s">
        <v>1864</v>
      </c>
      <c r="E259" s="161" t="s">
        <v>1852</v>
      </c>
      <c r="F259" s="160" t="s">
        <v>314</v>
      </c>
      <c r="G259" s="160">
        <v>3.0</v>
      </c>
      <c r="H259" s="160">
        <v>1.0</v>
      </c>
      <c r="I259" s="160">
        <v>4.0</v>
      </c>
      <c r="J259" s="160">
        <v>50.0</v>
      </c>
      <c r="K259" s="162">
        <f>50/4</f>
        <v>12.5</v>
      </c>
      <c r="L259" s="82" t="s">
        <v>92</v>
      </c>
    </row>
    <row r="260" ht="15.0" customHeight="1">
      <c r="A260" s="82" t="s">
        <v>1865</v>
      </c>
      <c r="B260" s="78" t="s">
        <v>1866</v>
      </c>
      <c r="C260" s="82" t="s">
        <v>52</v>
      </c>
      <c r="D260" s="82" t="s">
        <v>1867</v>
      </c>
      <c r="E260" s="82" t="s">
        <v>1868</v>
      </c>
      <c r="F260" s="82" t="s">
        <v>1264</v>
      </c>
      <c r="G260" s="82">
        <v>2.0</v>
      </c>
      <c r="H260" s="82">
        <v>2.0</v>
      </c>
      <c r="I260" s="82">
        <v>2.0</v>
      </c>
      <c r="J260" s="82">
        <v>50.0</v>
      </c>
      <c r="K260" s="82">
        <v>25.0</v>
      </c>
      <c r="L260" s="82" t="s">
        <v>72</v>
      </c>
    </row>
    <row r="261" ht="15.0" customHeight="1">
      <c r="A261" s="82" t="s">
        <v>1865</v>
      </c>
      <c r="B261" s="78" t="s">
        <v>1866</v>
      </c>
      <c r="C261" s="82" t="s">
        <v>52</v>
      </c>
      <c r="D261" s="82" t="s">
        <v>1869</v>
      </c>
      <c r="E261" s="82" t="s">
        <v>1870</v>
      </c>
      <c r="F261" s="86" t="s">
        <v>259</v>
      </c>
      <c r="G261" s="82">
        <v>2.0</v>
      </c>
      <c r="H261" s="82">
        <v>2.0</v>
      </c>
      <c r="I261" s="82">
        <v>2.0</v>
      </c>
      <c r="J261" s="82">
        <v>50.0</v>
      </c>
      <c r="K261" s="82">
        <v>25.0</v>
      </c>
      <c r="L261" s="82" t="s">
        <v>72</v>
      </c>
    </row>
    <row r="262" ht="15.0" customHeight="1">
      <c r="A262" s="82" t="s">
        <v>1298</v>
      </c>
      <c r="B262" s="78" t="s">
        <v>1299</v>
      </c>
      <c r="C262" s="82" t="s">
        <v>52</v>
      </c>
      <c r="D262" s="82" t="s">
        <v>1300</v>
      </c>
      <c r="E262" s="82" t="s">
        <v>1301</v>
      </c>
      <c r="F262" s="82" t="s">
        <v>1302</v>
      </c>
      <c r="G262" s="82">
        <v>3.0</v>
      </c>
      <c r="H262" s="82">
        <v>3.0</v>
      </c>
      <c r="I262" s="82">
        <v>3.0</v>
      </c>
      <c r="J262" s="82">
        <v>50.0</v>
      </c>
      <c r="K262" s="82">
        <v>16.67</v>
      </c>
      <c r="L262" s="82" t="s">
        <v>60</v>
      </c>
    </row>
    <row r="263" ht="15.0" customHeight="1">
      <c r="A263" s="82" t="s">
        <v>1298</v>
      </c>
      <c r="B263" s="78" t="s">
        <v>1299</v>
      </c>
      <c r="C263" s="82" t="s">
        <v>52</v>
      </c>
      <c r="D263" s="82" t="s">
        <v>1303</v>
      </c>
      <c r="E263" s="82" t="s">
        <v>1304</v>
      </c>
      <c r="F263" s="82" t="s">
        <v>1305</v>
      </c>
      <c r="G263" s="82">
        <v>3.0</v>
      </c>
      <c r="H263" s="82">
        <v>3.0</v>
      </c>
      <c r="I263" s="82">
        <v>3.0</v>
      </c>
      <c r="J263" s="82">
        <v>50.0</v>
      </c>
      <c r="K263" s="82">
        <v>16.67</v>
      </c>
      <c r="L263" s="82" t="s">
        <v>60</v>
      </c>
    </row>
    <row r="264" ht="15.0" customHeight="1">
      <c r="A264" s="82" t="s">
        <v>1298</v>
      </c>
      <c r="B264" s="78" t="s">
        <v>1299</v>
      </c>
      <c r="C264" s="82" t="s">
        <v>52</v>
      </c>
      <c r="D264" s="82" t="s">
        <v>1306</v>
      </c>
      <c r="E264" s="82" t="s">
        <v>1307</v>
      </c>
      <c r="F264" s="82" t="s">
        <v>1308</v>
      </c>
      <c r="G264" s="82">
        <v>3.0</v>
      </c>
      <c r="H264" s="82">
        <v>3.0</v>
      </c>
      <c r="I264" s="82">
        <v>3.0</v>
      </c>
      <c r="J264" s="82">
        <v>50.0</v>
      </c>
      <c r="K264" s="82">
        <v>16.67</v>
      </c>
      <c r="L264" s="82" t="s">
        <v>60</v>
      </c>
    </row>
    <row r="265" ht="15.0" customHeight="1">
      <c r="A265" s="82" t="s">
        <v>1298</v>
      </c>
      <c r="B265" s="78" t="s">
        <v>1299</v>
      </c>
      <c r="C265" s="82" t="s">
        <v>52</v>
      </c>
      <c r="D265" s="82" t="s">
        <v>1309</v>
      </c>
      <c r="E265" s="95" t="s">
        <v>1310</v>
      </c>
      <c r="F265" s="82" t="s">
        <v>1311</v>
      </c>
      <c r="G265" s="82">
        <v>3.0</v>
      </c>
      <c r="H265" s="82">
        <v>3.0</v>
      </c>
      <c r="I265" s="82">
        <v>3.0</v>
      </c>
      <c r="J265" s="82">
        <v>50.0</v>
      </c>
      <c r="K265" s="82">
        <v>16.67</v>
      </c>
      <c r="L265" s="82" t="s">
        <v>60</v>
      </c>
    </row>
    <row r="266" ht="15.0" customHeight="1">
      <c r="A266" s="82" t="s">
        <v>1298</v>
      </c>
      <c r="B266" s="78" t="s">
        <v>1299</v>
      </c>
      <c r="C266" s="82" t="s">
        <v>52</v>
      </c>
      <c r="D266" s="82" t="s">
        <v>1312</v>
      </c>
      <c r="E266" s="82" t="s">
        <v>1313</v>
      </c>
      <c r="F266" s="82" t="s">
        <v>1314</v>
      </c>
      <c r="G266" s="82">
        <v>3.0</v>
      </c>
      <c r="H266" s="82">
        <v>3.0</v>
      </c>
      <c r="I266" s="82">
        <v>3.0</v>
      </c>
      <c r="J266" s="82">
        <v>50.0</v>
      </c>
      <c r="K266" s="82">
        <v>16.67</v>
      </c>
      <c r="L266" s="82" t="s">
        <v>60</v>
      </c>
    </row>
    <row r="267" ht="15.0" customHeight="1">
      <c r="A267" s="82" t="s">
        <v>1241</v>
      </c>
      <c r="B267" s="78" t="s">
        <v>1237</v>
      </c>
      <c r="C267" s="82" t="s">
        <v>52</v>
      </c>
      <c r="D267" s="82" t="s">
        <v>1238</v>
      </c>
      <c r="E267" s="82" t="s">
        <v>1239</v>
      </c>
      <c r="F267" s="82" t="s">
        <v>1240</v>
      </c>
      <c r="G267" s="82">
        <v>8.0</v>
      </c>
      <c r="H267" s="82">
        <v>8.0</v>
      </c>
      <c r="I267" s="82">
        <v>8.0</v>
      </c>
      <c r="J267" s="82">
        <v>50.0</v>
      </c>
      <c r="K267" s="82">
        <v>6.25</v>
      </c>
      <c r="L267" s="82" t="s">
        <v>60</v>
      </c>
    </row>
    <row r="268" ht="15.0" customHeight="1">
      <c r="A268" s="82" t="s">
        <v>1241</v>
      </c>
      <c r="B268" s="78" t="s">
        <v>1237</v>
      </c>
      <c r="C268" s="82" t="s">
        <v>52</v>
      </c>
      <c r="D268" s="82" t="s">
        <v>1242</v>
      </c>
      <c r="E268" s="82" t="s">
        <v>1243</v>
      </c>
      <c r="F268" s="82" t="s">
        <v>1244</v>
      </c>
      <c r="G268" s="82">
        <v>8.0</v>
      </c>
      <c r="H268" s="82">
        <v>8.0</v>
      </c>
      <c r="I268" s="82">
        <v>8.0</v>
      </c>
      <c r="J268" s="82">
        <v>50.0</v>
      </c>
      <c r="K268" s="82">
        <v>6.25</v>
      </c>
      <c r="L268" s="82" t="s">
        <v>60</v>
      </c>
    </row>
    <row r="269" ht="15.0" customHeight="1">
      <c r="A269" s="82" t="s">
        <v>1247</v>
      </c>
      <c r="B269" s="82" t="s">
        <v>1248</v>
      </c>
      <c r="C269" s="82" t="s">
        <v>52</v>
      </c>
      <c r="D269" s="82" t="s">
        <v>1871</v>
      </c>
      <c r="E269" s="82" t="s">
        <v>1250</v>
      </c>
      <c r="F269" s="82" t="s">
        <v>1251</v>
      </c>
      <c r="G269" s="82">
        <v>4.0</v>
      </c>
      <c r="H269" s="82">
        <v>4.0</v>
      </c>
      <c r="I269" s="82">
        <v>4.0</v>
      </c>
      <c r="J269" s="82">
        <v>50.0</v>
      </c>
      <c r="K269" s="82">
        <v>12.5</v>
      </c>
      <c r="L269" s="82" t="s">
        <v>60</v>
      </c>
    </row>
    <row r="270" ht="15.0" customHeight="1">
      <c r="A270" s="82" t="s">
        <v>1316</v>
      </c>
      <c r="B270" s="82" t="s">
        <v>1317</v>
      </c>
      <c r="C270" s="82" t="s">
        <v>52</v>
      </c>
      <c r="D270" s="82" t="s">
        <v>1318</v>
      </c>
      <c r="E270" s="82" t="s">
        <v>1319</v>
      </c>
      <c r="F270" s="82" t="s">
        <v>1320</v>
      </c>
      <c r="G270" s="82">
        <v>3.0</v>
      </c>
      <c r="H270" s="82">
        <v>3.0</v>
      </c>
      <c r="I270" s="82">
        <v>3.0</v>
      </c>
      <c r="J270" s="82">
        <v>50.0</v>
      </c>
      <c r="K270" s="82">
        <v>16.67</v>
      </c>
      <c r="L270" s="82" t="s">
        <v>60</v>
      </c>
    </row>
    <row r="271" ht="15.0" customHeight="1">
      <c r="A271" s="82" t="s">
        <v>1321</v>
      </c>
      <c r="B271" s="82" t="s">
        <v>1322</v>
      </c>
      <c r="C271" s="82" t="s">
        <v>52</v>
      </c>
      <c r="D271" s="82" t="s">
        <v>1323</v>
      </c>
      <c r="E271" s="82" t="s">
        <v>1324</v>
      </c>
      <c r="F271" s="82" t="s">
        <v>1325</v>
      </c>
      <c r="G271" s="82">
        <v>3.0</v>
      </c>
      <c r="H271" s="82">
        <v>3.0</v>
      </c>
      <c r="I271" s="82">
        <v>3.0</v>
      </c>
      <c r="J271" s="82">
        <v>50.0</v>
      </c>
      <c r="K271" s="82">
        <v>16.67</v>
      </c>
      <c r="L271" s="82" t="s">
        <v>60</v>
      </c>
    </row>
    <row r="272" ht="15.0" customHeight="1">
      <c r="A272" s="82" t="s">
        <v>1265</v>
      </c>
      <c r="B272" s="82" t="s">
        <v>1266</v>
      </c>
      <c r="C272" s="82" t="s">
        <v>52</v>
      </c>
      <c r="D272" s="82" t="s">
        <v>1267</v>
      </c>
      <c r="E272" s="95" t="s">
        <v>1268</v>
      </c>
      <c r="F272" s="82" t="s">
        <v>1269</v>
      </c>
      <c r="G272" s="82">
        <v>5.0</v>
      </c>
      <c r="H272" s="82">
        <v>5.0</v>
      </c>
      <c r="I272" s="82">
        <v>5.0</v>
      </c>
      <c r="J272" s="82">
        <v>50.0</v>
      </c>
      <c r="K272" s="82">
        <v>10.0</v>
      </c>
      <c r="L272" s="82" t="s">
        <v>60</v>
      </c>
    </row>
    <row r="273" ht="15.0" customHeight="1">
      <c r="A273" s="82" t="s">
        <v>1326</v>
      </c>
      <c r="B273" s="78" t="s">
        <v>1327</v>
      </c>
      <c r="C273" s="82" t="s">
        <v>52</v>
      </c>
      <c r="D273" s="82" t="s">
        <v>1328</v>
      </c>
      <c r="E273" s="82" t="s">
        <v>1329</v>
      </c>
      <c r="F273" s="82" t="s">
        <v>1330</v>
      </c>
      <c r="G273" s="82">
        <v>3.0</v>
      </c>
      <c r="H273" s="82">
        <v>3.0</v>
      </c>
      <c r="I273" s="82">
        <v>3.0</v>
      </c>
      <c r="J273" s="82">
        <v>50.0</v>
      </c>
      <c r="K273" s="82">
        <v>16.67</v>
      </c>
      <c r="L273" s="82" t="s">
        <v>60</v>
      </c>
    </row>
    <row r="274" ht="15.0" customHeight="1">
      <c r="A274" s="82" t="s">
        <v>1331</v>
      </c>
      <c r="B274" s="82" t="s">
        <v>1332</v>
      </c>
      <c r="C274" s="82" t="s">
        <v>52</v>
      </c>
      <c r="D274" s="82" t="s">
        <v>1333</v>
      </c>
      <c r="E274" s="82" t="s">
        <v>1334</v>
      </c>
      <c r="F274" s="82" t="s">
        <v>1335</v>
      </c>
      <c r="G274" s="82">
        <v>4.0</v>
      </c>
      <c r="H274" s="82">
        <v>4.0</v>
      </c>
      <c r="I274" s="82">
        <v>4.0</v>
      </c>
      <c r="J274" s="82">
        <v>50.0</v>
      </c>
      <c r="K274" s="82">
        <v>12.5</v>
      </c>
      <c r="L274" s="82" t="s">
        <v>60</v>
      </c>
    </row>
    <row r="275" ht="15.0" customHeight="1">
      <c r="A275" s="82" t="s">
        <v>1336</v>
      </c>
      <c r="B275" s="78" t="s">
        <v>243</v>
      </c>
      <c r="C275" s="82" t="s">
        <v>52</v>
      </c>
      <c r="D275" s="82" t="s">
        <v>1337</v>
      </c>
      <c r="E275" s="82" t="s">
        <v>1338</v>
      </c>
      <c r="F275" s="82" t="s">
        <v>1339</v>
      </c>
      <c r="G275" s="82">
        <v>5.0</v>
      </c>
      <c r="H275" s="82">
        <v>5.0</v>
      </c>
      <c r="I275" s="82">
        <v>5.0</v>
      </c>
      <c r="J275" s="82">
        <v>50.0</v>
      </c>
      <c r="K275" s="82">
        <v>10.0</v>
      </c>
      <c r="L275" s="82" t="s">
        <v>60</v>
      </c>
    </row>
    <row r="276" ht="15.0" customHeight="1">
      <c r="A276" s="82" t="s">
        <v>1281</v>
      </c>
      <c r="B276" s="78" t="s">
        <v>1282</v>
      </c>
      <c r="C276" s="82" t="s">
        <v>52</v>
      </c>
      <c r="D276" s="82" t="s">
        <v>1285</v>
      </c>
      <c r="E276" s="82" t="s">
        <v>1286</v>
      </c>
      <c r="F276" s="82" t="s">
        <v>1287</v>
      </c>
      <c r="G276" s="82">
        <v>8.0</v>
      </c>
      <c r="H276" s="82">
        <v>8.0</v>
      </c>
      <c r="I276" s="82">
        <v>8.0</v>
      </c>
      <c r="J276" s="82">
        <v>50.0</v>
      </c>
      <c r="K276" s="82">
        <v>6.25</v>
      </c>
      <c r="L276" s="82" t="s">
        <v>60</v>
      </c>
    </row>
    <row r="277" ht="15.0" customHeight="1">
      <c r="A277" s="82" t="s">
        <v>1340</v>
      </c>
      <c r="B277" s="78" t="s">
        <v>1341</v>
      </c>
      <c r="C277" s="82" t="s">
        <v>52</v>
      </c>
      <c r="D277" s="82" t="s">
        <v>1342</v>
      </c>
      <c r="E277" s="82" t="s">
        <v>1343</v>
      </c>
      <c r="F277" s="82" t="s">
        <v>1344</v>
      </c>
      <c r="G277" s="82">
        <v>3.0</v>
      </c>
      <c r="H277" s="82">
        <v>3.0</v>
      </c>
      <c r="I277" s="82">
        <v>3.0</v>
      </c>
      <c r="J277" s="82">
        <v>50.0</v>
      </c>
      <c r="K277" s="82">
        <v>16.67</v>
      </c>
      <c r="L277" s="82" t="s">
        <v>60</v>
      </c>
    </row>
    <row r="278" ht="15.0" customHeight="1">
      <c r="A278" s="82" t="s">
        <v>1345</v>
      </c>
      <c r="B278" s="78" t="s">
        <v>1346</v>
      </c>
      <c r="C278" s="82" t="s">
        <v>52</v>
      </c>
      <c r="D278" s="82" t="s">
        <v>1347</v>
      </c>
      <c r="E278" s="82" t="s">
        <v>1348</v>
      </c>
      <c r="F278" s="82" t="s">
        <v>1349</v>
      </c>
      <c r="G278" s="82">
        <v>3.0</v>
      </c>
      <c r="H278" s="82">
        <v>3.0</v>
      </c>
      <c r="I278" s="82">
        <v>3.0</v>
      </c>
      <c r="J278" s="82">
        <v>50.0</v>
      </c>
      <c r="K278" s="82">
        <v>16.67</v>
      </c>
      <c r="L278" s="82" t="s">
        <v>60</v>
      </c>
    </row>
    <row r="279" ht="15.0" customHeight="1">
      <c r="A279" s="82" t="s">
        <v>1340</v>
      </c>
      <c r="B279" s="78" t="s">
        <v>1350</v>
      </c>
      <c r="C279" s="82" t="s">
        <v>52</v>
      </c>
      <c r="D279" s="82" t="s">
        <v>1872</v>
      </c>
      <c r="E279" s="82" t="s">
        <v>1313</v>
      </c>
      <c r="F279" s="82" t="s">
        <v>1314</v>
      </c>
      <c r="G279" s="82">
        <v>3.0</v>
      </c>
      <c r="H279" s="82">
        <v>3.0</v>
      </c>
      <c r="I279" s="82">
        <v>3.0</v>
      </c>
      <c r="J279" s="82">
        <v>50.0</v>
      </c>
      <c r="K279" s="82">
        <v>16.67</v>
      </c>
      <c r="L279" s="82" t="s">
        <v>60</v>
      </c>
    </row>
    <row r="280" ht="15.0" customHeight="1">
      <c r="A280" s="82" t="s">
        <v>1272</v>
      </c>
      <c r="B280" s="78" t="s">
        <v>1273</v>
      </c>
      <c r="C280" s="82" t="s">
        <v>52</v>
      </c>
      <c r="D280" s="82" t="s">
        <v>1274</v>
      </c>
      <c r="E280" s="82" t="s">
        <v>1275</v>
      </c>
      <c r="F280" s="82" t="s">
        <v>1276</v>
      </c>
      <c r="G280" s="82">
        <v>7.0</v>
      </c>
      <c r="H280" s="82">
        <v>7.0</v>
      </c>
      <c r="I280" s="82">
        <v>7.0</v>
      </c>
      <c r="J280" s="82">
        <v>50.0</v>
      </c>
      <c r="K280" s="82">
        <v>7.14</v>
      </c>
      <c r="L280" s="82" t="s">
        <v>60</v>
      </c>
    </row>
    <row r="281" ht="15.0" customHeight="1">
      <c r="A281" s="82" t="s">
        <v>1352</v>
      </c>
      <c r="B281" s="78" t="s">
        <v>1353</v>
      </c>
      <c r="C281" s="82" t="s">
        <v>52</v>
      </c>
      <c r="D281" s="82" t="s">
        <v>1354</v>
      </c>
      <c r="E281" s="82" t="s">
        <v>1250</v>
      </c>
      <c r="F281" s="82" t="s">
        <v>1251</v>
      </c>
      <c r="G281" s="82">
        <v>3.0</v>
      </c>
      <c r="H281" s="82">
        <v>3.0</v>
      </c>
      <c r="I281" s="82">
        <v>3.0</v>
      </c>
      <c r="J281" s="82">
        <v>50.0</v>
      </c>
      <c r="K281" s="82">
        <v>16.67</v>
      </c>
      <c r="L281" s="82" t="s">
        <v>60</v>
      </c>
    </row>
    <row r="282" ht="15.0" customHeight="1">
      <c r="A282" s="82" t="s">
        <v>1873</v>
      </c>
      <c r="B282" s="78" t="s">
        <v>1874</v>
      </c>
      <c r="C282" s="82" t="s">
        <v>52</v>
      </c>
      <c r="D282" s="82" t="s">
        <v>1875</v>
      </c>
      <c r="E282" s="82" t="s">
        <v>1876</v>
      </c>
      <c r="F282" s="82" t="s">
        <v>1877</v>
      </c>
      <c r="G282" s="82">
        <v>6.0</v>
      </c>
      <c r="H282" s="82">
        <v>6.0</v>
      </c>
      <c r="I282" s="82">
        <v>6.0</v>
      </c>
      <c r="J282" s="82">
        <v>50.0</v>
      </c>
      <c r="K282" s="82">
        <v>8.33</v>
      </c>
      <c r="L282" s="82" t="s">
        <v>60</v>
      </c>
    </row>
    <row r="283" ht="15.0" customHeight="1">
      <c r="A283" s="82" t="s">
        <v>1873</v>
      </c>
      <c r="B283" s="78" t="s">
        <v>1874</v>
      </c>
      <c r="C283" s="82" t="s">
        <v>52</v>
      </c>
      <c r="D283" s="82" t="s">
        <v>1878</v>
      </c>
      <c r="E283" s="82" t="s">
        <v>1879</v>
      </c>
      <c r="F283" s="82" t="s">
        <v>1880</v>
      </c>
      <c r="G283" s="82">
        <v>6.0</v>
      </c>
      <c r="H283" s="82">
        <v>6.0</v>
      </c>
      <c r="I283" s="82">
        <v>6.0</v>
      </c>
      <c r="J283" s="82">
        <v>50.0</v>
      </c>
      <c r="K283" s="82">
        <v>8.33</v>
      </c>
      <c r="L283" s="82" t="s">
        <v>60</v>
      </c>
    </row>
    <row r="284" ht="15.0" customHeight="1">
      <c r="A284" s="82" t="s">
        <v>1873</v>
      </c>
      <c r="B284" s="78" t="s">
        <v>1874</v>
      </c>
      <c r="C284" s="82" t="s">
        <v>52</v>
      </c>
      <c r="D284" s="82" t="s">
        <v>1881</v>
      </c>
      <c r="E284" s="82" t="s">
        <v>1882</v>
      </c>
      <c r="F284" s="82" t="s">
        <v>1883</v>
      </c>
      <c r="G284" s="82">
        <v>6.0</v>
      </c>
      <c r="H284" s="82">
        <v>6.0</v>
      </c>
      <c r="I284" s="82">
        <v>6.0</v>
      </c>
      <c r="J284" s="82">
        <v>50.0</v>
      </c>
      <c r="K284" s="82">
        <v>8.33</v>
      </c>
      <c r="L284" s="82" t="s">
        <v>60</v>
      </c>
    </row>
    <row r="285" ht="15.0" customHeight="1">
      <c r="A285" s="100" t="s">
        <v>1884</v>
      </c>
      <c r="B285" s="100" t="s">
        <v>1885</v>
      </c>
      <c r="C285" s="100" t="s">
        <v>52</v>
      </c>
      <c r="D285" s="82" t="s">
        <v>1886</v>
      </c>
      <c r="E285" s="82" t="s">
        <v>1887</v>
      </c>
      <c r="F285" s="82" t="s">
        <v>1888</v>
      </c>
      <c r="G285" s="82">
        <v>1.0</v>
      </c>
      <c r="H285" s="82">
        <v>1.0</v>
      </c>
      <c r="I285" s="82">
        <v>1.0</v>
      </c>
      <c r="J285" s="82">
        <v>50.0</v>
      </c>
      <c r="K285" s="82">
        <v>50.0</v>
      </c>
      <c r="L285" s="82" t="s">
        <v>60</v>
      </c>
    </row>
    <row r="286" ht="15.0" customHeight="1">
      <c r="A286" s="100" t="s">
        <v>1889</v>
      </c>
      <c r="B286" s="100" t="s">
        <v>1890</v>
      </c>
      <c r="C286" s="100" t="s">
        <v>52</v>
      </c>
      <c r="D286" s="82" t="s">
        <v>1891</v>
      </c>
      <c r="E286" s="82" t="s">
        <v>1892</v>
      </c>
      <c r="F286" s="82" t="s">
        <v>1893</v>
      </c>
      <c r="G286" s="82">
        <v>2.0</v>
      </c>
      <c r="H286" s="82">
        <v>2.0</v>
      </c>
      <c r="I286" s="82">
        <v>2.0</v>
      </c>
      <c r="J286" s="82">
        <v>50.0</v>
      </c>
      <c r="K286" s="82">
        <v>25.0</v>
      </c>
      <c r="L286" s="82" t="s">
        <v>60</v>
      </c>
    </row>
    <row r="287" ht="15.0" customHeight="1">
      <c r="A287" s="100" t="s">
        <v>1889</v>
      </c>
      <c r="B287" s="100" t="s">
        <v>1890</v>
      </c>
      <c r="C287" s="100" t="s">
        <v>52</v>
      </c>
      <c r="D287" s="82" t="s">
        <v>1894</v>
      </c>
      <c r="E287" s="82" t="s">
        <v>1895</v>
      </c>
      <c r="F287" s="82" t="s">
        <v>1896</v>
      </c>
      <c r="G287" s="82">
        <v>2.0</v>
      </c>
      <c r="H287" s="82">
        <v>2.0</v>
      </c>
      <c r="I287" s="82">
        <v>2.0</v>
      </c>
      <c r="J287" s="82">
        <v>50.0</v>
      </c>
      <c r="K287" s="82">
        <v>25.0</v>
      </c>
      <c r="L287" s="82" t="s">
        <v>60</v>
      </c>
    </row>
    <row r="288" ht="15.0" customHeight="1">
      <c r="A288" s="100" t="s">
        <v>1897</v>
      </c>
      <c r="B288" s="100" t="s">
        <v>1898</v>
      </c>
      <c r="C288" s="100" t="s">
        <v>52</v>
      </c>
      <c r="D288" s="82" t="s">
        <v>1899</v>
      </c>
      <c r="E288" s="82" t="s">
        <v>1900</v>
      </c>
      <c r="F288" s="82" t="s">
        <v>1901</v>
      </c>
      <c r="G288" s="82">
        <v>6.0</v>
      </c>
      <c r="H288" s="82">
        <v>6.0</v>
      </c>
      <c r="I288" s="82">
        <v>6.0</v>
      </c>
      <c r="J288" s="82">
        <v>50.0</v>
      </c>
      <c r="K288" s="82">
        <v>8.33</v>
      </c>
      <c r="L288" s="82" t="s">
        <v>60</v>
      </c>
    </row>
    <row r="289" ht="15.0" customHeight="1">
      <c r="A289" s="100" t="s">
        <v>1897</v>
      </c>
      <c r="B289" s="100" t="s">
        <v>1898</v>
      </c>
      <c r="C289" s="100" t="s">
        <v>52</v>
      </c>
      <c r="D289" s="82" t="s">
        <v>1902</v>
      </c>
      <c r="E289" s="82" t="s">
        <v>1903</v>
      </c>
      <c r="F289" s="82" t="s">
        <v>1904</v>
      </c>
      <c r="G289" s="82">
        <v>6.0</v>
      </c>
      <c r="H289" s="82">
        <v>6.0</v>
      </c>
      <c r="I289" s="82">
        <v>6.0</v>
      </c>
      <c r="J289" s="82">
        <v>50.0</v>
      </c>
      <c r="K289" s="82">
        <v>8.33</v>
      </c>
      <c r="L289" s="82" t="s">
        <v>60</v>
      </c>
    </row>
    <row r="290" ht="15.0" customHeight="1">
      <c r="A290" s="100" t="s">
        <v>1905</v>
      </c>
      <c r="B290" s="100" t="s">
        <v>1906</v>
      </c>
      <c r="C290" s="100" t="s">
        <v>52</v>
      </c>
      <c r="D290" s="82" t="s">
        <v>1907</v>
      </c>
      <c r="E290" s="82" t="s">
        <v>1908</v>
      </c>
      <c r="F290" s="82" t="s">
        <v>1909</v>
      </c>
      <c r="G290" s="82">
        <v>8.0</v>
      </c>
      <c r="H290" s="82">
        <v>8.0</v>
      </c>
      <c r="I290" s="82">
        <v>8.0</v>
      </c>
      <c r="J290" s="82">
        <v>50.0</v>
      </c>
      <c r="K290" s="82">
        <v>6.25</v>
      </c>
      <c r="L290" s="82" t="s">
        <v>60</v>
      </c>
    </row>
    <row r="291" ht="15.0" customHeight="1">
      <c r="A291" s="82" t="s">
        <v>1360</v>
      </c>
      <c r="B291" s="78" t="s">
        <v>1361</v>
      </c>
      <c r="C291" s="82" t="s">
        <v>52</v>
      </c>
      <c r="D291" s="82" t="s">
        <v>1362</v>
      </c>
      <c r="E291" s="82" t="s">
        <v>1363</v>
      </c>
      <c r="F291" s="82" t="s">
        <v>1910</v>
      </c>
      <c r="G291" s="82">
        <v>3.0</v>
      </c>
      <c r="H291" s="82">
        <v>3.0</v>
      </c>
      <c r="I291" s="82">
        <v>3.0</v>
      </c>
      <c r="J291" s="82">
        <v>50.0</v>
      </c>
      <c r="K291" s="82">
        <v>16.67</v>
      </c>
      <c r="L291" s="82" t="s">
        <v>60</v>
      </c>
    </row>
    <row r="292" ht="15.0" customHeight="1">
      <c r="A292" s="82" t="s">
        <v>1365</v>
      </c>
      <c r="B292" s="82" t="s">
        <v>1366</v>
      </c>
      <c r="C292" s="82" t="s">
        <v>52</v>
      </c>
      <c r="D292" s="82" t="s">
        <v>1367</v>
      </c>
      <c r="E292" s="82" t="s">
        <v>1368</v>
      </c>
      <c r="F292" s="82" t="s">
        <v>1369</v>
      </c>
      <c r="G292" s="82">
        <v>4.0</v>
      </c>
      <c r="H292" s="82">
        <v>4.0</v>
      </c>
      <c r="I292" s="82">
        <v>4.0</v>
      </c>
      <c r="J292" s="82">
        <v>50.0</v>
      </c>
      <c r="K292" s="82">
        <v>12.5</v>
      </c>
      <c r="L292" s="82" t="s">
        <v>60</v>
      </c>
    </row>
    <row r="293" ht="15.0" customHeight="1">
      <c r="A293" s="82" t="s">
        <v>1911</v>
      </c>
      <c r="B293" s="82" t="s">
        <v>1912</v>
      </c>
      <c r="C293" s="82" t="s">
        <v>52</v>
      </c>
      <c r="D293" s="82" t="s">
        <v>1891</v>
      </c>
      <c r="E293" s="82" t="s">
        <v>1892</v>
      </c>
      <c r="F293" s="82" t="s">
        <v>1893</v>
      </c>
      <c r="G293" s="82">
        <v>4.0</v>
      </c>
      <c r="H293" s="82">
        <v>4.0</v>
      </c>
      <c r="I293" s="82">
        <v>4.0</v>
      </c>
      <c r="J293" s="82">
        <v>50.0</v>
      </c>
      <c r="K293" s="82">
        <v>12.5</v>
      </c>
      <c r="L293" s="82" t="s">
        <v>60</v>
      </c>
    </row>
    <row r="294" ht="15.0" customHeight="1">
      <c r="A294" s="82" t="s">
        <v>1911</v>
      </c>
      <c r="B294" s="82" t="s">
        <v>1912</v>
      </c>
      <c r="C294" s="82" t="s">
        <v>52</v>
      </c>
      <c r="D294" s="82" t="s">
        <v>1362</v>
      </c>
      <c r="E294" s="82" t="s">
        <v>1363</v>
      </c>
      <c r="F294" s="82" t="s">
        <v>1910</v>
      </c>
      <c r="G294" s="82">
        <v>4.0</v>
      </c>
      <c r="H294" s="82">
        <v>4.0</v>
      </c>
      <c r="I294" s="82">
        <v>4.0</v>
      </c>
      <c r="J294" s="82">
        <v>50.0</v>
      </c>
      <c r="K294" s="82">
        <v>12.5</v>
      </c>
      <c r="L294" s="82" t="s">
        <v>60</v>
      </c>
    </row>
    <row r="295" ht="15.0" customHeight="1">
      <c r="A295" s="100" t="s">
        <v>1897</v>
      </c>
      <c r="B295" s="100" t="s">
        <v>1898</v>
      </c>
      <c r="C295" s="100" t="s">
        <v>52</v>
      </c>
      <c r="D295" s="82" t="s">
        <v>1913</v>
      </c>
      <c r="E295" s="82" t="s">
        <v>1914</v>
      </c>
      <c r="F295" s="82" t="s">
        <v>314</v>
      </c>
      <c r="G295" s="82">
        <v>6.0</v>
      </c>
      <c r="H295" s="82">
        <v>6.0</v>
      </c>
      <c r="I295" s="82">
        <v>6.0</v>
      </c>
      <c r="J295" s="82">
        <v>50.0</v>
      </c>
      <c r="K295" s="82">
        <v>8.33</v>
      </c>
      <c r="L295" s="82" t="s">
        <v>60</v>
      </c>
    </row>
    <row r="296" ht="15.0" customHeight="1">
      <c r="A296" s="100" t="s">
        <v>1915</v>
      </c>
      <c r="B296" s="100" t="s">
        <v>1916</v>
      </c>
      <c r="C296" s="100" t="s">
        <v>52</v>
      </c>
      <c r="D296" s="82" t="s">
        <v>1917</v>
      </c>
      <c r="E296" s="82" t="s">
        <v>1918</v>
      </c>
      <c r="F296" s="82" t="s">
        <v>314</v>
      </c>
      <c r="G296" s="82">
        <v>3.0</v>
      </c>
      <c r="H296" s="82">
        <v>3.0</v>
      </c>
      <c r="I296" s="82">
        <v>3.0</v>
      </c>
      <c r="J296" s="82">
        <v>50.0</v>
      </c>
      <c r="K296" s="82">
        <v>16.67</v>
      </c>
      <c r="L296" s="82" t="s">
        <v>60</v>
      </c>
    </row>
    <row r="297" ht="15.0" customHeight="1">
      <c r="A297" s="82" t="s">
        <v>1919</v>
      </c>
      <c r="B297" s="82" t="s">
        <v>335</v>
      </c>
      <c r="C297" s="82" t="s">
        <v>52</v>
      </c>
      <c r="D297" s="82" t="s">
        <v>1920</v>
      </c>
      <c r="E297" s="82" t="s">
        <v>1921</v>
      </c>
      <c r="F297" s="82" t="s">
        <v>314</v>
      </c>
      <c r="G297" s="82">
        <v>3.0</v>
      </c>
      <c r="H297" s="82">
        <v>3.0</v>
      </c>
      <c r="I297" s="82">
        <v>3.0</v>
      </c>
      <c r="J297" s="82">
        <v>50.0</v>
      </c>
      <c r="K297" s="82">
        <v>16.67</v>
      </c>
      <c r="L297" s="82" t="s">
        <v>60</v>
      </c>
    </row>
    <row r="298" ht="15.0" customHeight="1">
      <c r="A298" s="82" t="s">
        <v>1365</v>
      </c>
      <c r="B298" s="82" t="s">
        <v>1366</v>
      </c>
      <c r="C298" s="82" t="s">
        <v>52</v>
      </c>
      <c r="D298" s="82" t="s">
        <v>1370</v>
      </c>
      <c r="E298" s="82" t="s">
        <v>1371</v>
      </c>
      <c r="F298" s="82" t="s">
        <v>314</v>
      </c>
      <c r="G298" s="82">
        <v>4.0</v>
      </c>
      <c r="H298" s="82">
        <v>4.0</v>
      </c>
      <c r="I298" s="82">
        <v>4.0</v>
      </c>
      <c r="J298" s="82">
        <v>50.0</v>
      </c>
      <c r="K298" s="82">
        <v>12.5</v>
      </c>
      <c r="L298" s="82" t="s">
        <v>60</v>
      </c>
    </row>
    <row r="299" ht="15.0" customHeight="1">
      <c r="A299" s="82" t="s">
        <v>1272</v>
      </c>
      <c r="B299" s="78" t="s">
        <v>1273</v>
      </c>
      <c r="C299" s="82" t="s">
        <v>52</v>
      </c>
      <c r="D299" s="82" t="s">
        <v>1277</v>
      </c>
      <c r="E299" s="82" t="s">
        <v>1278</v>
      </c>
      <c r="F299" s="82" t="s">
        <v>314</v>
      </c>
      <c r="G299" s="82">
        <v>7.0</v>
      </c>
      <c r="H299" s="82">
        <v>7.0</v>
      </c>
      <c r="I299" s="82">
        <v>7.0</v>
      </c>
      <c r="J299" s="82">
        <v>50.0</v>
      </c>
      <c r="K299" s="82">
        <v>7.14</v>
      </c>
      <c r="L299" s="82" t="s">
        <v>60</v>
      </c>
    </row>
    <row r="300" ht="15.0" customHeight="1">
      <c r="A300" s="82" t="s">
        <v>1272</v>
      </c>
      <c r="B300" s="78" t="s">
        <v>1273</v>
      </c>
      <c r="C300" s="82" t="s">
        <v>52</v>
      </c>
      <c r="D300" s="82" t="s">
        <v>1279</v>
      </c>
      <c r="E300" s="82" t="s">
        <v>1280</v>
      </c>
      <c r="F300" s="82" t="s">
        <v>314</v>
      </c>
      <c r="G300" s="82">
        <v>7.0</v>
      </c>
      <c r="H300" s="82">
        <v>7.0</v>
      </c>
      <c r="I300" s="82">
        <v>7.0</v>
      </c>
      <c r="J300" s="82">
        <v>50.0</v>
      </c>
      <c r="K300" s="82">
        <v>7.14</v>
      </c>
      <c r="L300" s="82" t="s">
        <v>60</v>
      </c>
    </row>
    <row r="301" ht="15.0" customHeight="1">
      <c r="A301" s="82" t="s">
        <v>1372</v>
      </c>
      <c r="B301" s="82" t="s">
        <v>1373</v>
      </c>
      <c r="C301" s="82" t="s">
        <v>52</v>
      </c>
      <c r="D301" s="82" t="s">
        <v>1374</v>
      </c>
      <c r="E301" s="82" t="s">
        <v>1375</v>
      </c>
      <c r="F301" s="82" t="s">
        <v>314</v>
      </c>
      <c r="G301" s="82">
        <v>4.0</v>
      </c>
      <c r="H301" s="82">
        <v>4.0</v>
      </c>
      <c r="I301" s="82">
        <v>4.0</v>
      </c>
      <c r="J301" s="82">
        <v>50.0</v>
      </c>
      <c r="K301" s="82">
        <v>12.5</v>
      </c>
      <c r="L301" s="82" t="s">
        <v>60</v>
      </c>
    </row>
    <row r="302" ht="15.0" customHeight="1">
      <c r="A302" s="82" t="s">
        <v>1294</v>
      </c>
      <c r="B302" s="82" t="s">
        <v>1295</v>
      </c>
      <c r="C302" s="82" t="s">
        <v>52</v>
      </c>
      <c r="D302" s="82" t="s">
        <v>1296</v>
      </c>
      <c r="E302" s="82" t="s">
        <v>1297</v>
      </c>
      <c r="F302" s="82" t="s">
        <v>314</v>
      </c>
      <c r="G302" s="82">
        <v>5.0</v>
      </c>
      <c r="H302" s="82">
        <v>5.0</v>
      </c>
      <c r="I302" s="82">
        <v>5.0</v>
      </c>
      <c r="J302" s="82">
        <v>50.0</v>
      </c>
      <c r="K302" s="82">
        <v>10.0</v>
      </c>
      <c r="L302" s="82" t="s">
        <v>60</v>
      </c>
    </row>
    <row r="303" ht="15.0" customHeight="1">
      <c r="A303" s="82" t="s">
        <v>1376</v>
      </c>
      <c r="B303" s="82" t="s">
        <v>1377</v>
      </c>
      <c r="C303" s="82" t="s">
        <v>52</v>
      </c>
      <c r="D303" s="82" t="s">
        <v>1378</v>
      </c>
      <c r="E303" s="82" t="s">
        <v>1379</v>
      </c>
      <c r="F303" s="82" t="s">
        <v>314</v>
      </c>
      <c r="G303" s="82">
        <v>5.0</v>
      </c>
      <c r="H303" s="82">
        <v>5.0</v>
      </c>
      <c r="I303" s="82">
        <v>5.0</v>
      </c>
      <c r="J303" s="82">
        <v>50.0</v>
      </c>
      <c r="K303" s="82">
        <v>10.0</v>
      </c>
      <c r="L303" s="82" t="s">
        <v>60</v>
      </c>
    </row>
    <row r="304" ht="15.0" customHeight="1">
      <c r="A304" s="82" t="s">
        <v>1380</v>
      </c>
      <c r="B304" s="82" t="s">
        <v>1381</v>
      </c>
      <c r="C304" s="82" t="s">
        <v>52</v>
      </c>
      <c r="D304" s="82" t="s">
        <v>1382</v>
      </c>
      <c r="E304" s="82" t="s">
        <v>1383</v>
      </c>
      <c r="F304" s="82" t="s">
        <v>314</v>
      </c>
      <c r="G304" s="82">
        <v>4.0</v>
      </c>
      <c r="H304" s="82">
        <v>4.0</v>
      </c>
      <c r="I304" s="82">
        <v>4.0</v>
      </c>
      <c r="J304" s="82">
        <v>50.0</v>
      </c>
      <c r="K304" s="82">
        <v>12.5</v>
      </c>
      <c r="L304" s="82" t="s">
        <v>60</v>
      </c>
    </row>
    <row r="305" ht="15.0" customHeight="1">
      <c r="A305" s="82" t="s">
        <v>1265</v>
      </c>
      <c r="B305" s="82" t="s">
        <v>1266</v>
      </c>
      <c r="C305" s="82" t="s">
        <v>52</v>
      </c>
      <c r="D305" s="82" t="s">
        <v>1270</v>
      </c>
      <c r="E305" s="82" t="s">
        <v>1384</v>
      </c>
      <c r="F305" s="82" t="s">
        <v>314</v>
      </c>
      <c r="G305" s="82">
        <v>5.0</v>
      </c>
      <c r="H305" s="82">
        <v>5.0</v>
      </c>
      <c r="I305" s="82">
        <v>5.0</v>
      </c>
      <c r="J305" s="82">
        <v>50.0</v>
      </c>
      <c r="K305" s="82">
        <v>10.0</v>
      </c>
      <c r="L305" s="82" t="s">
        <v>60</v>
      </c>
    </row>
    <row r="306" ht="15.0" customHeight="1">
      <c r="A306" s="82" t="s">
        <v>1241</v>
      </c>
      <c r="B306" s="78" t="s">
        <v>1237</v>
      </c>
      <c r="C306" s="82" t="s">
        <v>52</v>
      </c>
      <c r="D306" s="82" t="s">
        <v>1245</v>
      </c>
      <c r="E306" s="82" t="s">
        <v>1246</v>
      </c>
      <c r="F306" s="82" t="s">
        <v>314</v>
      </c>
      <c r="G306" s="82">
        <v>7.0</v>
      </c>
      <c r="H306" s="82">
        <v>7.0</v>
      </c>
      <c r="I306" s="82">
        <v>7.0</v>
      </c>
      <c r="J306" s="82">
        <v>50.0</v>
      </c>
      <c r="K306" s="82">
        <v>7.14</v>
      </c>
      <c r="L306" s="82" t="s">
        <v>60</v>
      </c>
    </row>
    <row r="307" ht="15.0" customHeight="1">
      <c r="A307" s="82" t="s">
        <v>1316</v>
      </c>
      <c r="B307" s="78" t="s">
        <v>1317</v>
      </c>
      <c r="C307" s="82" t="s">
        <v>52</v>
      </c>
      <c r="D307" s="82" t="s">
        <v>1385</v>
      </c>
      <c r="E307" s="82" t="s">
        <v>1386</v>
      </c>
      <c r="F307" s="82" t="s">
        <v>314</v>
      </c>
      <c r="G307" s="82">
        <v>3.0</v>
      </c>
      <c r="H307" s="82">
        <v>3.0</v>
      </c>
      <c r="I307" s="82">
        <v>3.0</v>
      </c>
      <c r="J307" s="82">
        <v>50.0</v>
      </c>
      <c r="K307" s="82">
        <v>16.67</v>
      </c>
      <c r="L307" s="82" t="s">
        <v>60</v>
      </c>
    </row>
    <row r="308" ht="15.0" customHeight="1">
      <c r="A308" s="82" t="s">
        <v>1298</v>
      </c>
      <c r="B308" s="78" t="s">
        <v>1299</v>
      </c>
      <c r="C308" s="82" t="s">
        <v>52</v>
      </c>
      <c r="D308" s="82" t="s">
        <v>1387</v>
      </c>
      <c r="E308" s="82" t="s">
        <v>1388</v>
      </c>
      <c r="F308" s="82" t="s">
        <v>314</v>
      </c>
      <c r="G308" s="82">
        <v>3.0</v>
      </c>
      <c r="H308" s="82">
        <v>3.0</v>
      </c>
      <c r="I308" s="82">
        <v>3.0</v>
      </c>
      <c r="J308" s="82">
        <v>50.0</v>
      </c>
      <c r="K308" s="82">
        <v>16.67</v>
      </c>
      <c r="L308" s="82" t="s">
        <v>60</v>
      </c>
    </row>
    <row r="309" ht="15.0" customHeight="1">
      <c r="A309" s="82" t="s">
        <v>1298</v>
      </c>
      <c r="B309" s="78" t="s">
        <v>1299</v>
      </c>
      <c r="C309" s="82" t="s">
        <v>52</v>
      </c>
      <c r="D309" s="82" t="s">
        <v>1389</v>
      </c>
      <c r="E309" s="82" t="s">
        <v>1390</v>
      </c>
      <c r="F309" s="82" t="s">
        <v>314</v>
      </c>
      <c r="G309" s="82">
        <v>3.0</v>
      </c>
      <c r="H309" s="82">
        <v>3.0</v>
      </c>
      <c r="I309" s="82">
        <v>3.0</v>
      </c>
      <c r="J309" s="82">
        <v>50.0</v>
      </c>
      <c r="K309" s="82">
        <v>16.67</v>
      </c>
      <c r="L309" s="82" t="s">
        <v>60</v>
      </c>
    </row>
    <row r="310" ht="15.0" customHeight="1">
      <c r="A310" s="82" t="s">
        <v>1298</v>
      </c>
      <c r="B310" s="78" t="s">
        <v>1299</v>
      </c>
      <c r="C310" s="82" t="s">
        <v>52</v>
      </c>
      <c r="D310" s="82" t="s">
        <v>1391</v>
      </c>
      <c r="E310" s="82" t="s">
        <v>1392</v>
      </c>
      <c r="F310" s="82" t="s">
        <v>314</v>
      </c>
      <c r="G310" s="82">
        <v>3.0</v>
      </c>
      <c r="H310" s="82">
        <v>3.0</v>
      </c>
      <c r="I310" s="82">
        <v>3.0</v>
      </c>
      <c r="J310" s="82">
        <v>50.0</v>
      </c>
      <c r="K310" s="82">
        <v>16.67</v>
      </c>
      <c r="L310" s="82" t="s">
        <v>60</v>
      </c>
    </row>
    <row r="311" ht="15.0" customHeight="1">
      <c r="A311" s="82" t="s">
        <v>1298</v>
      </c>
      <c r="B311" s="78" t="s">
        <v>1299</v>
      </c>
      <c r="C311" s="82" t="s">
        <v>52</v>
      </c>
      <c r="D311" s="82" t="s">
        <v>1393</v>
      </c>
      <c r="E311" s="82" t="s">
        <v>1394</v>
      </c>
      <c r="F311" s="82" t="s">
        <v>314</v>
      </c>
      <c r="G311" s="82">
        <v>3.0</v>
      </c>
      <c r="H311" s="82">
        <v>3.0</v>
      </c>
      <c r="I311" s="82">
        <v>3.0</v>
      </c>
      <c r="J311" s="82">
        <v>50.0</v>
      </c>
      <c r="K311" s="82">
        <v>16.67</v>
      </c>
      <c r="L311" s="82" t="s">
        <v>60</v>
      </c>
    </row>
    <row r="312" ht="15.0" customHeight="1">
      <c r="A312" s="82" t="s">
        <v>1395</v>
      </c>
      <c r="B312" s="82" t="s">
        <v>1396</v>
      </c>
      <c r="C312" s="82" t="s">
        <v>52</v>
      </c>
      <c r="D312" s="82" t="s">
        <v>1397</v>
      </c>
      <c r="E312" s="82" t="s">
        <v>1398</v>
      </c>
      <c r="F312" s="82" t="s">
        <v>314</v>
      </c>
      <c r="G312" s="82">
        <v>4.0</v>
      </c>
      <c r="H312" s="82">
        <v>4.0</v>
      </c>
      <c r="I312" s="82">
        <v>4.0</v>
      </c>
      <c r="J312" s="82">
        <v>50.0</v>
      </c>
      <c r="K312" s="82">
        <v>12.5</v>
      </c>
      <c r="L312" s="82" t="s">
        <v>60</v>
      </c>
    </row>
    <row r="313" ht="15.0" customHeight="1">
      <c r="A313" s="82" t="s">
        <v>1247</v>
      </c>
      <c r="B313" s="82" t="s">
        <v>1248</v>
      </c>
      <c r="C313" s="82" t="s">
        <v>52</v>
      </c>
      <c r="D313" s="82" t="s">
        <v>1399</v>
      </c>
      <c r="E313" s="82" t="s">
        <v>1400</v>
      </c>
      <c r="F313" s="82" t="s">
        <v>1184</v>
      </c>
      <c r="G313" s="82">
        <v>4.0</v>
      </c>
      <c r="H313" s="82">
        <v>4.0</v>
      </c>
      <c r="I313" s="82">
        <v>4.0</v>
      </c>
      <c r="J313" s="82">
        <v>50.0</v>
      </c>
      <c r="K313" s="82">
        <v>12.5</v>
      </c>
      <c r="L313" s="82" t="s">
        <v>60</v>
      </c>
    </row>
    <row r="314" ht="15.0" customHeight="1">
      <c r="A314" s="82" t="s">
        <v>1401</v>
      </c>
      <c r="B314" s="82" t="s">
        <v>1402</v>
      </c>
      <c r="C314" s="82" t="s">
        <v>52</v>
      </c>
      <c r="D314" s="82" t="s">
        <v>1403</v>
      </c>
      <c r="E314" s="82" t="s">
        <v>1404</v>
      </c>
      <c r="F314" s="82" t="s">
        <v>314</v>
      </c>
      <c r="G314" s="82">
        <v>4.0</v>
      </c>
      <c r="H314" s="82">
        <v>4.0</v>
      </c>
      <c r="I314" s="82">
        <v>4.0</v>
      </c>
      <c r="J314" s="82">
        <v>50.0</v>
      </c>
      <c r="K314" s="82">
        <v>12.5</v>
      </c>
      <c r="L314" s="82" t="s">
        <v>60</v>
      </c>
    </row>
    <row r="315" ht="15.0" customHeight="1">
      <c r="A315" s="82" t="s">
        <v>1401</v>
      </c>
      <c r="B315" s="82" t="s">
        <v>1402</v>
      </c>
      <c r="C315" s="82" t="s">
        <v>52</v>
      </c>
      <c r="D315" s="82" t="s">
        <v>1405</v>
      </c>
      <c r="E315" s="82" t="s">
        <v>1406</v>
      </c>
      <c r="F315" s="82" t="s">
        <v>314</v>
      </c>
      <c r="G315" s="82">
        <v>4.0</v>
      </c>
      <c r="H315" s="82">
        <v>4.0</v>
      </c>
      <c r="I315" s="82">
        <v>4.0</v>
      </c>
      <c r="J315" s="82">
        <v>50.0</v>
      </c>
      <c r="K315" s="82">
        <v>12.5</v>
      </c>
      <c r="L315" s="82" t="s">
        <v>60</v>
      </c>
    </row>
    <row r="316" ht="15.0" customHeight="1">
      <c r="A316" s="82" t="s">
        <v>1407</v>
      </c>
      <c r="B316" s="82" t="s">
        <v>1408</v>
      </c>
      <c r="C316" s="82" t="s">
        <v>52</v>
      </c>
      <c r="D316" s="82" t="s">
        <v>1409</v>
      </c>
      <c r="E316" s="82" t="s">
        <v>1410</v>
      </c>
      <c r="F316" s="82" t="s">
        <v>314</v>
      </c>
      <c r="G316" s="82">
        <v>4.0</v>
      </c>
      <c r="H316" s="82">
        <v>4.0</v>
      </c>
      <c r="I316" s="82">
        <v>4.0</v>
      </c>
      <c r="J316" s="82">
        <v>50.0</v>
      </c>
      <c r="K316" s="82">
        <v>12.5</v>
      </c>
      <c r="L316" s="82" t="s">
        <v>60</v>
      </c>
    </row>
    <row r="317" ht="15.0" customHeight="1">
      <c r="A317" s="82" t="s">
        <v>1411</v>
      </c>
      <c r="B317" s="82" t="s">
        <v>1412</v>
      </c>
      <c r="C317" s="82" t="s">
        <v>52</v>
      </c>
      <c r="D317" s="82" t="s">
        <v>1413</v>
      </c>
      <c r="E317" s="82" t="s">
        <v>1414</v>
      </c>
      <c r="F317" s="82" t="s">
        <v>314</v>
      </c>
      <c r="G317" s="82">
        <v>4.0</v>
      </c>
      <c r="H317" s="82">
        <v>4.0</v>
      </c>
      <c r="I317" s="82">
        <v>4.0</v>
      </c>
      <c r="J317" s="82">
        <v>50.0</v>
      </c>
      <c r="K317" s="82">
        <v>12.5</v>
      </c>
      <c r="L317" s="82" t="s">
        <v>60</v>
      </c>
    </row>
    <row r="318" ht="15.0" customHeight="1">
      <c r="A318" s="82" t="s">
        <v>1922</v>
      </c>
      <c r="B318" s="82" t="s">
        <v>1840</v>
      </c>
      <c r="C318" s="82" t="s">
        <v>52</v>
      </c>
      <c r="D318" s="82" t="s">
        <v>1923</v>
      </c>
      <c r="E318" s="82" t="s">
        <v>1924</v>
      </c>
      <c r="F318" s="82" t="s">
        <v>314</v>
      </c>
      <c r="G318" s="82">
        <v>4.0</v>
      </c>
      <c r="H318" s="82">
        <v>4.0</v>
      </c>
      <c r="I318" s="82">
        <v>4.0</v>
      </c>
      <c r="J318" s="82">
        <v>50.0</v>
      </c>
      <c r="K318" s="82">
        <v>12.5</v>
      </c>
      <c r="L318" s="82" t="s">
        <v>60</v>
      </c>
    </row>
    <row r="319" ht="15.0" customHeight="1">
      <c r="A319" s="100" t="s">
        <v>1925</v>
      </c>
      <c r="B319" s="100" t="s">
        <v>1926</v>
      </c>
      <c r="C319" s="100" t="s">
        <v>52</v>
      </c>
      <c r="D319" s="100" t="s">
        <v>1927</v>
      </c>
      <c r="E319" s="154" t="s">
        <v>1928</v>
      </c>
      <c r="F319" s="100" t="s">
        <v>1264</v>
      </c>
      <c r="G319" s="156">
        <v>1.0</v>
      </c>
      <c r="H319" s="156">
        <v>1.0</v>
      </c>
      <c r="I319" s="156">
        <v>1.0</v>
      </c>
      <c r="J319" s="100">
        <v>50.0</v>
      </c>
      <c r="K319" s="100">
        <v>50.0</v>
      </c>
      <c r="L319" s="82" t="s">
        <v>82</v>
      </c>
    </row>
    <row r="320" ht="15.0" customHeight="1">
      <c r="A320" s="100" t="s">
        <v>1925</v>
      </c>
      <c r="B320" s="100" t="s">
        <v>1926</v>
      </c>
      <c r="C320" s="100" t="s">
        <v>52</v>
      </c>
      <c r="D320" s="100" t="s">
        <v>1929</v>
      </c>
      <c r="E320" s="154" t="s">
        <v>1930</v>
      </c>
      <c r="F320" s="100" t="s">
        <v>259</v>
      </c>
      <c r="G320" s="156">
        <v>1.0</v>
      </c>
      <c r="H320" s="156">
        <v>1.0</v>
      </c>
      <c r="I320" s="156">
        <v>1.0</v>
      </c>
      <c r="J320" s="100">
        <v>50.0</v>
      </c>
      <c r="K320" s="100">
        <v>50.0</v>
      </c>
      <c r="L320" s="82" t="s">
        <v>82</v>
      </c>
    </row>
    <row r="321" ht="15.0" customHeight="1">
      <c r="A321" s="100" t="s">
        <v>1925</v>
      </c>
      <c r="B321" s="100" t="s">
        <v>1926</v>
      </c>
      <c r="C321" s="100" t="s">
        <v>52</v>
      </c>
      <c r="D321" s="100" t="s">
        <v>1931</v>
      </c>
      <c r="E321" s="154" t="s">
        <v>1932</v>
      </c>
      <c r="F321" s="100" t="s">
        <v>259</v>
      </c>
      <c r="G321" s="156">
        <v>1.0</v>
      </c>
      <c r="H321" s="156">
        <v>1.0</v>
      </c>
      <c r="I321" s="156">
        <v>1.0</v>
      </c>
      <c r="J321" s="100">
        <v>50.0</v>
      </c>
      <c r="K321" s="100">
        <v>50.0</v>
      </c>
      <c r="L321" s="82" t="s">
        <v>82</v>
      </c>
    </row>
    <row r="322" ht="15.0" customHeight="1">
      <c r="A322" s="100" t="s">
        <v>1933</v>
      </c>
      <c r="B322" s="100" t="s">
        <v>1934</v>
      </c>
      <c r="C322" s="100" t="s">
        <v>52</v>
      </c>
      <c r="D322" s="100" t="s">
        <v>1935</v>
      </c>
      <c r="E322" s="154" t="s">
        <v>1936</v>
      </c>
      <c r="F322" s="100" t="s">
        <v>259</v>
      </c>
      <c r="G322" s="100">
        <v>7.0</v>
      </c>
      <c r="H322" s="100">
        <v>7.0</v>
      </c>
      <c r="I322" s="100">
        <v>7.0</v>
      </c>
      <c r="J322" s="163">
        <v>50.0</v>
      </c>
      <c r="K322" s="151">
        <f t="shared" ref="K322:K323" si="8">50/7</f>
        <v>7.142857143</v>
      </c>
      <c r="L322" s="82" t="s">
        <v>82</v>
      </c>
    </row>
    <row r="323" ht="15.0" customHeight="1">
      <c r="A323" s="100" t="s">
        <v>1933</v>
      </c>
      <c r="B323" s="100" t="s">
        <v>1934</v>
      </c>
      <c r="C323" s="100" t="s">
        <v>52</v>
      </c>
      <c r="D323" s="100" t="s">
        <v>1937</v>
      </c>
      <c r="E323" s="154" t="s">
        <v>1428</v>
      </c>
      <c r="F323" s="100" t="s">
        <v>1264</v>
      </c>
      <c r="G323" s="100">
        <v>7.0</v>
      </c>
      <c r="H323" s="100">
        <v>7.0</v>
      </c>
      <c r="I323" s="100">
        <v>7.0</v>
      </c>
      <c r="J323" s="163">
        <v>50.0</v>
      </c>
      <c r="K323" s="151">
        <f t="shared" si="8"/>
        <v>7.142857143</v>
      </c>
      <c r="L323" s="82" t="s">
        <v>82</v>
      </c>
    </row>
    <row r="324" ht="15.0" customHeight="1">
      <c r="A324" s="100" t="s">
        <v>1933</v>
      </c>
      <c r="B324" s="100" t="s">
        <v>1934</v>
      </c>
      <c r="C324" s="100" t="s">
        <v>52</v>
      </c>
      <c r="D324" s="100" t="s">
        <v>1938</v>
      </c>
      <c r="E324" s="154" t="s">
        <v>1939</v>
      </c>
      <c r="F324" s="164" t="s">
        <v>259</v>
      </c>
      <c r="G324" s="164">
        <v>7.0</v>
      </c>
      <c r="H324" s="164">
        <v>7.0</v>
      </c>
      <c r="I324" s="164">
        <v>7.0</v>
      </c>
      <c r="J324" s="164">
        <v>50.0</v>
      </c>
      <c r="K324" s="165">
        <f>J324/I324</f>
        <v>7.142857143</v>
      </c>
      <c r="L324" s="82" t="s">
        <v>82</v>
      </c>
    </row>
    <row r="325" ht="15.0" customHeight="1">
      <c r="A325" s="100" t="s">
        <v>1940</v>
      </c>
      <c r="B325" s="100" t="s">
        <v>1361</v>
      </c>
      <c r="C325" s="100" t="s">
        <v>52</v>
      </c>
      <c r="D325" s="100" t="s">
        <v>1941</v>
      </c>
      <c r="E325" s="154" t="s">
        <v>1453</v>
      </c>
      <c r="F325" s="100" t="s">
        <v>1264</v>
      </c>
      <c r="G325" s="100">
        <v>3.0</v>
      </c>
      <c r="H325" s="100">
        <v>3.0</v>
      </c>
      <c r="I325" s="163">
        <v>3.0</v>
      </c>
      <c r="J325" s="163">
        <v>50.0</v>
      </c>
      <c r="K325" s="151">
        <f>50/3</f>
        <v>16.66666667</v>
      </c>
      <c r="L325" s="82" t="s">
        <v>82</v>
      </c>
    </row>
    <row r="326" ht="15.0" customHeight="1">
      <c r="A326" s="100" t="s">
        <v>1942</v>
      </c>
      <c r="B326" s="100" t="s">
        <v>1943</v>
      </c>
      <c r="C326" s="100" t="s">
        <v>52</v>
      </c>
      <c r="D326" s="100" t="s">
        <v>1941</v>
      </c>
      <c r="E326" s="154" t="s">
        <v>1453</v>
      </c>
      <c r="F326" s="100" t="s">
        <v>1264</v>
      </c>
      <c r="G326" s="100">
        <v>4.0</v>
      </c>
      <c r="H326" s="100">
        <v>3.0</v>
      </c>
      <c r="I326" s="163">
        <v>4.0</v>
      </c>
      <c r="J326" s="163">
        <v>50.0</v>
      </c>
      <c r="K326" s="100">
        <f t="shared" ref="K326:K327" si="9">50/4</f>
        <v>12.5</v>
      </c>
      <c r="L326" s="82" t="s">
        <v>82</v>
      </c>
    </row>
    <row r="327" ht="15.0" customHeight="1">
      <c r="A327" s="100" t="s">
        <v>1942</v>
      </c>
      <c r="B327" s="157" t="s">
        <v>1943</v>
      </c>
      <c r="C327" s="100" t="s">
        <v>52</v>
      </c>
      <c r="D327" s="157" t="s">
        <v>1944</v>
      </c>
      <c r="E327" s="154" t="s">
        <v>1945</v>
      </c>
      <c r="F327" s="164" t="s">
        <v>259</v>
      </c>
      <c r="G327" s="100">
        <v>4.0</v>
      </c>
      <c r="H327" s="100">
        <v>3.0</v>
      </c>
      <c r="I327" s="163">
        <v>4.0</v>
      </c>
      <c r="J327" s="163">
        <v>50.0</v>
      </c>
      <c r="K327" s="100">
        <f t="shared" si="9"/>
        <v>12.5</v>
      </c>
      <c r="L327" s="82" t="s">
        <v>82</v>
      </c>
    </row>
    <row r="328" ht="15.0" customHeight="1">
      <c r="A328" s="100" t="s">
        <v>1946</v>
      </c>
      <c r="B328" s="100" t="s">
        <v>1282</v>
      </c>
      <c r="C328" s="100" t="s">
        <v>52</v>
      </c>
      <c r="D328" s="100" t="s">
        <v>1947</v>
      </c>
      <c r="E328" s="154" t="s">
        <v>1948</v>
      </c>
      <c r="F328" s="166" t="s">
        <v>259</v>
      </c>
      <c r="G328" s="100">
        <v>8.0</v>
      </c>
      <c r="H328" s="156">
        <v>8.0</v>
      </c>
      <c r="I328" s="163">
        <v>8.0</v>
      </c>
      <c r="J328" s="163">
        <v>50.0</v>
      </c>
      <c r="K328" s="100">
        <f t="shared" ref="K328:K329" si="10">50/8</f>
        <v>6.25</v>
      </c>
      <c r="L328" s="82" t="s">
        <v>82</v>
      </c>
    </row>
    <row r="329" ht="15.0" customHeight="1">
      <c r="A329" s="100" t="s">
        <v>1946</v>
      </c>
      <c r="B329" s="100" t="s">
        <v>1282</v>
      </c>
      <c r="C329" s="100" t="s">
        <v>52</v>
      </c>
      <c r="D329" s="100" t="s">
        <v>1949</v>
      </c>
      <c r="E329" s="154" t="s">
        <v>1446</v>
      </c>
      <c r="F329" s="166" t="s">
        <v>1264</v>
      </c>
      <c r="G329" s="100">
        <v>8.0</v>
      </c>
      <c r="H329" s="156">
        <v>8.0</v>
      </c>
      <c r="I329" s="163">
        <v>8.0</v>
      </c>
      <c r="J329" s="163">
        <v>50.0</v>
      </c>
      <c r="K329" s="100">
        <f t="shared" si="10"/>
        <v>6.25</v>
      </c>
      <c r="L329" s="82" t="s">
        <v>82</v>
      </c>
    </row>
    <row r="330" ht="15.0" customHeight="1">
      <c r="A330" s="100" t="s">
        <v>1950</v>
      </c>
      <c r="B330" s="100" t="s">
        <v>1491</v>
      </c>
      <c r="C330" s="100" t="s">
        <v>52</v>
      </c>
      <c r="D330" s="100" t="s">
        <v>1951</v>
      </c>
      <c r="E330" s="154" t="s">
        <v>1952</v>
      </c>
      <c r="F330" s="166" t="s">
        <v>259</v>
      </c>
      <c r="G330" s="100">
        <v>4.0</v>
      </c>
      <c r="H330" s="100">
        <v>4.0</v>
      </c>
      <c r="I330" s="163">
        <v>4.0</v>
      </c>
      <c r="J330" s="163">
        <v>50.0</v>
      </c>
      <c r="K330" s="100">
        <f>50/4</f>
        <v>12.5</v>
      </c>
      <c r="L330" s="82" t="s">
        <v>82</v>
      </c>
    </row>
    <row r="331" ht="15.0" customHeight="1">
      <c r="A331" s="100" t="s">
        <v>1953</v>
      </c>
      <c r="B331" s="100" t="s">
        <v>1484</v>
      </c>
      <c r="C331" s="100" t="s">
        <v>52</v>
      </c>
      <c r="D331" s="100" t="s">
        <v>1954</v>
      </c>
      <c r="E331" s="154" t="s">
        <v>1955</v>
      </c>
      <c r="F331" s="164" t="s">
        <v>259</v>
      </c>
      <c r="G331" s="100">
        <v>5.0</v>
      </c>
      <c r="H331" s="100">
        <v>4.0</v>
      </c>
      <c r="I331" s="163">
        <v>5.0</v>
      </c>
      <c r="J331" s="163">
        <v>50.0</v>
      </c>
      <c r="K331" s="100">
        <f t="shared" ref="K331:K340" si="11">J331/I331</f>
        <v>10</v>
      </c>
      <c r="L331" s="82" t="s">
        <v>82</v>
      </c>
    </row>
    <row r="332" ht="15.0" customHeight="1">
      <c r="A332" s="157" t="s">
        <v>1956</v>
      </c>
      <c r="B332" s="157" t="s">
        <v>1788</v>
      </c>
      <c r="C332" s="100" t="s">
        <v>52</v>
      </c>
      <c r="D332" s="157" t="s">
        <v>1957</v>
      </c>
      <c r="E332" s="154" t="s">
        <v>1958</v>
      </c>
      <c r="F332" s="164" t="s">
        <v>259</v>
      </c>
      <c r="G332" s="100">
        <v>4.0</v>
      </c>
      <c r="H332" s="100">
        <v>4.0</v>
      </c>
      <c r="I332" s="163">
        <v>4.0</v>
      </c>
      <c r="J332" s="163">
        <v>50.0</v>
      </c>
      <c r="K332" s="100">
        <f t="shared" si="11"/>
        <v>12.5</v>
      </c>
      <c r="L332" s="82" t="s">
        <v>82</v>
      </c>
    </row>
    <row r="333" ht="15.0" customHeight="1">
      <c r="A333" s="157" t="s">
        <v>1956</v>
      </c>
      <c r="B333" s="157" t="s">
        <v>1788</v>
      </c>
      <c r="C333" s="100" t="s">
        <v>52</v>
      </c>
      <c r="D333" s="157" t="s">
        <v>1789</v>
      </c>
      <c r="E333" s="154" t="s">
        <v>1959</v>
      </c>
      <c r="F333" s="164" t="s">
        <v>259</v>
      </c>
      <c r="G333" s="100">
        <v>4.0</v>
      </c>
      <c r="H333" s="100">
        <v>4.0</v>
      </c>
      <c r="I333" s="163">
        <v>4.0</v>
      </c>
      <c r="J333" s="163">
        <v>50.0</v>
      </c>
      <c r="K333" s="100">
        <f t="shared" si="11"/>
        <v>12.5</v>
      </c>
      <c r="L333" s="82" t="s">
        <v>82</v>
      </c>
    </row>
    <row r="334" ht="15.0" customHeight="1">
      <c r="A334" s="157" t="s">
        <v>1956</v>
      </c>
      <c r="B334" s="157" t="s">
        <v>1788</v>
      </c>
      <c r="C334" s="100" t="s">
        <v>52</v>
      </c>
      <c r="D334" s="157" t="s">
        <v>1792</v>
      </c>
      <c r="E334" s="154" t="s">
        <v>1960</v>
      </c>
      <c r="F334" s="164" t="s">
        <v>259</v>
      </c>
      <c r="G334" s="100">
        <v>4.0</v>
      </c>
      <c r="H334" s="100">
        <v>4.0</v>
      </c>
      <c r="I334" s="163">
        <v>4.0</v>
      </c>
      <c r="J334" s="163">
        <v>50.0</v>
      </c>
      <c r="K334" s="100">
        <f t="shared" si="11"/>
        <v>12.5</v>
      </c>
      <c r="L334" s="82" t="s">
        <v>82</v>
      </c>
    </row>
    <row r="335" ht="15.0" customHeight="1">
      <c r="A335" s="157" t="s">
        <v>1961</v>
      </c>
      <c r="B335" s="157" t="s">
        <v>290</v>
      </c>
      <c r="C335" s="100" t="s">
        <v>52</v>
      </c>
      <c r="D335" s="157" t="s">
        <v>1962</v>
      </c>
      <c r="E335" s="154" t="s">
        <v>1963</v>
      </c>
      <c r="F335" s="164" t="s">
        <v>1264</v>
      </c>
      <c r="G335" s="100">
        <v>8.0</v>
      </c>
      <c r="H335" s="100">
        <v>6.0</v>
      </c>
      <c r="I335" s="163">
        <v>8.0</v>
      </c>
      <c r="J335" s="163">
        <v>50.0</v>
      </c>
      <c r="K335" s="100">
        <f t="shared" si="11"/>
        <v>6.25</v>
      </c>
      <c r="L335" s="82" t="s">
        <v>82</v>
      </c>
    </row>
    <row r="336" ht="15.0" customHeight="1">
      <c r="A336" s="157" t="s">
        <v>1961</v>
      </c>
      <c r="B336" s="157" t="s">
        <v>290</v>
      </c>
      <c r="C336" s="100" t="s">
        <v>52</v>
      </c>
      <c r="D336" s="157" t="s">
        <v>1964</v>
      </c>
      <c r="E336" s="154" t="s">
        <v>1434</v>
      </c>
      <c r="F336" s="164" t="s">
        <v>1264</v>
      </c>
      <c r="G336" s="100">
        <v>8.0</v>
      </c>
      <c r="H336" s="100">
        <v>6.0</v>
      </c>
      <c r="I336" s="163">
        <v>8.0</v>
      </c>
      <c r="J336" s="163">
        <v>50.0</v>
      </c>
      <c r="K336" s="100">
        <f t="shared" si="11"/>
        <v>6.25</v>
      </c>
      <c r="L336" s="82" t="s">
        <v>82</v>
      </c>
    </row>
    <row r="337" ht="15.0" customHeight="1">
      <c r="A337" s="157" t="s">
        <v>1961</v>
      </c>
      <c r="B337" s="157" t="s">
        <v>290</v>
      </c>
      <c r="C337" s="100" t="s">
        <v>52</v>
      </c>
      <c r="D337" s="157" t="s">
        <v>1965</v>
      </c>
      <c r="E337" s="154" t="s">
        <v>1966</v>
      </c>
      <c r="F337" s="164" t="s">
        <v>1264</v>
      </c>
      <c r="G337" s="100">
        <v>8.0</v>
      </c>
      <c r="H337" s="100">
        <v>6.0</v>
      </c>
      <c r="I337" s="163">
        <v>8.0</v>
      </c>
      <c r="J337" s="163">
        <v>50.0</v>
      </c>
      <c r="K337" s="100">
        <f t="shared" si="11"/>
        <v>6.25</v>
      </c>
      <c r="L337" s="82" t="s">
        <v>82</v>
      </c>
    </row>
    <row r="338" ht="15.0" customHeight="1">
      <c r="A338" s="157" t="s">
        <v>1967</v>
      </c>
      <c r="B338" s="157" t="s">
        <v>1968</v>
      </c>
      <c r="C338" s="100" t="s">
        <v>52</v>
      </c>
      <c r="D338" s="157" t="s">
        <v>1969</v>
      </c>
      <c r="E338" s="154" t="s">
        <v>1970</v>
      </c>
      <c r="F338" s="164" t="s">
        <v>259</v>
      </c>
      <c r="G338" s="100">
        <v>4.0</v>
      </c>
      <c r="H338" s="100">
        <v>4.0</v>
      </c>
      <c r="I338" s="163">
        <v>4.0</v>
      </c>
      <c r="J338" s="163">
        <v>50.0</v>
      </c>
      <c r="K338" s="100">
        <f t="shared" si="11"/>
        <v>12.5</v>
      </c>
      <c r="L338" s="82" t="s">
        <v>82</v>
      </c>
    </row>
    <row r="339" ht="15.0" customHeight="1">
      <c r="A339" s="157" t="s">
        <v>1967</v>
      </c>
      <c r="B339" s="157" t="s">
        <v>1968</v>
      </c>
      <c r="C339" s="100" t="s">
        <v>52</v>
      </c>
      <c r="D339" s="157" t="s">
        <v>1971</v>
      </c>
      <c r="E339" s="154" t="s">
        <v>1970</v>
      </c>
      <c r="F339" s="164" t="s">
        <v>259</v>
      </c>
      <c r="G339" s="100">
        <v>4.0</v>
      </c>
      <c r="H339" s="100">
        <v>4.0</v>
      </c>
      <c r="I339" s="163">
        <v>4.0</v>
      </c>
      <c r="J339" s="163">
        <v>50.0</v>
      </c>
      <c r="K339" s="100">
        <f t="shared" si="11"/>
        <v>12.5</v>
      </c>
      <c r="L339" s="82" t="s">
        <v>82</v>
      </c>
    </row>
    <row r="340" ht="15.0" customHeight="1">
      <c r="A340" s="157" t="s">
        <v>1972</v>
      </c>
      <c r="B340" s="157" t="s">
        <v>1815</v>
      </c>
      <c r="C340" s="100" t="s">
        <v>52</v>
      </c>
      <c r="D340" s="157" t="s">
        <v>1973</v>
      </c>
      <c r="E340" s="154" t="s">
        <v>1974</v>
      </c>
      <c r="F340" s="164" t="s">
        <v>259</v>
      </c>
      <c r="G340" s="167">
        <v>4.0</v>
      </c>
      <c r="H340" s="168">
        <v>3.0</v>
      </c>
      <c r="I340" s="164">
        <v>4.0</v>
      </c>
      <c r="J340" s="164">
        <v>50.0</v>
      </c>
      <c r="K340" s="169">
        <f t="shared" si="11"/>
        <v>12.5</v>
      </c>
      <c r="L340" s="82" t="s">
        <v>82</v>
      </c>
    </row>
    <row r="341" ht="15.0" customHeight="1">
      <c r="A341" s="100" t="s">
        <v>1975</v>
      </c>
      <c r="B341" s="78" t="s">
        <v>1976</v>
      </c>
      <c r="C341" s="82" t="s">
        <v>52</v>
      </c>
      <c r="D341" s="82" t="s">
        <v>1977</v>
      </c>
      <c r="E341" s="79" t="s">
        <v>1978</v>
      </c>
      <c r="F341" s="79" t="s">
        <v>1979</v>
      </c>
      <c r="G341" s="82">
        <v>2.0</v>
      </c>
      <c r="H341" s="82">
        <v>2.0</v>
      </c>
      <c r="I341" s="82">
        <v>2.0</v>
      </c>
      <c r="J341" s="82">
        <v>50.0</v>
      </c>
      <c r="K341" s="82">
        <v>25.0</v>
      </c>
      <c r="L341" s="82" t="s">
        <v>80</v>
      </c>
    </row>
    <row r="342" ht="15.0" customHeight="1">
      <c r="A342" s="100" t="s">
        <v>1865</v>
      </c>
      <c r="B342" s="78" t="s">
        <v>1866</v>
      </c>
      <c r="C342" s="82" t="s">
        <v>52</v>
      </c>
      <c r="D342" s="82" t="s">
        <v>1980</v>
      </c>
      <c r="E342" s="87" t="s">
        <v>1981</v>
      </c>
      <c r="F342" s="170" t="s">
        <v>1982</v>
      </c>
      <c r="G342" s="82">
        <v>2.0</v>
      </c>
      <c r="H342" s="82">
        <v>2.0</v>
      </c>
      <c r="I342" s="82">
        <v>2.0</v>
      </c>
      <c r="J342" s="82">
        <v>50.0</v>
      </c>
      <c r="K342" s="82">
        <v>25.0</v>
      </c>
      <c r="L342" s="82" t="s">
        <v>80</v>
      </c>
    </row>
    <row r="343" ht="15.0" customHeight="1">
      <c r="A343" s="100" t="s">
        <v>1983</v>
      </c>
      <c r="B343" s="82" t="s">
        <v>1984</v>
      </c>
      <c r="C343" s="82" t="s">
        <v>52</v>
      </c>
      <c r="D343" s="82" t="s">
        <v>1985</v>
      </c>
      <c r="E343" s="79" t="s">
        <v>1986</v>
      </c>
      <c r="F343" s="171" t="s">
        <v>1987</v>
      </c>
      <c r="G343" s="82">
        <v>2.0</v>
      </c>
      <c r="H343" s="82">
        <v>2.0</v>
      </c>
      <c r="I343" s="82">
        <v>2.0</v>
      </c>
      <c r="J343" s="82">
        <v>50.0</v>
      </c>
      <c r="K343" s="82">
        <v>25.0</v>
      </c>
      <c r="L343" s="82" t="s">
        <v>80</v>
      </c>
    </row>
    <row r="344" ht="15.0" customHeight="1">
      <c r="A344" s="100" t="s">
        <v>1983</v>
      </c>
      <c r="B344" s="78" t="s">
        <v>1988</v>
      </c>
      <c r="C344" s="82" t="s">
        <v>52</v>
      </c>
      <c r="D344" s="82" t="s">
        <v>1989</v>
      </c>
      <c r="E344" s="79" t="s">
        <v>1990</v>
      </c>
      <c r="F344" s="171" t="s">
        <v>1991</v>
      </c>
      <c r="G344" s="82">
        <v>2.0</v>
      </c>
      <c r="H344" s="82">
        <v>2.0</v>
      </c>
      <c r="I344" s="82">
        <v>2.0</v>
      </c>
      <c r="J344" s="82">
        <v>50.0</v>
      </c>
      <c r="K344" s="82">
        <v>25.0</v>
      </c>
      <c r="L344" s="82" t="s">
        <v>80</v>
      </c>
    </row>
    <row r="345" ht="15.0" customHeight="1">
      <c r="A345" s="82" t="s">
        <v>1992</v>
      </c>
      <c r="B345" s="82" t="s">
        <v>1866</v>
      </c>
      <c r="C345" s="82" t="s">
        <v>52</v>
      </c>
      <c r="D345" s="78" t="s">
        <v>1993</v>
      </c>
      <c r="E345" s="80" t="s">
        <v>1994</v>
      </c>
      <c r="F345" s="79" t="s">
        <v>1995</v>
      </c>
      <c r="G345" s="82">
        <v>2.0</v>
      </c>
      <c r="H345" s="82">
        <v>2.0</v>
      </c>
      <c r="I345" s="82">
        <v>2.0</v>
      </c>
      <c r="J345" s="82">
        <v>50.0</v>
      </c>
      <c r="K345" s="82">
        <v>25.0</v>
      </c>
      <c r="L345" s="82" t="s">
        <v>80</v>
      </c>
    </row>
    <row r="346" ht="15.0" customHeight="1">
      <c r="A346" s="82" t="s">
        <v>1837</v>
      </c>
      <c r="B346" s="82" t="s">
        <v>1838</v>
      </c>
      <c r="C346" s="82" t="s">
        <v>52</v>
      </c>
      <c r="D346" s="82" t="s">
        <v>1835</v>
      </c>
      <c r="E346" s="79" t="s">
        <v>1588</v>
      </c>
      <c r="F346" s="86" t="s">
        <v>1256</v>
      </c>
      <c r="G346" s="82">
        <v>4.0</v>
      </c>
      <c r="H346" s="82">
        <v>4.0</v>
      </c>
      <c r="I346" s="82">
        <v>4.0</v>
      </c>
      <c r="J346" s="152">
        <v>50.0</v>
      </c>
      <c r="K346" s="84">
        <f>J346/I346</f>
        <v>12.5</v>
      </c>
      <c r="L346" s="82" t="s">
        <v>67</v>
      </c>
    </row>
    <row r="347" ht="15.75" customHeight="1">
      <c r="A347" s="147" t="s">
        <v>350</v>
      </c>
      <c r="B347" s="148" t="s">
        <v>382</v>
      </c>
      <c r="C347" s="147" t="s">
        <v>52</v>
      </c>
      <c r="D347" s="148" t="s">
        <v>1996</v>
      </c>
      <c r="E347" s="172" t="s">
        <v>1997</v>
      </c>
      <c r="F347" s="160" t="s">
        <v>259</v>
      </c>
      <c r="G347" s="148">
        <v>6.0</v>
      </c>
      <c r="H347" s="148">
        <v>3.0</v>
      </c>
      <c r="I347" s="148">
        <v>6.0</v>
      </c>
      <c r="J347" s="173">
        <v>50.0</v>
      </c>
      <c r="K347" s="174">
        <v>8.33</v>
      </c>
      <c r="L347" s="82" t="s">
        <v>87</v>
      </c>
    </row>
    <row r="348" ht="15.75" customHeight="1">
      <c r="A348" s="147" t="s">
        <v>350</v>
      </c>
      <c r="B348" s="147" t="s">
        <v>382</v>
      </c>
      <c r="C348" s="147" t="s">
        <v>52</v>
      </c>
      <c r="D348" s="148" t="s">
        <v>1998</v>
      </c>
      <c r="E348" s="172" t="s">
        <v>1999</v>
      </c>
      <c r="F348" s="160" t="s">
        <v>259</v>
      </c>
      <c r="G348" s="148">
        <v>6.0</v>
      </c>
      <c r="H348" s="148">
        <v>3.0</v>
      </c>
      <c r="I348" s="148">
        <v>6.0</v>
      </c>
      <c r="J348" s="173">
        <v>50.0</v>
      </c>
      <c r="K348" s="174">
        <v>8.33</v>
      </c>
      <c r="L348" s="82" t="s">
        <v>87</v>
      </c>
    </row>
    <row r="349" ht="248.25" customHeight="1">
      <c r="A349" s="147" t="s">
        <v>350</v>
      </c>
      <c r="B349" s="148" t="s">
        <v>382</v>
      </c>
      <c r="C349" s="148" t="s">
        <v>52</v>
      </c>
      <c r="D349" s="148" t="s">
        <v>2000</v>
      </c>
      <c r="E349" s="172" t="s">
        <v>2001</v>
      </c>
      <c r="F349" s="160" t="s">
        <v>259</v>
      </c>
      <c r="G349" s="148">
        <v>6.0</v>
      </c>
      <c r="H349" s="148">
        <v>3.0</v>
      </c>
      <c r="I349" s="148">
        <v>6.0</v>
      </c>
      <c r="J349" s="173">
        <v>50.0</v>
      </c>
      <c r="K349" s="174">
        <v>8.33</v>
      </c>
      <c r="L349" s="82" t="s">
        <v>87</v>
      </c>
    </row>
    <row r="350" ht="222.0" customHeight="1">
      <c r="A350" s="147" t="s">
        <v>350</v>
      </c>
      <c r="B350" s="148" t="s">
        <v>382</v>
      </c>
      <c r="C350" s="148" t="s">
        <v>52</v>
      </c>
      <c r="D350" s="148" t="s">
        <v>2002</v>
      </c>
      <c r="E350" s="172" t="s">
        <v>2003</v>
      </c>
      <c r="F350" s="160" t="s">
        <v>259</v>
      </c>
      <c r="G350" s="148">
        <v>6.0</v>
      </c>
      <c r="H350" s="148">
        <v>3.0</v>
      </c>
      <c r="I350" s="148">
        <v>6.0</v>
      </c>
      <c r="J350" s="173">
        <v>50.0</v>
      </c>
      <c r="K350" s="174">
        <v>8.33</v>
      </c>
      <c r="L350" s="82" t="s">
        <v>87</v>
      </c>
    </row>
    <row r="351" ht="15.75" customHeight="1">
      <c r="A351" s="147" t="s">
        <v>350</v>
      </c>
      <c r="B351" s="148" t="s">
        <v>382</v>
      </c>
      <c r="C351" s="148" t="s">
        <v>52</v>
      </c>
      <c r="D351" s="148" t="s">
        <v>2004</v>
      </c>
      <c r="E351" s="172" t="s">
        <v>2005</v>
      </c>
      <c r="F351" s="160" t="s">
        <v>259</v>
      </c>
      <c r="G351" s="148">
        <v>6.0</v>
      </c>
      <c r="H351" s="148">
        <v>3.0</v>
      </c>
      <c r="I351" s="148">
        <v>6.0</v>
      </c>
      <c r="J351" s="173"/>
      <c r="K351" s="174">
        <v>0.0</v>
      </c>
      <c r="L351" s="82" t="s">
        <v>87</v>
      </c>
    </row>
    <row r="352" ht="238.5" customHeight="1">
      <c r="A352" s="147" t="s">
        <v>350</v>
      </c>
      <c r="B352" s="148" t="s">
        <v>382</v>
      </c>
      <c r="C352" s="148" t="s">
        <v>52</v>
      </c>
      <c r="D352" s="148" t="s">
        <v>2006</v>
      </c>
      <c r="E352" s="172" t="s">
        <v>2007</v>
      </c>
      <c r="F352" s="160" t="s">
        <v>259</v>
      </c>
      <c r="G352" s="148">
        <v>6.0</v>
      </c>
      <c r="H352" s="148">
        <v>3.0</v>
      </c>
      <c r="I352" s="148">
        <v>6.0</v>
      </c>
      <c r="J352" s="173">
        <v>50.0</v>
      </c>
      <c r="K352" s="174">
        <v>8.33</v>
      </c>
      <c r="L352" s="82" t="s">
        <v>87</v>
      </c>
    </row>
    <row r="353" ht="160.5" customHeight="1">
      <c r="A353" s="148" t="s">
        <v>2008</v>
      </c>
      <c r="B353" s="148" t="s">
        <v>2009</v>
      </c>
      <c r="C353" s="148" t="s">
        <v>52</v>
      </c>
      <c r="D353" s="148" t="s">
        <v>2010</v>
      </c>
      <c r="E353" s="161" t="s">
        <v>2011</v>
      </c>
      <c r="F353" s="148" t="s">
        <v>1264</v>
      </c>
      <c r="G353" s="148">
        <v>3.0</v>
      </c>
      <c r="H353" s="148">
        <v>3.0</v>
      </c>
      <c r="I353" s="148">
        <v>3.0</v>
      </c>
      <c r="J353" s="148">
        <v>50.0</v>
      </c>
      <c r="K353" s="162">
        <f>J353/H353</f>
        <v>16.66666667</v>
      </c>
      <c r="L353" s="82" t="s">
        <v>87</v>
      </c>
    </row>
    <row r="354" ht="15.0" customHeight="1">
      <c r="A354" s="82" t="s">
        <v>2012</v>
      </c>
      <c r="B354" s="82" t="s">
        <v>2013</v>
      </c>
      <c r="C354" s="82" t="s">
        <v>52</v>
      </c>
      <c r="D354" s="82" t="s">
        <v>2014</v>
      </c>
      <c r="E354" s="79" t="s">
        <v>2015</v>
      </c>
      <c r="F354" s="82" t="s">
        <v>314</v>
      </c>
      <c r="G354" s="82">
        <v>2.0</v>
      </c>
      <c r="H354" s="82">
        <v>2.0</v>
      </c>
      <c r="I354" s="82">
        <v>2.0</v>
      </c>
      <c r="J354" s="82">
        <v>50.0</v>
      </c>
      <c r="K354" s="92">
        <v>25.0</v>
      </c>
      <c r="L354" s="82" t="s">
        <v>87</v>
      </c>
    </row>
    <row r="355" ht="15.0" customHeight="1">
      <c r="A355" s="82" t="s">
        <v>1555</v>
      </c>
      <c r="B355" s="82" t="s">
        <v>1556</v>
      </c>
      <c r="C355" s="82" t="s">
        <v>52</v>
      </c>
      <c r="D355" s="82" t="s">
        <v>2016</v>
      </c>
      <c r="E355" s="79" t="s">
        <v>2017</v>
      </c>
      <c r="F355" s="82" t="s">
        <v>1264</v>
      </c>
      <c r="G355" s="82">
        <v>6.0</v>
      </c>
      <c r="H355" s="82">
        <v>6.0</v>
      </c>
      <c r="I355" s="82">
        <v>6.0</v>
      </c>
      <c r="J355" s="82">
        <v>50.0</v>
      </c>
      <c r="K355" s="92">
        <f t="shared" ref="K355:K376" si="12">J355/H355</f>
        <v>8.333333333</v>
      </c>
      <c r="L355" s="82" t="s">
        <v>59</v>
      </c>
    </row>
    <row r="356" ht="15.0" customHeight="1">
      <c r="A356" s="82" t="s">
        <v>1555</v>
      </c>
      <c r="B356" s="82" t="s">
        <v>1556</v>
      </c>
      <c r="C356" s="82" t="s">
        <v>52</v>
      </c>
      <c r="D356" s="82" t="s">
        <v>2018</v>
      </c>
      <c r="E356" s="79" t="s">
        <v>2019</v>
      </c>
      <c r="F356" s="82" t="s">
        <v>1264</v>
      </c>
      <c r="G356" s="82">
        <v>6.0</v>
      </c>
      <c r="H356" s="82">
        <v>6.0</v>
      </c>
      <c r="I356" s="82">
        <v>6.0</v>
      </c>
      <c r="J356" s="82">
        <v>50.0</v>
      </c>
      <c r="K356" s="92">
        <f t="shared" si="12"/>
        <v>8.333333333</v>
      </c>
      <c r="L356" s="82" t="s">
        <v>59</v>
      </c>
    </row>
    <row r="357" ht="15.0" customHeight="1">
      <c r="A357" s="82" t="s">
        <v>2020</v>
      </c>
      <c r="B357" s="82" t="s">
        <v>2021</v>
      </c>
      <c r="C357" s="82" t="s">
        <v>52</v>
      </c>
      <c r="D357" s="82" t="s">
        <v>2022</v>
      </c>
      <c r="E357" s="79" t="s">
        <v>2023</v>
      </c>
      <c r="F357" s="82" t="s">
        <v>314</v>
      </c>
      <c r="G357" s="82">
        <v>3.0</v>
      </c>
      <c r="H357" s="82">
        <v>3.0</v>
      </c>
      <c r="I357" s="82">
        <v>4.0</v>
      </c>
      <c r="J357" s="82">
        <v>50.0</v>
      </c>
      <c r="K357" s="92">
        <f t="shared" si="12"/>
        <v>16.66666667</v>
      </c>
      <c r="L357" s="82" t="s">
        <v>59</v>
      </c>
    </row>
    <row r="358" ht="15.0" customHeight="1">
      <c r="A358" s="100" t="s">
        <v>2020</v>
      </c>
      <c r="B358" s="82" t="s">
        <v>2021</v>
      </c>
      <c r="C358" s="82" t="s">
        <v>52</v>
      </c>
      <c r="D358" s="82" t="s">
        <v>2024</v>
      </c>
      <c r="E358" s="79" t="s">
        <v>1573</v>
      </c>
      <c r="F358" s="82" t="s">
        <v>314</v>
      </c>
      <c r="G358" s="82">
        <v>3.0</v>
      </c>
      <c r="H358" s="82">
        <v>3.0</v>
      </c>
      <c r="I358" s="82">
        <v>4.0</v>
      </c>
      <c r="J358" s="82">
        <v>50.0</v>
      </c>
      <c r="K358" s="92">
        <f t="shared" si="12"/>
        <v>16.66666667</v>
      </c>
      <c r="L358" s="82" t="s">
        <v>59</v>
      </c>
    </row>
    <row r="359" ht="15.0" customHeight="1">
      <c r="A359" s="100" t="s">
        <v>2020</v>
      </c>
      <c r="B359" s="82" t="s">
        <v>2021</v>
      </c>
      <c r="C359" s="82" t="s">
        <v>52</v>
      </c>
      <c r="D359" s="82" t="s">
        <v>2025</v>
      </c>
      <c r="E359" s="79" t="s">
        <v>1641</v>
      </c>
      <c r="F359" s="82" t="s">
        <v>314</v>
      </c>
      <c r="G359" s="82">
        <v>3.0</v>
      </c>
      <c r="H359" s="82">
        <v>3.0</v>
      </c>
      <c r="I359" s="82">
        <v>4.0</v>
      </c>
      <c r="J359" s="82">
        <v>50.0</v>
      </c>
      <c r="K359" s="92">
        <f t="shared" si="12"/>
        <v>16.66666667</v>
      </c>
      <c r="L359" s="82" t="s">
        <v>59</v>
      </c>
    </row>
    <row r="360" ht="15.0" customHeight="1">
      <c r="A360" s="100" t="s">
        <v>2020</v>
      </c>
      <c r="B360" s="82" t="s">
        <v>2021</v>
      </c>
      <c r="C360" s="82" t="s">
        <v>52</v>
      </c>
      <c r="D360" s="82" t="s">
        <v>2026</v>
      </c>
      <c r="E360" s="79" t="s">
        <v>1645</v>
      </c>
      <c r="F360" s="82" t="s">
        <v>314</v>
      </c>
      <c r="G360" s="82">
        <v>3.0</v>
      </c>
      <c r="H360" s="82">
        <v>3.0</v>
      </c>
      <c r="I360" s="82">
        <v>4.0</v>
      </c>
      <c r="J360" s="82">
        <v>50.0</v>
      </c>
      <c r="K360" s="92">
        <f t="shared" si="12"/>
        <v>16.66666667</v>
      </c>
      <c r="L360" s="82" t="s">
        <v>59</v>
      </c>
    </row>
    <row r="361" ht="15.0" customHeight="1">
      <c r="A361" s="100" t="s">
        <v>2020</v>
      </c>
      <c r="B361" s="100" t="s">
        <v>2021</v>
      </c>
      <c r="C361" s="175"/>
      <c r="D361" s="100" t="s">
        <v>2027</v>
      </c>
      <c r="E361" s="154" t="s">
        <v>2028</v>
      </c>
      <c r="F361" s="100" t="s">
        <v>314</v>
      </c>
      <c r="G361" s="100">
        <v>3.0</v>
      </c>
      <c r="H361" s="100">
        <v>3.0</v>
      </c>
      <c r="I361" s="100">
        <v>4.0</v>
      </c>
      <c r="J361" s="100">
        <v>50.0</v>
      </c>
      <c r="K361" s="151">
        <f t="shared" si="12"/>
        <v>16.66666667</v>
      </c>
      <c r="L361" s="82" t="s">
        <v>59</v>
      </c>
    </row>
    <row r="362" ht="15.0" customHeight="1">
      <c r="A362" s="82" t="s">
        <v>1555</v>
      </c>
      <c r="B362" s="82" t="s">
        <v>1556</v>
      </c>
      <c r="C362" s="82" t="s">
        <v>52</v>
      </c>
      <c r="D362" s="82" t="s">
        <v>2029</v>
      </c>
      <c r="E362" s="79" t="s">
        <v>2030</v>
      </c>
      <c r="F362" s="82" t="s">
        <v>314</v>
      </c>
      <c r="G362" s="82">
        <v>6.0</v>
      </c>
      <c r="H362" s="82">
        <v>6.0</v>
      </c>
      <c r="I362" s="82">
        <v>6.0</v>
      </c>
      <c r="J362" s="82">
        <v>50.0</v>
      </c>
      <c r="K362" s="92">
        <f t="shared" si="12"/>
        <v>8.333333333</v>
      </c>
      <c r="L362" s="82" t="s">
        <v>59</v>
      </c>
    </row>
    <row r="363" ht="15.0" customHeight="1">
      <c r="A363" s="82" t="s">
        <v>1565</v>
      </c>
      <c r="B363" s="82" t="s">
        <v>1566</v>
      </c>
      <c r="C363" s="100" t="s">
        <v>52</v>
      </c>
      <c r="D363" s="82" t="s">
        <v>2031</v>
      </c>
      <c r="E363" s="79" t="s">
        <v>1450</v>
      </c>
      <c r="F363" s="82" t="s">
        <v>1264</v>
      </c>
      <c r="G363" s="82">
        <v>6.0</v>
      </c>
      <c r="H363" s="82">
        <v>6.0</v>
      </c>
      <c r="I363" s="82">
        <v>6.0</v>
      </c>
      <c r="J363" s="82">
        <v>50.0</v>
      </c>
      <c r="K363" s="92">
        <f t="shared" si="12"/>
        <v>8.333333333</v>
      </c>
      <c r="L363" s="82" t="s">
        <v>59</v>
      </c>
    </row>
    <row r="364" ht="15.0" customHeight="1">
      <c r="A364" s="82" t="s">
        <v>1565</v>
      </c>
      <c r="B364" s="82" t="s">
        <v>1566</v>
      </c>
      <c r="C364" s="100" t="s">
        <v>52</v>
      </c>
      <c r="D364" s="82" t="s">
        <v>2032</v>
      </c>
      <c r="E364" s="79" t="s">
        <v>2033</v>
      </c>
      <c r="F364" s="82" t="s">
        <v>1264</v>
      </c>
      <c r="G364" s="82">
        <v>6.0</v>
      </c>
      <c r="H364" s="82">
        <v>6.0</v>
      </c>
      <c r="I364" s="82">
        <v>6.0</v>
      </c>
      <c r="J364" s="82">
        <v>50.0</v>
      </c>
      <c r="K364" s="92">
        <f t="shared" si="12"/>
        <v>8.333333333</v>
      </c>
      <c r="L364" s="82" t="s">
        <v>59</v>
      </c>
    </row>
    <row r="365" ht="15.0" customHeight="1">
      <c r="A365" s="82" t="s">
        <v>1565</v>
      </c>
      <c r="B365" s="82" t="s">
        <v>1566</v>
      </c>
      <c r="C365" s="82" t="s">
        <v>52</v>
      </c>
      <c r="D365" s="82" t="s">
        <v>2034</v>
      </c>
      <c r="E365" s="79" t="s">
        <v>2035</v>
      </c>
      <c r="F365" s="82" t="s">
        <v>314</v>
      </c>
      <c r="G365" s="82">
        <v>6.0</v>
      </c>
      <c r="H365" s="82">
        <v>6.0</v>
      </c>
      <c r="I365" s="82">
        <v>6.0</v>
      </c>
      <c r="J365" s="82">
        <v>50.0</v>
      </c>
      <c r="K365" s="92">
        <f t="shared" si="12"/>
        <v>8.333333333</v>
      </c>
      <c r="L365" s="82" t="s">
        <v>59</v>
      </c>
    </row>
    <row r="366" ht="15.0" customHeight="1">
      <c r="A366" s="82" t="s">
        <v>1565</v>
      </c>
      <c r="B366" s="82" t="s">
        <v>1566</v>
      </c>
      <c r="C366" s="100" t="s">
        <v>52</v>
      </c>
      <c r="D366" s="82" t="s">
        <v>2036</v>
      </c>
      <c r="E366" s="79" t="s">
        <v>1573</v>
      </c>
      <c r="F366" s="82" t="s">
        <v>314</v>
      </c>
      <c r="G366" s="82">
        <v>6.0</v>
      </c>
      <c r="H366" s="82">
        <v>6.0</v>
      </c>
      <c r="I366" s="82">
        <v>6.0</v>
      </c>
      <c r="J366" s="82">
        <v>50.0</v>
      </c>
      <c r="K366" s="92">
        <f t="shared" si="12"/>
        <v>8.333333333</v>
      </c>
      <c r="L366" s="82" t="s">
        <v>59</v>
      </c>
    </row>
    <row r="367" ht="15.0" customHeight="1">
      <c r="A367" s="100" t="s">
        <v>2037</v>
      </c>
      <c r="B367" s="82" t="s">
        <v>2038</v>
      </c>
      <c r="C367" s="82" t="s">
        <v>52</v>
      </c>
      <c r="D367" s="82" t="s">
        <v>2039</v>
      </c>
      <c r="E367" s="79" t="s">
        <v>2040</v>
      </c>
      <c r="F367" s="82" t="s">
        <v>1264</v>
      </c>
      <c r="G367" s="82">
        <v>4.0</v>
      </c>
      <c r="H367" s="82">
        <v>4.0</v>
      </c>
      <c r="I367" s="82">
        <v>4.0</v>
      </c>
      <c r="J367" s="82">
        <v>50.0</v>
      </c>
      <c r="K367" s="92">
        <f t="shared" si="12"/>
        <v>12.5</v>
      </c>
      <c r="L367" s="82" t="s">
        <v>59</v>
      </c>
    </row>
    <row r="368" ht="15.0" customHeight="1">
      <c r="A368" s="100" t="s">
        <v>2037</v>
      </c>
      <c r="B368" s="82" t="s">
        <v>2038</v>
      </c>
      <c r="C368" s="82" t="s">
        <v>52</v>
      </c>
      <c r="D368" s="82" t="s">
        <v>2041</v>
      </c>
      <c r="E368" s="79" t="s">
        <v>2042</v>
      </c>
      <c r="F368" s="82" t="s">
        <v>1264</v>
      </c>
      <c r="G368" s="82">
        <v>4.0</v>
      </c>
      <c r="H368" s="82">
        <v>4.0</v>
      </c>
      <c r="I368" s="82">
        <v>4.0</v>
      </c>
      <c r="J368" s="82">
        <v>50.0</v>
      </c>
      <c r="K368" s="92">
        <f t="shared" si="12"/>
        <v>12.5</v>
      </c>
      <c r="L368" s="82" t="s">
        <v>59</v>
      </c>
    </row>
    <row r="369" ht="15.0" customHeight="1">
      <c r="A369" s="100" t="s">
        <v>2037</v>
      </c>
      <c r="B369" s="82" t="s">
        <v>2038</v>
      </c>
      <c r="C369" s="82" t="s">
        <v>52</v>
      </c>
      <c r="D369" s="82" t="s">
        <v>2043</v>
      </c>
      <c r="E369" s="79" t="s">
        <v>2044</v>
      </c>
      <c r="F369" s="82" t="s">
        <v>1264</v>
      </c>
      <c r="G369" s="82">
        <v>4.0</v>
      </c>
      <c r="H369" s="82">
        <v>4.0</v>
      </c>
      <c r="I369" s="82">
        <v>4.0</v>
      </c>
      <c r="J369" s="82">
        <v>50.0</v>
      </c>
      <c r="K369" s="92">
        <f t="shared" si="12"/>
        <v>12.5</v>
      </c>
      <c r="L369" s="82" t="s">
        <v>59</v>
      </c>
    </row>
    <row r="370" ht="15.0" customHeight="1">
      <c r="A370" s="100" t="s">
        <v>2037</v>
      </c>
      <c r="B370" s="82" t="s">
        <v>2038</v>
      </c>
      <c r="C370" s="82" t="s">
        <v>52</v>
      </c>
      <c r="D370" s="82" t="s">
        <v>2045</v>
      </c>
      <c r="E370" s="79" t="s">
        <v>2046</v>
      </c>
      <c r="F370" s="82" t="s">
        <v>314</v>
      </c>
      <c r="G370" s="82">
        <v>4.0</v>
      </c>
      <c r="H370" s="82">
        <v>4.0</v>
      </c>
      <c r="I370" s="82">
        <v>4.0</v>
      </c>
      <c r="J370" s="82">
        <v>50.0</v>
      </c>
      <c r="K370" s="92">
        <f t="shared" si="12"/>
        <v>12.5</v>
      </c>
      <c r="L370" s="82" t="s">
        <v>59</v>
      </c>
    </row>
    <row r="371" ht="15.0" customHeight="1">
      <c r="A371" s="100" t="s">
        <v>2037</v>
      </c>
      <c r="B371" s="82" t="s">
        <v>2038</v>
      </c>
      <c r="C371" s="82" t="s">
        <v>52</v>
      </c>
      <c r="D371" s="82" t="s">
        <v>2047</v>
      </c>
      <c r="E371" s="79" t="s">
        <v>2048</v>
      </c>
      <c r="F371" s="82" t="s">
        <v>314</v>
      </c>
      <c r="G371" s="82">
        <v>4.0</v>
      </c>
      <c r="H371" s="82">
        <v>4.0</v>
      </c>
      <c r="I371" s="82">
        <v>4.0</v>
      </c>
      <c r="J371" s="82">
        <v>50.0</v>
      </c>
      <c r="K371" s="92">
        <f t="shared" si="12"/>
        <v>12.5</v>
      </c>
      <c r="L371" s="82" t="s">
        <v>59</v>
      </c>
    </row>
    <row r="372" ht="15.0" customHeight="1">
      <c r="A372" s="78" t="s">
        <v>2049</v>
      </c>
      <c r="B372" s="82" t="s">
        <v>2050</v>
      </c>
      <c r="C372" s="82" t="s">
        <v>52</v>
      </c>
      <c r="D372" s="82" t="s">
        <v>2051</v>
      </c>
      <c r="E372" s="79" t="s">
        <v>2052</v>
      </c>
      <c r="F372" s="82" t="s">
        <v>1264</v>
      </c>
      <c r="G372" s="82">
        <v>4.0</v>
      </c>
      <c r="H372" s="82">
        <v>4.0</v>
      </c>
      <c r="I372" s="82">
        <v>4.0</v>
      </c>
      <c r="J372" s="82">
        <v>50.0</v>
      </c>
      <c r="K372" s="92">
        <f t="shared" si="12"/>
        <v>12.5</v>
      </c>
      <c r="L372" s="82" t="s">
        <v>59</v>
      </c>
    </row>
    <row r="373" ht="15.0" customHeight="1">
      <c r="A373" s="82" t="s">
        <v>2008</v>
      </c>
      <c r="B373" s="82" t="s">
        <v>2009</v>
      </c>
      <c r="C373" s="82" t="s">
        <v>52</v>
      </c>
      <c r="D373" s="82" t="s">
        <v>2053</v>
      </c>
      <c r="E373" s="79" t="s">
        <v>2011</v>
      </c>
      <c r="F373" s="82" t="s">
        <v>1264</v>
      </c>
      <c r="G373" s="82">
        <v>3.0</v>
      </c>
      <c r="H373" s="82">
        <v>3.0</v>
      </c>
      <c r="I373" s="82">
        <v>3.0</v>
      </c>
      <c r="J373" s="82">
        <v>50.0</v>
      </c>
      <c r="K373" s="92">
        <f t="shared" si="12"/>
        <v>16.66666667</v>
      </c>
      <c r="L373" s="82" t="s">
        <v>59</v>
      </c>
    </row>
    <row r="374" ht="15.0" customHeight="1">
      <c r="A374" s="82" t="s">
        <v>2054</v>
      </c>
      <c r="B374" s="82" t="s">
        <v>2055</v>
      </c>
      <c r="C374" s="82" t="s">
        <v>52</v>
      </c>
      <c r="D374" s="82" t="s">
        <v>2056</v>
      </c>
      <c r="E374" s="79" t="s">
        <v>2057</v>
      </c>
      <c r="F374" s="82" t="s">
        <v>314</v>
      </c>
      <c r="G374" s="82">
        <v>4.0</v>
      </c>
      <c r="H374" s="82">
        <v>4.0</v>
      </c>
      <c r="I374" s="82">
        <v>4.0</v>
      </c>
      <c r="J374" s="82">
        <v>50.0</v>
      </c>
      <c r="K374" s="92">
        <f t="shared" si="12"/>
        <v>12.5</v>
      </c>
      <c r="L374" s="82" t="s">
        <v>59</v>
      </c>
    </row>
    <row r="375" ht="15.0" customHeight="1">
      <c r="A375" s="82" t="s">
        <v>2012</v>
      </c>
      <c r="B375" s="82" t="s">
        <v>2013</v>
      </c>
      <c r="C375" s="82" t="s">
        <v>52</v>
      </c>
      <c r="D375" s="82" t="s">
        <v>2058</v>
      </c>
      <c r="E375" s="79" t="s">
        <v>2059</v>
      </c>
      <c r="F375" s="82" t="s">
        <v>314</v>
      </c>
      <c r="G375" s="82">
        <v>2.0</v>
      </c>
      <c r="H375" s="82">
        <v>2.0</v>
      </c>
      <c r="I375" s="82">
        <v>2.0</v>
      </c>
      <c r="J375" s="82">
        <v>50.0</v>
      </c>
      <c r="K375" s="92">
        <f t="shared" si="12"/>
        <v>25</v>
      </c>
      <c r="L375" s="82" t="s">
        <v>59</v>
      </c>
    </row>
    <row r="376" ht="15.0" customHeight="1">
      <c r="A376" s="82" t="s">
        <v>2060</v>
      </c>
      <c r="B376" s="82" t="s">
        <v>2061</v>
      </c>
      <c r="C376" s="82" t="s">
        <v>52</v>
      </c>
      <c r="D376" s="82" t="s">
        <v>2062</v>
      </c>
      <c r="E376" s="79" t="s">
        <v>2063</v>
      </c>
      <c r="F376" s="82" t="s">
        <v>314</v>
      </c>
      <c r="G376" s="82">
        <v>5.0</v>
      </c>
      <c r="H376" s="82">
        <v>5.0</v>
      </c>
      <c r="I376" s="82">
        <v>5.0</v>
      </c>
      <c r="J376" s="82">
        <v>50.0</v>
      </c>
      <c r="K376" s="92">
        <f t="shared" si="12"/>
        <v>10</v>
      </c>
      <c r="L376" s="82" t="s">
        <v>59</v>
      </c>
    </row>
    <row r="377" ht="15.0" customHeight="1">
      <c r="A377" s="82" t="s">
        <v>1824</v>
      </c>
      <c r="B377" s="78" t="s">
        <v>1788</v>
      </c>
      <c r="C377" s="82" t="s">
        <v>52</v>
      </c>
      <c r="D377" s="82" t="s">
        <v>1825</v>
      </c>
      <c r="E377" s="79" t="s">
        <v>1526</v>
      </c>
      <c r="F377" s="82" t="s">
        <v>314</v>
      </c>
      <c r="G377" s="82">
        <v>4.0</v>
      </c>
      <c r="H377" s="82">
        <v>4.0</v>
      </c>
      <c r="I377" s="82">
        <v>4.0</v>
      </c>
      <c r="J377" s="82">
        <v>50.0</v>
      </c>
      <c r="K377" s="82">
        <f>50/4</f>
        <v>12.5</v>
      </c>
      <c r="L377" s="82" t="s">
        <v>91</v>
      </c>
    </row>
    <row r="378" ht="15.0" customHeight="1">
      <c r="A378" s="78" t="s">
        <v>1827</v>
      </c>
      <c r="B378" s="82" t="s">
        <v>1828</v>
      </c>
      <c r="C378" s="82" t="s">
        <v>52</v>
      </c>
      <c r="D378" s="82" t="s">
        <v>1825</v>
      </c>
      <c r="E378" s="79" t="s">
        <v>1526</v>
      </c>
      <c r="F378" s="82" t="s">
        <v>314</v>
      </c>
      <c r="G378" s="82">
        <v>4.0</v>
      </c>
      <c r="H378" s="82">
        <v>4.0</v>
      </c>
      <c r="I378" s="82">
        <v>4.0</v>
      </c>
      <c r="J378" s="82">
        <v>50.0</v>
      </c>
      <c r="K378" s="82">
        <f>J378/I378</f>
        <v>12.5</v>
      </c>
      <c r="L378" s="82" t="s">
        <v>91</v>
      </c>
    </row>
    <row r="379" ht="15.0" customHeight="1">
      <c r="A379" s="82" t="s">
        <v>1829</v>
      </c>
      <c r="B379" s="78" t="s">
        <v>1830</v>
      </c>
      <c r="C379" s="82" t="s">
        <v>52</v>
      </c>
      <c r="D379" s="82" t="s">
        <v>1831</v>
      </c>
      <c r="E379" s="79" t="s">
        <v>2064</v>
      </c>
      <c r="F379" s="86" t="s">
        <v>1833</v>
      </c>
      <c r="G379" s="82">
        <v>4.0</v>
      </c>
      <c r="H379" s="82">
        <v>3.0</v>
      </c>
      <c r="I379" s="82">
        <v>4.0</v>
      </c>
      <c r="J379" s="152">
        <v>50.0</v>
      </c>
      <c r="K379" s="84">
        <f>J379/H379</f>
        <v>16.66666667</v>
      </c>
      <c r="L379" s="82" t="s">
        <v>91</v>
      </c>
    </row>
    <row r="380" ht="15.0" customHeight="1">
      <c r="A380" s="78" t="s">
        <v>1834</v>
      </c>
      <c r="B380" s="78" t="s">
        <v>243</v>
      </c>
      <c r="C380" s="82" t="s">
        <v>52</v>
      </c>
      <c r="D380" s="82" t="s">
        <v>1835</v>
      </c>
      <c r="E380" s="87" t="s">
        <v>1588</v>
      </c>
      <c r="F380" s="86" t="s">
        <v>1833</v>
      </c>
      <c r="G380" s="82">
        <v>5.0</v>
      </c>
      <c r="H380" s="82">
        <v>5.0</v>
      </c>
      <c r="I380" s="82">
        <v>5.0</v>
      </c>
      <c r="J380" s="152">
        <v>50.0</v>
      </c>
      <c r="K380" s="84">
        <f t="shared" ref="K380:K385" si="13">J380/I380</f>
        <v>10</v>
      </c>
      <c r="L380" s="82" t="s">
        <v>91</v>
      </c>
    </row>
    <row r="381" ht="15.0" customHeight="1">
      <c r="A381" s="82" t="s">
        <v>1837</v>
      </c>
      <c r="B381" s="82" t="s">
        <v>1838</v>
      </c>
      <c r="C381" s="82" t="s">
        <v>52</v>
      </c>
      <c r="D381" s="82" t="s">
        <v>1835</v>
      </c>
      <c r="E381" s="82" t="s">
        <v>1588</v>
      </c>
      <c r="F381" s="86" t="s">
        <v>1256</v>
      </c>
      <c r="G381" s="82">
        <v>4.0</v>
      </c>
      <c r="H381" s="82">
        <v>4.0</v>
      </c>
      <c r="I381" s="82">
        <v>4.0</v>
      </c>
      <c r="J381" s="152">
        <v>50.0</v>
      </c>
      <c r="K381" s="84">
        <f t="shared" si="13"/>
        <v>12.5</v>
      </c>
      <c r="L381" s="82" t="s">
        <v>91</v>
      </c>
    </row>
    <row r="382" ht="15.0" customHeight="1">
      <c r="A382" s="82" t="s">
        <v>1839</v>
      </c>
      <c r="B382" s="82" t="s">
        <v>1840</v>
      </c>
      <c r="C382" s="82" t="s">
        <v>52</v>
      </c>
      <c r="D382" s="82" t="s">
        <v>1841</v>
      </c>
      <c r="E382" s="82" t="s">
        <v>1615</v>
      </c>
      <c r="F382" s="86" t="s">
        <v>314</v>
      </c>
      <c r="G382" s="82">
        <v>4.0</v>
      </c>
      <c r="H382" s="82">
        <v>4.0</v>
      </c>
      <c r="I382" s="82">
        <v>4.0</v>
      </c>
      <c r="J382" s="152">
        <v>50.0</v>
      </c>
      <c r="K382" s="84">
        <f t="shared" si="13"/>
        <v>12.5</v>
      </c>
      <c r="L382" s="82" t="s">
        <v>91</v>
      </c>
    </row>
    <row r="383" ht="15.0" customHeight="1">
      <c r="A383" s="82" t="s">
        <v>1824</v>
      </c>
      <c r="B383" s="78" t="s">
        <v>1788</v>
      </c>
      <c r="C383" s="82" t="s">
        <v>52</v>
      </c>
      <c r="D383" s="82" t="s">
        <v>1843</v>
      </c>
      <c r="E383" s="79" t="s">
        <v>1613</v>
      </c>
      <c r="F383" s="86" t="s">
        <v>314</v>
      </c>
      <c r="G383" s="82">
        <v>4.0</v>
      </c>
      <c r="H383" s="82">
        <v>4.0</v>
      </c>
      <c r="I383" s="82">
        <v>4.0</v>
      </c>
      <c r="J383" s="152">
        <v>50.0</v>
      </c>
      <c r="K383" s="84">
        <f t="shared" si="13"/>
        <v>12.5</v>
      </c>
      <c r="L383" s="82" t="s">
        <v>91</v>
      </c>
    </row>
    <row r="384" ht="15.0" customHeight="1">
      <c r="A384" s="82" t="s">
        <v>1824</v>
      </c>
      <c r="B384" s="78" t="s">
        <v>1788</v>
      </c>
      <c r="C384" s="82" t="s">
        <v>52</v>
      </c>
      <c r="D384" s="82" t="s">
        <v>1845</v>
      </c>
      <c r="E384" s="79" t="s">
        <v>1580</v>
      </c>
      <c r="F384" s="86" t="s">
        <v>314</v>
      </c>
      <c r="G384" s="82">
        <v>4.0</v>
      </c>
      <c r="H384" s="82">
        <v>4.0</v>
      </c>
      <c r="I384" s="82">
        <v>4.0</v>
      </c>
      <c r="J384" s="152">
        <v>50.0</v>
      </c>
      <c r="K384" s="84">
        <f t="shared" si="13"/>
        <v>12.5</v>
      </c>
      <c r="L384" s="82" t="s">
        <v>91</v>
      </c>
    </row>
    <row r="385" ht="15.0" customHeight="1">
      <c r="A385" s="82" t="s">
        <v>1824</v>
      </c>
      <c r="B385" s="78" t="s">
        <v>1788</v>
      </c>
      <c r="C385" s="82" t="s">
        <v>52</v>
      </c>
      <c r="D385" s="82" t="s">
        <v>1847</v>
      </c>
      <c r="E385" s="79" t="s">
        <v>2065</v>
      </c>
      <c r="F385" s="86" t="s">
        <v>314</v>
      </c>
      <c r="G385" s="86">
        <v>4.0</v>
      </c>
      <c r="H385" s="86">
        <v>4.0</v>
      </c>
      <c r="I385" s="86">
        <v>4.0</v>
      </c>
      <c r="J385" s="152">
        <v>50.0</v>
      </c>
      <c r="K385" s="84">
        <f t="shared" si="13"/>
        <v>12.5</v>
      </c>
      <c r="L385" s="82" t="s">
        <v>91</v>
      </c>
    </row>
    <row r="386" ht="15.0" customHeight="1">
      <c r="A386" s="78" t="s">
        <v>350</v>
      </c>
      <c r="B386" s="78" t="s">
        <v>382</v>
      </c>
      <c r="C386" s="100" t="s">
        <v>52</v>
      </c>
      <c r="D386" s="100" t="s">
        <v>1996</v>
      </c>
      <c r="E386" s="150" t="s">
        <v>1997</v>
      </c>
      <c r="F386" s="164" t="s">
        <v>1437</v>
      </c>
      <c r="G386" s="82">
        <v>6.0</v>
      </c>
      <c r="H386" s="82">
        <v>3.0</v>
      </c>
      <c r="I386" s="82">
        <v>6.0</v>
      </c>
      <c r="J386" s="82">
        <v>50.0</v>
      </c>
      <c r="K386" s="92">
        <f t="shared" ref="K386:K514" si="14">J386/G386</f>
        <v>8.333333333</v>
      </c>
      <c r="L386" s="82" t="s">
        <v>85</v>
      </c>
    </row>
    <row r="387" ht="15.0" customHeight="1">
      <c r="A387" s="78" t="s">
        <v>350</v>
      </c>
      <c r="B387" s="78" t="s">
        <v>382</v>
      </c>
      <c r="C387" s="100" t="s">
        <v>52</v>
      </c>
      <c r="D387" s="100" t="s">
        <v>1998</v>
      </c>
      <c r="E387" s="150" t="s">
        <v>1999</v>
      </c>
      <c r="F387" s="164" t="s">
        <v>1437</v>
      </c>
      <c r="G387" s="82">
        <v>6.0</v>
      </c>
      <c r="H387" s="82">
        <v>3.0</v>
      </c>
      <c r="I387" s="82">
        <v>6.0</v>
      </c>
      <c r="J387" s="82">
        <v>50.0</v>
      </c>
      <c r="K387" s="92">
        <f t="shared" si="14"/>
        <v>8.333333333</v>
      </c>
      <c r="L387" s="82" t="s">
        <v>85</v>
      </c>
    </row>
    <row r="388" ht="15.0" customHeight="1">
      <c r="A388" s="78" t="s">
        <v>350</v>
      </c>
      <c r="B388" s="78" t="s">
        <v>382</v>
      </c>
      <c r="C388" s="100" t="s">
        <v>52</v>
      </c>
      <c r="D388" s="82" t="s">
        <v>2000</v>
      </c>
      <c r="E388" s="150" t="s">
        <v>2001</v>
      </c>
      <c r="F388" s="164" t="s">
        <v>259</v>
      </c>
      <c r="G388" s="82">
        <v>6.0</v>
      </c>
      <c r="H388" s="82">
        <v>3.0</v>
      </c>
      <c r="I388" s="82">
        <v>6.0</v>
      </c>
      <c r="J388" s="82">
        <v>50.0</v>
      </c>
      <c r="K388" s="92">
        <f t="shared" si="14"/>
        <v>8.333333333</v>
      </c>
      <c r="L388" s="82" t="s">
        <v>85</v>
      </c>
    </row>
    <row r="389" ht="15.0" customHeight="1">
      <c r="A389" s="78" t="s">
        <v>350</v>
      </c>
      <c r="B389" s="78" t="s">
        <v>382</v>
      </c>
      <c r="C389" s="100" t="s">
        <v>52</v>
      </c>
      <c r="D389" s="82" t="s">
        <v>2002</v>
      </c>
      <c r="E389" s="150" t="s">
        <v>2003</v>
      </c>
      <c r="F389" s="164" t="s">
        <v>259</v>
      </c>
      <c r="G389" s="82">
        <v>6.0</v>
      </c>
      <c r="H389" s="82">
        <v>3.0</v>
      </c>
      <c r="I389" s="82">
        <v>6.0</v>
      </c>
      <c r="J389" s="82">
        <v>50.0</v>
      </c>
      <c r="K389" s="92">
        <f t="shared" si="14"/>
        <v>8.333333333</v>
      </c>
      <c r="L389" s="82" t="s">
        <v>85</v>
      </c>
    </row>
    <row r="390" ht="15.0" customHeight="1">
      <c r="A390" s="78" t="s">
        <v>350</v>
      </c>
      <c r="B390" s="78" t="s">
        <v>382</v>
      </c>
      <c r="C390" s="100" t="s">
        <v>52</v>
      </c>
      <c r="D390" s="82" t="s">
        <v>2004</v>
      </c>
      <c r="E390" s="176" t="s">
        <v>2005</v>
      </c>
      <c r="F390" s="164" t="s">
        <v>259</v>
      </c>
      <c r="G390" s="82">
        <v>6.0</v>
      </c>
      <c r="H390" s="82">
        <v>3.0</v>
      </c>
      <c r="I390" s="82">
        <v>6.0</v>
      </c>
      <c r="J390" s="82">
        <v>50.0</v>
      </c>
      <c r="K390" s="92">
        <f t="shared" si="14"/>
        <v>8.333333333</v>
      </c>
      <c r="L390" s="82" t="s">
        <v>85</v>
      </c>
    </row>
    <row r="391" ht="15.0" customHeight="1">
      <c r="A391" s="78" t="s">
        <v>350</v>
      </c>
      <c r="B391" s="78" t="s">
        <v>382</v>
      </c>
      <c r="C391" s="100" t="s">
        <v>52</v>
      </c>
      <c r="D391" s="82" t="s">
        <v>2006</v>
      </c>
      <c r="E391" s="150" t="s">
        <v>2007</v>
      </c>
      <c r="F391" s="164" t="s">
        <v>1437</v>
      </c>
      <c r="G391" s="82">
        <v>6.0</v>
      </c>
      <c r="H391" s="82">
        <v>3.0</v>
      </c>
      <c r="I391" s="82">
        <v>6.0</v>
      </c>
      <c r="J391" s="82">
        <v>50.0</v>
      </c>
      <c r="K391" s="92">
        <f t="shared" si="14"/>
        <v>8.333333333</v>
      </c>
      <c r="L391" s="82" t="s">
        <v>85</v>
      </c>
    </row>
    <row r="392" ht="15.0" customHeight="1">
      <c r="A392" s="78" t="s">
        <v>350</v>
      </c>
      <c r="B392" s="78" t="s">
        <v>382</v>
      </c>
      <c r="C392" s="100" t="s">
        <v>52</v>
      </c>
      <c r="D392" s="82" t="s">
        <v>2066</v>
      </c>
      <c r="E392" s="150" t="s">
        <v>519</v>
      </c>
      <c r="F392" s="164" t="s">
        <v>1256</v>
      </c>
      <c r="G392" s="82">
        <v>6.0</v>
      </c>
      <c r="H392" s="82">
        <v>3.0</v>
      </c>
      <c r="I392" s="82">
        <v>6.0</v>
      </c>
      <c r="J392" s="82">
        <v>50.0</v>
      </c>
      <c r="K392" s="92">
        <f t="shared" si="14"/>
        <v>8.333333333</v>
      </c>
      <c r="L392" s="82" t="s">
        <v>85</v>
      </c>
    </row>
    <row r="393" ht="15.0" customHeight="1">
      <c r="A393" s="78" t="s">
        <v>350</v>
      </c>
      <c r="B393" s="78" t="s">
        <v>382</v>
      </c>
      <c r="C393" s="100" t="s">
        <v>52</v>
      </c>
      <c r="D393" s="82" t="s">
        <v>2067</v>
      </c>
      <c r="E393" s="176" t="s">
        <v>360</v>
      </c>
      <c r="F393" s="164" t="s">
        <v>1256</v>
      </c>
      <c r="G393" s="82">
        <v>6.0</v>
      </c>
      <c r="H393" s="82">
        <v>3.0</v>
      </c>
      <c r="I393" s="82">
        <v>6.0</v>
      </c>
      <c r="J393" s="82">
        <v>50.0</v>
      </c>
      <c r="K393" s="92">
        <f t="shared" si="14"/>
        <v>8.333333333</v>
      </c>
      <c r="L393" s="82" t="s">
        <v>85</v>
      </c>
    </row>
    <row r="394" ht="15.0" customHeight="1">
      <c r="A394" s="78" t="s">
        <v>350</v>
      </c>
      <c r="B394" s="78" t="s">
        <v>382</v>
      </c>
      <c r="C394" s="100" t="s">
        <v>52</v>
      </c>
      <c r="D394" s="82" t="s">
        <v>2068</v>
      </c>
      <c r="E394" s="176" t="s">
        <v>551</v>
      </c>
      <c r="F394" s="164" t="s">
        <v>1256</v>
      </c>
      <c r="G394" s="82">
        <v>6.0</v>
      </c>
      <c r="H394" s="82">
        <v>3.0</v>
      </c>
      <c r="I394" s="82">
        <v>6.0</v>
      </c>
      <c r="J394" s="82">
        <v>50.0</v>
      </c>
      <c r="K394" s="92">
        <f t="shared" si="14"/>
        <v>8.333333333</v>
      </c>
      <c r="L394" s="82" t="s">
        <v>85</v>
      </c>
    </row>
    <row r="395" ht="15.0" customHeight="1">
      <c r="A395" s="78" t="s">
        <v>383</v>
      </c>
      <c r="B395" s="78" t="s">
        <v>335</v>
      </c>
      <c r="C395" s="100" t="s">
        <v>52</v>
      </c>
      <c r="D395" s="82" t="s">
        <v>2069</v>
      </c>
      <c r="E395" s="150" t="s">
        <v>2070</v>
      </c>
      <c r="F395" s="164" t="s">
        <v>890</v>
      </c>
      <c r="G395" s="82">
        <v>3.0</v>
      </c>
      <c r="H395" s="82">
        <v>3.0</v>
      </c>
      <c r="I395" s="82">
        <v>3.0</v>
      </c>
      <c r="J395" s="82">
        <v>50.0</v>
      </c>
      <c r="K395" s="92">
        <f t="shared" si="14"/>
        <v>16.66666667</v>
      </c>
      <c r="L395" s="82" t="s">
        <v>85</v>
      </c>
    </row>
    <row r="396" ht="15.0" customHeight="1">
      <c r="A396" s="82" t="s">
        <v>2071</v>
      </c>
      <c r="B396" s="78" t="s">
        <v>2072</v>
      </c>
      <c r="C396" s="82" t="s">
        <v>52</v>
      </c>
      <c r="D396" s="82" t="s">
        <v>2073</v>
      </c>
      <c r="E396" s="82" t="s">
        <v>2074</v>
      </c>
      <c r="F396" s="82" t="s">
        <v>1264</v>
      </c>
      <c r="G396" s="82">
        <v>4.0</v>
      </c>
      <c r="H396" s="82">
        <v>1.0</v>
      </c>
      <c r="I396" s="82">
        <v>4.0</v>
      </c>
      <c r="J396" s="82">
        <v>50.0</v>
      </c>
      <c r="K396" s="82">
        <f t="shared" si="14"/>
        <v>12.5</v>
      </c>
      <c r="L396" s="82" t="s">
        <v>81</v>
      </c>
    </row>
    <row r="397" ht="15.0" customHeight="1">
      <c r="A397" s="82" t="s">
        <v>2071</v>
      </c>
      <c r="B397" s="78" t="s">
        <v>2072</v>
      </c>
      <c r="C397" s="82" t="s">
        <v>52</v>
      </c>
      <c r="D397" s="82" t="s">
        <v>2075</v>
      </c>
      <c r="E397" s="82" t="s">
        <v>2076</v>
      </c>
      <c r="F397" s="86" t="s">
        <v>1264</v>
      </c>
      <c r="G397" s="82">
        <v>4.0</v>
      </c>
      <c r="H397" s="82">
        <v>1.0</v>
      </c>
      <c r="I397" s="82">
        <v>1.0</v>
      </c>
      <c r="J397" s="82">
        <v>50.0</v>
      </c>
      <c r="K397" s="82">
        <f t="shared" si="14"/>
        <v>12.5</v>
      </c>
      <c r="L397" s="82" t="s">
        <v>81</v>
      </c>
    </row>
    <row r="398" ht="15.0" customHeight="1">
      <c r="A398" s="82" t="s">
        <v>2071</v>
      </c>
      <c r="B398" s="78" t="s">
        <v>2072</v>
      </c>
      <c r="C398" s="82" t="s">
        <v>52</v>
      </c>
      <c r="D398" s="82" t="s">
        <v>2077</v>
      </c>
      <c r="E398" s="82" t="s">
        <v>2078</v>
      </c>
      <c r="F398" s="86" t="s">
        <v>1264</v>
      </c>
      <c r="G398" s="82">
        <v>4.0</v>
      </c>
      <c r="H398" s="82">
        <v>1.0</v>
      </c>
      <c r="I398" s="82">
        <v>1.0</v>
      </c>
      <c r="J398" s="82">
        <v>50.0</v>
      </c>
      <c r="K398" s="82">
        <f t="shared" si="14"/>
        <v>12.5</v>
      </c>
      <c r="L398" s="82" t="s">
        <v>81</v>
      </c>
    </row>
    <row r="399" ht="15.0" customHeight="1">
      <c r="A399" s="82" t="s">
        <v>2079</v>
      </c>
      <c r="B399" s="82" t="s">
        <v>459</v>
      </c>
      <c r="C399" s="82" t="s">
        <v>52</v>
      </c>
      <c r="D399" s="82" t="s">
        <v>2080</v>
      </c>
      <c r="E399" s="82" t="s">
        <v>2081</v>
      </c>
      <c r="F399" s="86" t="s">
        <v>1264</v>
      </c>
      <c r="G399" s="82">
        <v>1.0</v>
      </c>
      <c r="H399" s="82">
        <v>1.0</v>
      </c>
      <c r="I399" s="82">
        <v>7.0</v>
      </c>
      <c r="J399" s="152">
        <v>50.0</v>
      </c>
      <c r="K399" s="82">
        <f t="shared" si="14"/>
        <v>50</v>
      </c>
      <c r="L399" s="82" t="s">
        <v>81</v>
      </c>
    </row>
    <row r="400" ht="15.0" customHeight="1">
      <c r="A400" s="82" t="s">
        <v>2082</v>
      </c>
      <c r="B400" s="82" t="s">
        <v>459</v>
      </c>
      <c r="C400" s="82" t="s">
        <v>52</v>
      </c>
      <c r="D400" s="82" t="s">
        <v>2083</v>
      </c>
      <c r="E400" s="82" t="s">
        <v>2084</v>
      </c>
      <c r="F400" s="86" t="s">
        <v>1264</v>
      </c>
      <c r="G400" s="82">
        <v>1.0</v>
      </c>
      <c r="H400" s="82">
        <v>1.0</v>
      </c>
      <c r="I400" s="82">
        <v>7.0</v>
      </c>
      <c r="J400" s="82">
        <v>50.0</v>
      </c>
      <c r="K400" s="82">
        <f t="shared" si="14"/>
        <v>50</v>
      </c>
      <c r="L400" s="82" t="s">
        <v>81</v>
      </c>
    </row>
    <row r="401" ht="15.0" customHeight="1">
      <c r="A401" s="82" t="s">
        <v>2085</v>
      </c>
      <c r="B401" s="82" t="s">
        <v>459</v>
      </c>
      <c r="C401" s="82" t="s">
        <v>52</v>
      </c>
      <c r="D401" s="82" t="s">
        <v>2086</v>
      </c>
      <c r="E401" s="82" t="s">
        <v>2087</v>
      </c>
      <c r="F401" s="86" t="s">
        <v>1264</v>
      </c>
      <c r="G401" s="82">
        <v>1.0</v>
      </c>
      <c r="H401" s="82">
        <v>1.0</v>
      </c>
      <c r="I401" s="82">
        <v>7.0</v>
      </c>
      <c r="J401" s="82">
        <v>50.0</v>
      </c>
      <c r="K401" s="82">
        <f t="shared" si="14"/>
        <v>50</v>
      </c>
      <c r="L401" s="82" t="s">
        <v>81</v>
      </c>
    </row>
    <row r="402" ht="15.0" customHeight="1">
      <c r="A402" s="82" t="s">
        <v>2085</v>
      </c>
      <c r="B402" s="82" t="s">
        <v>459</v>
      </c>
      <c r="C402" s="82" t="s">
        <v>52</v>
      </c>
      <c r="D402" s="82" t="s">
        <v>2088</v>
      </c>
      <c r="E402" s="82" t="s">
        <v>2089</v>
      </c>
      <c r="F402" s="86" t="s">
        <v>1264</v>
      </c>
      <c r="G402" s="82">
        <v>1.0</v>
      </c>
      <c r="H402" s="82">
        <v>1.0</v>
      </c>
      <c r="I402" s="82">
        <v>7.0</v>
      </c>
      <c r="J402" s="82">
        <v>50.0</v>
      </c>
      <c r="K402" s="82">
        <f t="shared" si="14"/>
        <v>50</v>
      </c>
      <c r="L402" s="82" t="s">
        <v>81</v>
      </c>
    </row>
    <row r="403" ht="15.0" customHeight="1">
      <c r="A403" s="82" t="s">
        <v>2085</v>
      </c>
      <c r="B403" s="82" t="s">
        <v>459</v>
      </c>
      <c r="C403" s="82" t="s">
        <v>52</v>
      </c>
      <c r="D403" s="82" t="s">
        <v>2090</v>
      </c>
      <c r="E403" s="82" t="s">
        <v>2091</v>
      </c>
      <c r="F403" s="86" t="s">
        <v>1264</v>
      </c>
      <c r="G403" s="82">
        <v>1.0</v>
      </c>
      <c r="H403" s="82">
        <v>1.0</v>
      </c>
      <c r="I403" s="82">
        <v>7.0</v>
      </c>
      <c r="J403" s="82">
        <v>50.0</v>
      </c>
      <c r="K403" s="82">
        <f t="shared" si="14"/>
        <v>50</v>
      </c>
      <c r="L403" s="82" t="s">
        <v>81</v>
      </c>
    </row>
    <row r="404" ht="15.0" customHeight="1">
      <c r="A404" s="82" t="s">
        <v>2085</v>
      </c>
      <c r="B404" s="82" t="s">
        <v>459</v>
      </c>
      <c r="C404" s="82" t="s">
        <v>52</v>
      </c>
      <c r="D404" s="82" t="s">
        <v>2092</v>
      </c>
      <c r="E404" s="82" t="s">
        <v>2093</v>
      </c>
      <c r="F404" s="155" t="s">
        <v>1264</v>
      </c>
      <c r="G404" s="82">
        <v>1.0</v>
      </c>
      <c r="H404" s="82">
        <v>1.0</v>
      </c>
      <c r="I404" s="82">
        <v>7.0</v>
      </c>
      <c r="J404" s="82">
        <v>50.0</v>
      </c>
      <c r="K404" s="82">
        <f t="shared" si="14"/>
        <v>50</v>
      </c>
      <c r="L404" s="82" t="s">
        <v>81</v>
      </c>
    </row>
    <row r="405" ht="15.0" customHeight="1">
      <c r="A405" s="82" t="s">
        <v>2085</v>
      </c>
      <c r="B405" s="82" t="s">
        <v>459</v>
      </c>
      <c r="C405" s="82" t="s">
        <v>52</v>
      </c>
      <c r="D405" s="82" t="s">
        <v>2094</v>
      </c>
      <c r="E405" s="82" t="s">
        <v>2095</v>
      </c>
      <c r="F405" s="155" t="s">
        <v>1264</v>
      </c>
      <c r="G405" s="82">
        <v>1.0</v>
      </c>
      <c r="H405" s="82">
        <v>1.0</v>
      </c>
      <c r="I405" s="82">
        <v>7.0</v>
      </c>
      <c r="J405" s="82">
        <v>50.0</v>
      </c>
      <c r="K405" s="82">
        <f t="shared" si="14"/>
        <v>50</v>
      </c>
      <c r="L405" s="82" t="s">
        <v>81</v>
      </c>
    </row>
    <row r="406" ht="15.0" customHeight="1">
      <c r="A406" s="82" t="s">
        <v>2085</v>
      </c>
      <c r="B406" s="82" t="s">
        <v>459</v>
      </c>
      <c r="C406" s="82" t="s">
        <v>52</v>
      </c>
      <c r="D406" s="82" t="s">
        <v>2096</v>
      </c>
      <c r="E406" s="82" t="s">
        <v>2097</v>
      </c>
      <c r="F406" s="155" t="s">
        <v>1264</v>
      </c>
      <c r="G406" s="82">
        <v>1.0</v>
      </c>
      <c r="H406" s="82">
        <v>1.0</v>
      </c>
      <c r="I406" s="82">
        <v>7.0</v>
      </c>
      <c r="J406" s="82">
        <v>50.0</v>
      </c>
      <c r="K406" s="82">
        <f t="shared" si="14"/>
        <v>50</v>
      </c>
      <c r="L406" s="82" t="s">
        <v>81</v>
      </c>
    </row>
    <row r="407" ht="15.0" customHeight="1">
      <c r="A407" s="82" t="s">
        <v>2085</v>
      </c>
      <c r="B407" s="82" t="s">
        <v>459</v>
      </c>
      <c r="C407" s="82" t="s">
        <v>52</v>
      </c>
      <c r="D407" s="85" t="s">
        <v>2098</v>
      </c>
      <c r="E407" s="85" t="s">
        <v>2099</v>
      </c>
      <c r="F407" s="177" t="s">
        <v>1264</v>
      </c>
      <c r="G407" s="82">
        <v>1.0</v>
      </c>
      <c r="H407" s="82">
        <v>1.0</v>
      </c>
      <c r="I407" s="82">
        <v>7.0</v>
      </c>
      <c r="J407" s="82">
        <v>50.0</v>
      </c>
      <c r="K407" s="82">
        <f t="shared" si="14"/>
        <v>50</v>
      </c>
      <c r="L407" s="82" t="s">
        <v>81</v>
      </c>
    </row>
    <row r="408" ht="15.0" customHeight="1">
      <c r="A408" s="82" t="s">
        <v>2085</v>
      </c>
      <c r="B408" s="82" t="s">
        <v>459</v>
      </c>
      <c r="C408" s="82" t="s">
        <v>52</v>
      </c>
      <c r="D408" s="85" t="s">
        <v>2100</v>
      </c>
      <c r="E408" s="85" t="s">
        <v>2101</v>
      </c>
      <c r="F408" s="177" t="s">
        <v>1264</v>
      </c>
      <c r="G408" s="82">
        <v>1.0</v>
      </c>
      <c r="H408" s="82">
        <v>1.0</v>
      </c>
      <c r="I408" s="82">
        <v>7.0</v>
      </c>
      <c r="J408" s="82">
        <v>50.0</v>
      </c>
      <c r="K408" s="82">
        <f t="shared" si="14"/>
        <v>50</v>
      </c>
      <c r="L408" s="82" t="s">
        <v>81</v>
      </c>
    </row>
    <row r="409" ht="15.0" customHeight="1">
      <c r="A409" s="82" t="s">
        <v>2085</v>
      </c>
      <c r="B409" s="82" t="s">
        <v>459</v>
      </c>
      <c r="C409" s="82" t="s">
        <v>52</v>
      </c>
      <c r="D409" s="177" t="s">
        <v>2102</v>
      </c>
      <c r="E409" s="85" t="s">
        <v>2103</v>
      </c>
      <c r="F409" s="177" t="s">
        <v>1264</v>
      </c>
      <c r="G409" s="82">
        <v>1.0</v>
      </c>
      <c r="H409" s="82">
        <v>1.0</v>
      </c>
      <c r="I409" s="82">
        <v>7.0</v>
      </c>
      <c r="J409" s="82">
        <v>50.0</v>
      </c>
      <c r="K409" s="82">
        <f t="shared" si="14"/>
        <v>50</v>
      </c>
      <c r="L409" s="82" t="s">
        <v>81</v>
      </c>
    </row>
    <row r="410" ht="15.0" customHeight="1">
      <c r="A410" s="82" t="s">
        <v>2085</v>
      </c>
      <c r="B410" s="82" t="s">
        <v>459</v>
      </c>
      <c r="C410" s="82" t="s">
        <v>52</v>
      </c>
      <c r="D410" s="85" t="s">
        <v>2104</v>
      </c>
      <c r="E410" s="85" t="s">
        <v>2105</v>
      </c>
      <c r="F410" s="177" t="s">
        <v>2106</v>
      </c>
      <c r="G410" s="82">
        <v>1.0</v>
      </c>
      <c r="H410" s="82">
        <v>1.0</v>
      </c>
      <c r="I410" s="82">
        <v>7.0</v>
      </c>
      <c r="J410" s="82">
        <v>50.0</v>
      </c>
      <c r="K410" s="82">
        <f t="shared" si="14"/>
        <v>50</v>
      </c>
      <c r="L410" s="82" t="s">
        <v>81</v>
      </c>
    </row>
    <row r="411" ht="15.0" customHeight="1">
      <c r="A411" s="82" t="s">
        <v>2085</v>
      </c>
      <c r="B411" s="82" t="s">
        <v>459</v>
      </c>
      <c r="C411" s="82" t="s">
        <v>52</v>
      </c>
      <c r="D411" s="177" t="s">
        <v>2107</v>
      </c>
      <c r="E411" s="85" t="s">
        <v>2108</v>
      </c>
      <c r="F411" s="177" t="s">
        <v>1264</v>
      </c>
      <c r="G411" s="82">
        <v>1.0</v>
      </c>
      <c r="H411" s="82">
        <v>1.0</v>
      </c>
      <c r="I411" s="82">
        <v>7.0</v>
      </c>
      <c r="J411" s="82">
        <v>50.0</v>
      </c>
      <c r="K411" s="82">
        <f t="shared" si="14"/>
        <v>50</v>
      </c>
      <c r="L411" s="82" t="s">
        <v>81</v>
      </c>
    </row>
    <row r="412" ht="15.0" customHeight="1">
      <c r="A412" s="82" t="s">
        <v>2085</v>
      </c>
      <c r="B412" s="82" t="s">
        <v>459</v>
      </c>
      <c r="C412" s="82" t="s">
        <v>52</v>
      </c>
      <c r="D412" s="85" t="s">
        <v>2109</v>
      </c>
      <c r="E412" s="85" t="s">
        <v>2110</v>
      </c>
      <c r="F412" s="177" t="s">
        <v>1264</v>
      </c>
      <c r="G412" s="82">
        <v>1.0</v>
      </c>
      <c r="H412" s="82">
        <v>1.0</v>
      </c>
      <c r="I412" s="82">
        <v>7.0</v>
      </c>
      <c r="J412" s="82">
        <v>50.0</v>
      </c>
      <c r="K412" s="82">
        <f t="shared" si="14"/>
        <v>50</v>
      </c>
      <c r="L412" s="82" t="s">
        <v>81</v>
      </c>
    </row>
    <row r="413" ht="15.0" customHeight="1">
      <c r="A413" s="82" t="s">
        <v>2085</v>
      </c>
      <c r="B413" s="82" t="s">
        <v>459</v>
      </c>
      <c r="C413" s="82" t="s">
        <v>52</v>
      </c>
      <c r="D413" s="96" t="s">
        <v>2111</v>
      </c>
      <c r="E413" s="85" t="s">
        <v>2112</v>
      </c>
      <c r="F413" s="177" t="s">
        <v>1264</v>
      </c>
      <c r="G413" s="82">
        <v>1.0</v>
      </c>
      <c r="H413" s="82">
        <v>1.0</v>
      </c>
      <c r="I413" s="82">
        <v>7.0</v>
      </c>
      <c r="J413" s="82">
        <v>50.0</v>
      </c>
      <c r="K413" s="82">
        <f t="shared" si="14"/>
        <v>50</v>
      </c>
      <c r="L413" s="82" t="s">
        <v>81</v>
      </c>
    </row>
    <row r="414" ht="15.0" customHeight="1">
      <c r="A414" s="82" t="s">
        <v>2085</v>
      </c>
      <c r="B414" s="82" t="s">
        <v>459</v>
      </c>
      <c r="C414" s="82" t="s">
        <v>52</v>
      </c>
      <c r="D414" s="85" t="s">
        <v>2113</v>
      </c>
      <c r="E414" s="85" t="s">
        <v>2114</v>
      </c>
      <c r="F414" s="177" t="s">
        <v>1264</v>
      </c>
      <c r="G414" s="82">
        <v>1.0</v>
      </c>
      <c r="H414" s="82">
        <v>1.0</v>
      </c>
      <c r="I414" s="82">
        <v>7.0</v>
      </c>
      <c r="J414" s="82">
        <v>50.0</v>
      </c>
      <c r="K414" s="82">
        <f t="shared" si="14"/>
        <v>50</v>
      </c>
      <c r="L414" s="82" t="s">
        <v>81</v>
      </c>
    </row>
    <row r="415" ht="15.0" customHeight="1">
      <c r="A415" s="82" t="s">
        <v>2085</v>
      </c>
      <c r="B415" s="82" t="s">
        <v>459</v>
      </c>
      <c r="C415" s="82" t="s">
        <v>52</v>
      </c>
      <c r="D415" s="178" t="s">
        <v>2115</v>
      </c>
      <c r="E415" s="85" t="s">
        <v>2116</v>
      </c>
      <c r="F415" s="177" t="s">
        <v>1264</v>
      </c>
      <c r="G415" s="82">
        <v>1.0</v>
      </c>
      <c r="H415" s="82">
        <v>1.0</v>
      </c>
      <c r="I415" s="82">
        <v>7.0</v>
      </c>
      <c r="J415" s="82">
        <v>50.0</v>
      </c>
      <c r="K415" s="82">
        <f t="shared" si="14"/>
        <v>50</v>
      </c>
      <c r="L415" s="82" t="s">
        <v>81</v>
      </c>
    </row>
    <row r="416" ht="15.0" customHeight="1">
      <c r="A416" s="82" t="s">
        <v>2085</v>
      </c>
      <c r="B416" s="82" t="s">
        <v>459</v>
      </c>
      <c r="C416" s="82" t="s">
        <v>52</v>
      </c>
      <c r="D416" s="178" t="s">
        <v>2117</v>
      </c>
      <c r="E416" s="85" t="s">
        <v>2118</v>
      </c>
      <c r="F416" s="177" t="s">
        <v>1264</v>
      </c>
      <c r="G416" s="82">
        <v>1.0</v>
      </c>
      <c r="H416" s="82">
        <v>1.0</v>
      </c>
      <c r="I416" s="82">
        <v>7.0</v>
      </c>
      <c r="J416" s="82">
        <v>50.0</v>
      </c>
      <c r="K416" s="82">
        <f t="shared" si="14"/>
        <v>50</v>
      </c>
      <c r="L416" s="82" t="s">
        <v>81</v>
      </c>
    </row>
    <row r="417" ht="15.0" customHeight="1">
      <c r="A417" s="82" t="s">
        <v>2085</v>
      </c>
      <c r="B417" s="82" t="s">
        <v>459</v>
      </c>
      <c r="C417" s="82" t="s">
        <v>52</v>
      </c>
      <c r="D417" s="82" t="s">
        <v>2119</v>
      </c>
      <c r="E417" s="85" t="s">
        <v>2120</v>
      </c>
      <c r="F417" s="177" t="s">
        <v>1264</v>
      </c>
      <c r="G417" s="82">
        <v>1.0</v>
      </c>
      <c r="H417" s="82">
        <v>1.0</v>
      </c>
      <c r="I417" s="82">
        <v>7.0</v>
      </c>
      <c r="J417" s="82">
        <v>50.0</v>
      </c>
      <c r="K417" s="82">
        <f t="shared" si="14"/>
        <v>50</v>
      </c>
      <c r="L417" s="82" t="s">
        <v>81</v>
      </c>
    </row>
    <row r="418" ht="15.0" customHeight="1">
      <c r="A418" s="82" t="s">
        <v>2085</v>
      </c>
      <c r="B418" s="82" t="s">
        <v>459</v>
      </c>
      <c r="C418" s="82" t="s">
        <v>52</v>
      </c>
      <c r="D418" s="178" t="s">
        <v>2121</v>
      </c>
      <c r="E418" s="82" t="s">
        <v>2122</v>
      </c>
      <c r="F418" s="177" t="s">
        <v>1264</v>
      </c>
      <c r="G418" s="82">
        <v>1.0</v>
      </c>
      <c r="H418" s="82">
        <v>1.0</v>
      </c>
      <c r="I418" s="82">
        <v>7.0</v>
      </c>
      <c r="J418" s="82">
        <v>50.0</v>
      </c>
      <c r="K418" s="82">
        <f t="shared" si="14"/>
        <v>50</v>
      </c>
      <c r="L418" s="82" t="s">
        <v>81</v>
      </c>
    </row>
    <row r="419" ht="15.0" customHeight="1">
      <c r="A419" s="82" t="s">
        <v>2085</v>
      </c>
      <c r="B419" s="82" t="s">
        <v>459</v>
      </c>
      <c r="C419" s="82" t="s">
        <v>52</v>
      </c>
      <c r="D419" s="82" t="s">
        <v>2123</v>
      </c>
      <c r="E419" s="82" t="s">
        <v>2124</v>
      </c>
      <c r="F419" s="177" t="s">
        <v>1264</v>
      </c>
      <c r="G419" s="82">
        <v>1.0</v>
      </c>
      <c r="H419" s="82">
        <v>1.0</v>
      </c>
      <c r="I419" s="82">
        <v>7.0</v>
      </c>
      <c r="J419" s="82">
        <v>50.0</v>
      </c>
      <c r="K419" s="82">
        <f t="shared" si="14"/>
        <v>50</v>
      </c>
      <c r="L419" s="82" t="s">
        <v>81</v>
      </c>
    </row>
    <row r="420" ht="15.0" customHeight="1">
      <c r="A420" s="82" t="s">
        <v>2085</v>
      </c>
      <c r="B420" s="82" t="s">
        <v>459</v>
      </c>
      <c r="C420" s="82" t="s">
        <v>52</v>
      </c>
      <c r="D420" s="82" t="s">
        <v>2125</v>
      </c>
      <c r="E420" s="82" t="s">
        <v>2126</v>
      </c>
      <c r="F420" s="177" t="s">
        <v>1264</v>
      </c>
      <c r="G420" s="82">
        <v>1.0</v>
      </c>
      <c r="H420" s="82">
        <v>1.0</v>
      </c>
      <c r="I420" s="82">
        <v>7.0</v>
      </c>
      <c r="J420" s="82">
        <v>50.0</v>
      </c>
      <c r="K420" s="82">
        <f t="shared" si="14"/>
        <v>50</v>
      </c>
      <c r="L420" s="82" t="s">
        <v>81</v>
      </c>
    </row>
    <row r="421" ht="15.0" customHeight="1">
      <c r="A421" s="82" t="s">
        <v>2085</v>
      </c>
      <c r="B421" s="82" t="s">
        <v>459</v>
      </c>
      <c r="C421" s="82" t="s">
        <v>52</v>
      </c>
      <c r="D421" s="96" t="s">
        <v>2127</v>
      </c>
      <c r="E421" s="85" t="s">
        <v>2128</v>
      </c>
      <c r="F421" s="177" t="s">
        <v>1264</v>
      </c>
      <c r="G421" s="82">
        <v>1.0</v>
      </c>
      <c r="H421" s="82">
        <v>1.0</v>
      </c>
      <c r="I421" s="82">
        <v>7.0</v>
      </c>
      <c r="J421" s="82">
        <v>50.0</v>
      </c>
      <c r="K421" s="82">
        <f t="shared" si="14"/>
        <v>50</v>
      </c>
      <c r="L421" s="82" t="s">
        <v>81</v>
      </c>
    </row>
    <row r="422" ht="15.0" customHeight="1">
      <c r="A422" s="155" t="s">
        <v>2129</v>
      </c>
      <c r="B422" s="85" t="s">
        <v>415</v>
      </c>
      <c r="C422" s="82" t="s">
        <v>52</v>
      </c>
      <c r="D422" s="85" t="s">
        <v>2130</v>
      </c>
      <c r="E422" s="85" t="s">
        <v>2131</v>
      </c>
      <c r="F422" s="177" t="s">
        <v>1264</v>
      </c>
      <c r="G422" s="177">
        <v>2.0</v>
      </c>
      <c r="H422" s="177">
        <v>2.0</v>
      </c>
      <c r="I422" s="177">
        <v>6.0</v>
      </c>
      <c r="J422" s="84">
        <v>50.0</v>
      </c>
      <c r="K422" s="82">
        <f t="shared" si="14"/>
        <v>25</v>
      </c>
      <c r="L422" s="82" t="s">
        <v>81</v>
      </c>
    </row>
    <row r="423" ht="15.0" customHeight="1">
      <c r="A423" s="155" t="s">
        <v>2132</v>
      </c>
      <c r="B423" s="85" t="s">
        <v>415</v>
      </c>
      <c r="C423" s="82" t="s">
        <v>52</v>
      </c>
      <c r="D423" s="178" t="s">
        <v>2133</v>
      </c>
      <c r="E423" s="85" t="s">
        <v>2134</v>
      </c>
      <c r="F423" s="177" t="s">
        <v>1264</v>
      </c>
      <c r="G423" s="177">
        <v>2.0</v>
      </c>
      <c r="H423" s="177">
        <v>2.0</v>
      </c>
      <c r="I423" s="177">
        <v>6.0</v>
      </c>
      <c r="J423" s="84">
        <v>50.0</v>
      </c>
      <c r="K423" s="82">
        <f t="shared" si="14"/>
        <v>25</v>
      </c>
      <c r="L423" s="82" t="s">
        <v>81</v>
      </c>
    </row>
    <row r="424" ht="15.0" customHeight="1">
      <c r="A424" s="155" t="s">
        <v>2135</v>
      </c>
      <c r="B424" s="85" t="s">
        <v>415</v>
      </c>
      <c r="C424" s="82" t="s">
        <v>52</v>
      </c>
      <c r="D424" s="85" t="s">
        <v>2136</v>
      </c>
      <c r="E424" s="85" t="s">
        <v>2137</v>
      </c>
      <c r="F424" s="177" t="s">
        <v>1264</v>
      </c>
      <c r="G424" s="177">
        <v>2.0</v>
      </c>
      <c r="H424" s="177">
        <v>2.0</v>
      </c>
      <c r="I424" s="177">
        <v>6.0</v>
      </c>
      <c r="J424" s="84">
        <v>50.0</v>
      </c>
      <c r="K424" s="82">
        <f t="shared" si="14"/>
        <v>25</v>
      </c>
      <c r="L424" s="82" t="s">
        <v>81</v>
      </c>
    </row>
    <row r="425" ht="15.0" customHeight="1">
      <c r="A425" s="155" t="s">
        <v>2138</v>
      </c>
      <c r="B425" s="85" t="s">
        <v>415</v>
      </c>
      <c r="C425" s="82" t="s">
        <v>52</v>
      </c>
      <c r="D425" s="96" t="s">
        <v>2139</v>
      </c>
      <c r="E425" s="85" t="s">
        <v>2140</v>
      </c>
      <c r="F425" s="177" t="s">
        <v>1264</v>
      </c>
      <c r="G425" s="177">
        <v>2.0</v>
      </c>
      <c r="H425" s="177">
        <v>2.0</v>
      </c>
      <c r="I425" s="177">
        <v>6.0</v>
      </c>
      <c r="J425" s="84">
        <v>50.0</v>
      </c>
      <c r="K425" s="82">
        <f t="shared" si="14"/>
        <v>25</v>
      </c>
      <c r="L425" s="82" t="s">
        <v>81</v>
      </c>
    </row>
    <row r="426" ht="15.0" customHeight="1">
      <c r="A426" s="178" t="s">
        <v>2141</v>
      </c>
      <c r="B426" s="178" t="s">
        <v>2142</v>
      </c>
      <c r="C426" s="155" t="s">
        <v>52</v>
      </c>
      <c r="D426" s="82" t="s">
        <v>2143</v>
      </c>
      <c r="E426" s="82" t="s">
        <v>2144</v>
      </c>
      <c r="F426" s="155" t="s">
        <v>1264</v>
      </c>
      <c r="G426" s="177">
        <v>1.0</v>
      </c>
      <c r="H426" s="177">
        <v>1.0</v>
      </c>
      <c r="I426" s="177">
        <v>6.0</v>
      </c>
      <c r="J426" s="84">
        <v>50.0</v>
      </c>
      <c r="K426" s="82">
        <f t="shared" si="14"/>
        <v>50</v>
      </c>
      <c r="L426" s="82" t="s">
        <v>81</v>
      </c>
    </row>
    <row r="427" ht="15.0" customHeight="1">
      <c r="A427" s="178" t="s">
        <v>2141</v>
      </c>
      <c r="B427" s="178" t="s">
        <v>2142</v>
      </c>
      <c r="C427" s="155" t="s">
        <v>52</v>
      </c>
      <c r="D427" s="82" t="s">
        <v>2145</v>
      </c>
      <c r="E427" s="82" t="s">
        <v>2146</v>
      </c>
      <c r="F427" s="155" t="s">
        <v>1264</v>
      </c>
      <c r="G427" s="177">
        <v>1.0</v>
      </c>
      <c r="H427" s="177">
        <v>1.0</v>
      </c>
      <c r="I427" s="177">
        <v>6.0</v>
      </c>
      <c r="J427" s="84">
        <v>50.0</v>
      </c>
      <c r="K427" s="82">
        <f t="shared" si="14"/>
        <v>50</v>
      </c>
      <c r="L427" s="82" t="s">
        <v>81</v>
      </c>
    </row>
    <row r="428" ht="15.0" customHeight="1">
      <c r="A428" s="178" t="s">
        <v>2141</v>
      </c>
      <c r="B428" s="178" t="s">
        <v>2142</v>
      </c>
      <c r="C428" s="155" t="s">
        <v>52</v>
      </c>
      <c r="D428" s="82" t="s">
        <v>2147</v>
      </c>
      <c r="E428" s="82" t="s">
        <v>2148</v>
      </c>
      <c r="F428" s="155" t="s">
        <v>1264</v>
      </c>
      <c r="G428" s="177">
        <v>1.0</v>
      </c>
      <c r="H428" s="177">
        <v>1.0</v>
      </c>
      <c r="I428" s="177">
        <v>6.0</v>
      </c>
      <c r="J428" s="84">
        <v>50.0</v>
      </c>
      <c r="K428" s="82">
        <f t="shared" si="14"/>
        <v>50</v>
      </c>
      <c r="L428" s="82" t="s">
        <v>81</v>
      </c>
    </row>
    <row r="429" ht="15.0" customHeight="1">
      <c r="A429" s="178" t="s">
        <v>2141</v>
      </c>
      <c r="B429" s="178" t="s">
        <v>2142</v>
      </c>
      <c r="C429" s="155" t="s">
        <v>52</v>
      </c>
      <c r="D429" s="82" t="s">
        <v>2149</v>
      </c>
      <c r="E429" s="85" t="s">
        <v>2150</v>
      </c>
      <c r="F429" s="155" t="s">
        <v>1264</v>
      </c>
      <c r="G429" s="177">
        <v>1.0</v>
      </c>
      <c r="H429" s="177">
        <v>1.0</v>
      </c>
      <c r="I429" s="177">
        <v>6.0</v>
      </c>
      <c r="J429" s="84">
        <v>50.0</v>
      </c>
      <c r="K429" s="82">
        <f t="shared" si="14"/>
        <v>50</v>
      </c>
      <c r="L429" s="82" t="s">
        <v>81</v>
      </c>
    </row>
    <row r="430" ht="15.0" customHeight="1">
      <c r="A430" s="178" t="s">
        <v>2141</v>
      </c>
      <c r="B430" s="178" t="s">
        <v>2142</v>
      </c>
      <c r="C430" s="155" t="s">
        <v>52</v>
      </c>
      <c r="D430" s="155" t="s">
        <v>2151</v>
      </c>
      <c r="E430" s="85" t="s">
        <v>2152</v>
      </c>
      <c r="F430" s="155" t="s">
        <v>1264</v>
      </c>
      <c r="G430" s="177">
        <v>1.0</v>
      </c>
      <c r="H430" s="177">
        <v>1.0</v>
      </c>
      <c r="I430" s="177">
        <v>6.0</v>
      </c>
      <c r="J430" s="84">
        <v>50.0</v>
      </c>
      <c r="K430" s="82">
        <f t="shared" si="14"/>
        <v>50</v>
      </c>
      <c r="L430" s="82" t="s">
        <v>81</v>
      </c>
    </row>
    <row r="431" ht="15.0" customHeight="1">
      <c r="A431" s="178" t="s">
        <v>2141</v>
      </c>
      <c r="B431" s="178" t="s">
        <v>2142</v>
      </c>
      <c r="C431" s="155" t="s">
        <v>52</v>
      </c>
      <c r="D431" s="85" t="s">
        <v>2153</v>
      </c>
      <c r="E431" s="85" t="s">
        <v>2154</v>
      </c>
      <c r="F431" s="155" t="s">
        <v>1264</v>
      </c>
      <c r="G431" s="177">
        <v>1.0</v>
      </c>
      <c r="H431" s="177">
        <v>1.0</v>
      </c>
      <c r="I431" s="177">
        <v>6.0</v>
      </c>
      <c r="J431" s="84">
        <v>50.0</v>
      </c>
      <c r="K431" s="82">
        <f t="shared" si="14"/>
        <v>50</v>
      </c>
      <c r="L431" s="82" t="s">
        <v>81</v>
      </c>
    </row>
    <row r="432" ht="15.0" customHeight="1">
      <c r="A432" s="179" t="s">
        <v>2155</v>
      </c>
      <c r="B432" s="179" t="s">
        <v>2156</v>
      </c>
      <c r="C432" s="155" t="s">
        <v>52</v>
      </c>
      <c r="D432" s="180" t="s">
        <v>2157</v>
      </c>
      <c r="E432" s="85" t="s">
        <v>2158</v>
      </c>
      <c r="F432" s="155" t="s">
        <v>1264</v>
      </c>
      <c r="G432" s="177">
        <v>1.0</v>
      </c>
      <c r="H432" s="177">
        <v>1.0</v>
      </c>
      <c r="I432" s="177">
        <v>6.0</v>
      </c>
      <c r="J432" s="84">
        <v>50.0</v>
      </c>
      <c r="K432" s="82">
        <f t="shared" si="14"/>
        <v>50</v>
      </c>
      <c r="L432" s="82" t="s">
        <v>81</v>
      </c>
    </row>
    <row r="433" ht="15.0" customHeight="1">
      <c r="A433" s="179" t="s">
        <v>2155</v>
      </c>
      <c r="B433" s="179" t="s">
        <v>2156</v>
      </c>
      <c r="C433" s="155" t="s">
        <v>52</v>
      </c>
      <c r="D433" s="82" t="s">
        <v>2159</v>
      </c>
      <c r="E433" s="82" t="s">
        <v>2160</v>
      </c>
      <c r="F433" s="155" t="s">
        <v>1264</v>
      </c>
      <c r="G433" s="177">
        <v>1.0</v>
      </c>
      <c r="H433" s="177">
        <v>1.0</v>
      </c>
      <c r="I433" s="177">
        <v>6.0</v>
      </c>
      <c r="J433" s="84">
        <v>50.0</v>
      </c>
      <c r="K433" s="82">
        <f t="shared" si="14"/>
        <v>50</v>
      </c>
      <c r="L433" s="82" t="s">
        <v>81</v>
      </c>
    </row>
    <row r="434" ht="15.0" customHeight="1">
      <c r="A434" s="179" t="s">
        <v>2155</v>
      </c>
      <c r="B434" s="179" t="s">
        <v>2156</v>
      </c>
      <c r="C434" s="155" t="s">
        <v>52</v>
      </c>
      <c r="D434" s="82" t="s">
        <v>2161</v>
      </c>
      <c r="E434" s="82" t="s">
        <v>2162</v>
      </c>
      <c r="F434" s="155" t="s">
        <v>1264</v>
      </c>
      <c r="G434" s="177">
        <v>1.0</v>
      </c>
      <c r="H434" s="177">
        <v>1.0</v>
      </c>
      <c r="I434" s="177">
        <v>6.0</v>
      </c>
      <c r="J434" s="84">
        <v>50.0</v>
      </c>
      <c r="K434" s="82">
        <f t="shared" si="14"/>
        <v>50</v>
      </c>
      <c r="L434" s="82" t="s">
        <v>81</v>
      </c>
    </row>
    <row r="435" ht="15.0" customHeight="1">
      <c r="A435" s="179" t="s">
        <v>2155</v>
      </c>
      <c r="B435" s="179" t="s">
        <v>2156</v>
      </c>
      <c r="C435" s="155" t="s">
        <v>52</v>
      </c>
      <c r="D435" s="82" t="s">
        <v>2163</v>
      </c>
      <c r="E435" s="82" t="s">
        <v>2118</v>
      </c>
      <c r="F435" s="155" t="s">
        <v>1264</v>
      </c>
      <c r="G435" s="177">
        <v>1.0</v>
      </c>
      <c r="H435" s="177">
        <v>1.0</v>
      </c>
      <c r="I435" s="177">
        <v>6.0</v>
      </c>
      <c r="J435" s="84">
        <v>50.0</v>
      </c>
      <c r="K435" s="82">
        <f t="shared" si="14"/>
        <v>50</v>
      </c>
      <c r="L435" s="82" t="s">
        <v>81</v>
      </c>
    </row>
    <row r="436" ht="15.0" customHeight="1">
      <c r="A436" s="179" t="s">
        <v>2155</v>
      </c>
      <c r="B436" s="179" t="s">
        <v>2156</v>
      </c>
      <c r="C436" s="155" t="s">
        <v>52</v>
      </c>
      <c r="D436" s="177" t="s">
        <v>2164</v>
      </c>
      <c r="E436" s="85" t="s">
        <v>2165</v>
      </c>
      <c r="F436" s="155" t="s">
        <v>1264</v>
      </c>
      <c r="G436" s="177">
        <v>1.0</v>
      </c>
      <c r="H436" s="177">
        <v>1.0</v>
      </c>
      <c r="I436" s="177">
        <v>6.0</v>
      </c>
      <c r="J436" s="84">
        <v>50.0</v>
      </c>
      <c r="K436" s="82">
        <f t="shared" si="14"/>
        <v>50</v>
      </c>
      <c r="L436" s="82" t="s">
        <v>81</v>
      </c>
    </row>
    <row r="437" ht="15.0" customHeight="1">
      <c r="A437" s="179" t="s">
        <v>2155</v>
      </c>
      <c r="B437" s="179" t="s">
        <v>2156</v>
      </c>
      <c r="C437" s="155" t="s">
        <v>52</v>
      </c>
      <c r="D437" s="82" t="s">
        <v>2166</v>
      </c>
      <c r="E437" s="85" t="s">
        <v>2167</v>
      </c>
      <c r="F437" s="155" t="s">
        <v>1264</v>
      </c>
      <c r="G437" s="177">
        <v>1.0</v>
      </c>
      <c r="H437" s="177">
        <v>1.0</v>
      </c>
      <c r="I437" s="177">
        <v>6.0</v>
      </c>
      <c r="J437" s="84">
        <v>50.0</v>
      </c>
      <c r="K437" s="82">
        <f t="shared" si="14"/>
        <v>50</v>
      </c>
      <c r="L437" s="82" t="s">
        <v>81</v>
      </c>
    </row>
    <row r="438" ht="15.0" customHeight="1">
      <c r="A438" s="179" t="s">
        <v>2155</v>
      </c>
      <c r="B438" s="179" t="s">
        <v>2156</v>
      </c>
      <c r="C438" s="155" t="s">
        <v>52</v>
      </c>
      <c r="D438" s="82" t="s">
        <v>2168</v>
      </c>
      <c r="E438" s="85" t="s">
        <v>2169</v>
      </c>
      <c r="F438" s="155" t="s">
        <v>1264</v>
      </c>
      <c r="G438" s="177">
        <v>1.0</v>
      </c>
      <c r="H438" s="177">
        <v>1.0</v>
      </c>
      <c r="I438" s="177">
        <v>6.0</v>
      </c>
      <c r="J438" s="84">
        <v>50.0</v>
      </c>
      <c r="K438" s="82">
        <f t="shared" si="14"/>
        <v>50</v>
      </c>
      <c r="L438" s="82" t="s">
        <v>81</v>
      </c>
    </row>
    <row r="439" ht="15.0" customHeight="1">
      <c r="A439" s="179" t="s">
        <v>2155</v>
      </c>
      <c r="B439" s="179" t="s">
        <v>2156</v>
      </c>
      <c r="C439" s="155" t="s">
        <v>52</v>
      </c>
      <c r="D439" s="82" t="s">
        <v>2170</v>
      </c>
      <c r="E439" s="85" t="s">
        <v>2171</v>
      </c>
      <c r="F439" s="155" t="s">
        <v>1264</v>
      </c>
      <c r="G439" s="177">
        <v>1.0</v>
      </c>
      <c r="H439" s="177">
        <v>1.0</v>
      </c>
      <c r="I439" s="177">
        <v>6.0</v>
      </c>
      <c r="J439" s="84">
        <v>50.0</v>
      </c>
      <c r="K439" s="82">
        <f t="shared" si="14"/>
        <v>50</v>
      </c>
      <c r="L439" s="82" t="s">
        <v>81</v>
      </c>
    </row>
    <row r="440" ht="15.0" customHeight="1">
      <c r="A440" s="179" t="s">
        <v>2155</v>
      </c>
      <c r="B440" s="179" t="s">
        <v>2156</v>
      </c>
      <c r="C440" s="155" t="s">
        <v>52</v>
      </c>
      <c r="D440" s="85" t="s">
        <v>2172</v>
      </c>
      <c r="E440" s="85" t="s">
        <v>2173</v>
      </c>
      <c r="F440" s="155" t="s">
        <v>1264</v>
      </c>
      <c r="G440" s="177">
        <v>1.0</v>
      </c>
      <c r="H440" s="177">
        <v>1.0</v>
      </c>
      <c r="I440" s="177">
        <v>6.0</v>
      </c>
      <c r="J440" s="84">
        <v>50.0</v>
      </c>
      <c r="K440" s="82">
        <f t="shared" si="14"/>
        <v>50</v>
      </c>
      <c r="L440" s="82" t="s">
        <v>81</v>
      </c>
    </row>
    <row r="441" ht="15.0" customHeight="1">
      <c r="A441" s="179" t="s">
        <v>2155</v>
      </c>
      <c r="B441" s="179" t="s">
        <v>2156</v>
      </c>
      <c r="C441" s="155" t="s">
        <v>52</v>
      </c>
      <c r="D441" s="178" t="s">
        <v>2174</v>
      </c>
      <c r="E441" s="85" t="s">
        <v>2175</v>
      </c>
      <c r="F441" s="155" t="s">
        <v>1264</v>
      </c>
      <c r="G441" s="177">
        <v>1.0</v>
      </c>
      <c r="H441" s="177">
        <v>1.0</v>
      </c>
      <c r="I441" s="177">
        <v>6.0</v>
      </c>
      <c r="J441" s="84">
        <v>50.0</v>
      </c>
      <c r="K441" s="82">
        <f t="shared" si="14"/>
        <v>50</v>
      </c>
      <c r="L441" s="82" t="s">
        <v>81</v>
      </c>
    </row>
    <row r="442" ht="15.0" customHeight="1">
      <c r="A442" s="179" t="s">
        <v>2155</v>
      </c>
      <c r="B442" s="179" t="s">
        <v>2156</v>
      </c>
      <c r="C442" s="155" t="s">
        <v>52</v>
      </c>
      <c r="D442" s="85" t="s">
        <v>2176</v>
      </c>
      <c r="E442" s="85" t="s">
        <v>2177</v>
      </c>
      <c r="F442" s="155" t="s">
        <v>1264</v>
      </c>
      <c r="G442" s="177">
        <v>1.0</v>
      </c>
      <c r="H442" s="177">
        <v>1.0</v>
      </c>
      <c r="I442" s="177">
        <v>6.0</v>
      </c>
      <c r="J442" s="84">
        <v>50.0</v>
      </c>
      <c r="K442" s="82">
        <f t="shared" si="14"/>
        <v>50</v>
      </c>
      <c r="L442" s="82" t="s">
        <v>81</v>
      </c>
    </row>
    <row r="443" ht="15.0" customHeight="1">
      <c r="A443" s="155" t="s">
        <v>2178</v>
      </c>
      <c r="B443" s="82" t="s">
        <v>2179</v>
      </c>
      <c r="C443" s="155" t="s">
        <v>52</v>
      </c>
      <c r="D443" s="178" t="s">
        <v>2180</v>
      </c>
      <c r="E443" s="85" t="s">
        <v>2181</v>
      </c>
      <c r="F443" s="155" t="s">
        <v>1264</v>
      </c>
      <c r="G443" s="177">
        <v>5.0</v>
      </c>
      <c r="H443" s="177">
        <v>1.0</v>
      </c>
      <c r="I443" s="177">
        <v>5.0</v>
      </c>
      <c r="J443" s="84">
        <v>50.0</v>
      </c>
      <c r="K443" s="82">
        <f t="shared" si="14"/>
        <v>10</v>
      </c>
      <c r="L443" s="82" t="s">
        <v>81</v>
      </c>
    </row>
    <row r="444" ht="15.0" customHeight="1">
      <c r="A444" s="155" t="s">
        <v>2178</v>
      </c>
      <c r="B444" s="82" t="s">
        <v>2179</v>
      </c>
      <c r="C444" s="155" t="s">
        <v>52</v>
      </c>
      <c r="D444" s="96" t="s">
        <v>2182</v>
      </c>
      <c r="E444" s="85" t="s">
        <v>2183</v>
      </c>
      <c r="F444" s="155" t="s">
        <v>1264</v>
      </c>
      <c r="G444" s="177">
        <v>5.0</v>
      </c>
      <c r="H444" s="177">
        <v>1.0</v>
      </c>
      <c r="I444" s="177">
        <v>5.0</v>
      </c>
      <c r="J444" s="84">
        <v>50.0</v>
      </c>
      <c r="K444" s="82">
        <f t="shared" si="14"/>
        <v>10</v>
      </c>
      <c r="L444" s="82" t="s">
        <v>81</v>
      </c>
    </row>
    <row r="445" ht="15.0" customHeight="1">
      <c r="A445" s="155" t="s">
        <v>2178</v>
      </c>
      <c r="B445" s="82" t="s">
        <v>2179</v>
      </c>
      <c r="C445" s="155" t="s">
        <v>52</v>
      </c>
      <c r="D445" s="82" t="s">
        <v>2184</v>
      </c>
      <c r="E445" s="82" t="s">
        <v>2185</v>
      </c>
      <c r="F445" s="155" t="s">
        <v>1264</v>
      </c>
      <c r="G445" s="177">
        <v>5.0</v>
      </c>
      <c r="H445" s="177">
        <v>1.0</v>
      </c>
      <c r="I445" s="177">
        <v>5.0</v>
      </c>
      <c r="J445" s="84">
        <v>50.0</v>
      </c>
      <c r="K445" s="82">
        <f t="shared" si="14"/>
        <v>10</v>
      </c>
      <c r="L445" s="82" t="s">
        <v>81</v>
      </c>
    </row>
    <row r="446" ht="15.0" customHeight="1">
      <c r="A446" s="177" t="s">
        <v>2186</v>
      </c>
      <c r="B446" s="85" t="s">
        <v>2187</v>
      </c>
      <c r="C446" s="155" t="s">
        <v>52</v>
      </c>
      <c r="D446" s="85" t="s">
        <v>2188</v>
      </c>
      <c r="E446" s="85" t="s">
        <v>2189</v>
      </c>
      <c r="F446" s="155" t="s">
        <v>1264</v>
      </c>
      <c r="G446" s="177">
        <v>1.0</v>
      </c>
      <c r="H446" s="177">
        <v>1.0</v>
      </c>
      <c r="I446" s="177">
        <v>5.0</v>
      </c>
      <c r="J446" s="84">
        <v>50.0</v>
      </c>
      <c r="K446" s="82">
        <f t="shared" si="14"/>
        <v>50</v>
      </c>
      <c r="L446" s="82" t="s">
        <v>81</v>
      </c>
    </row>
    <row r="447" ht="15.0" customHeight="1">
      <c r="A447" s="177" t="s">
        <v>2186</v>
      </c>
      <c r="B447" s="85" t="s">
        <v>2187</v>
      </c>
      <c r="C447" s="155" t="s">
        <v>52</v>
      </c>
      <c r="D447" s="85" t="s">
        <v>2190</v>
      </c>
      <c r="E447" s="85" t="s">
        <v>2191</v>
      </c>
      <c r="F447" s="155" t="s">
        <v>1264</v>
      </c>
      <c r="G447" s="177">
        <v>1.0</v>
      </c>
      <c r="H447" s="177">
        <v>1.0</v>
      </c>
      <c r="I447" s="177">
        <v>5.0</v>
      </c>
      <c r="J447" s="84">
        <v>50.0</v>
      </c>
      <c r="K447" s="82">
        <f t="shared" si="14"/>
        <v>50</v>
      </c>
      <c r="L447" s="82" t="s">
        <v>81</v>
      </c>
    </row>
    <row r="448" ht="15.0" customHeight="1">
      <c r="A448" s="177" t="s">
        <v>2186</v>
      </c>
      <c r="B448" s="85" t="s">
        <v>2187</v>
      </c>
      <c r="C448" s="155" t="s">
        <v>52</v>
      </c>
      <c r="D448" s="177" t="s">
        <v>2192</v>
      </c>
      <c r="E448" s="85" t="s">
        <v>2193</v>
      </c>
      <c r="F448" s="155" t="s">
        <v>1264</v>
      </c>
      <c r="G448" s="177">
        <v>1.0</v>
      </c>
      <c r="H448" s="177">
        <v>1.0</v>
      </c>
      <c r="I448" s="177">
        <v>5.0</v>
      </c>
      <c r="J448" s="84">
        <v>50.0</v>
      </c>
      <c r="K448" s="82">
        <f t="shared" si="14"/>
        <v>50</v>
      </c>
      <c r="L448" s="82" t="s">
        <v>81</v>
      </c>
    </row>
    <row r="449" ht="15.0" customHeight="1">
      <c r="A449" s="177" t="s">
        <v>2186</v>
      </c>
      <c r="B449" s="85" t="s">
        <v>2187</v>
      </c>
      <c r="C449" s="155" t="s">
        <v>52</v>
      </c>
      <c r="D449" s="85" t="s">
        <v>2194</v>
      </c>
      <c r="E449" s="85" t="s">
        <v>2169</v>
      </c>
      <c r="F449" s="155" t="s">
        <v>1264</v>
      </c>
      <c r="G449" s="177">
        <v>1.0</v>
      </c>
      <c r="H449" s="177">
        <v>1.0</v>
      </c>
      <c r="I449" s="177">
        <v>5.0</v>
      </c>
      <c r="J449" s="84">
        <v>50.0</v>
      </c>
      <c r="K449" s="82">
        <f t="shared" si="14"/>
        <v>50</v>
      </c>
      <c r="L449" s="82" t="s">
        <v>81</v>
      </c>
    </row>
    <row r="450" ht="15.0" customHeight="1">
      <c r="A450" s="177" t="s">
        <v>2195</v>
      </c>
      <c r="B450" s="85" t="s">
        <v>2196</v>
      </c>
      <c r="C450" s="155" t="s">
        <v>52</v>
      </c>
      <c r="D450" s="177" t="s">
        <v>2197</v>
      </c>
      <c r="E450" s="85" t="s">
        <v>2198</v>
      </c>
      <c r="F450" s="177" t="s">
        <v>1264</v>
      </c>
      <c r="G450" s="177">
        <v>1.0</v>
      </c>
      <c r="H450" s="177">
        <v>1.0</v>
      </c>
      <c r="I450" s="177">
        <v>7.0</v>
      </c>
      <c r="J450" s="84">
        <v>50.0</v>
      </c>
      <c r="K450" s="82">
        <f t="shared" si="14"/>
        <v>50</v>
      </c>
      <c r="L450" s="82" t="s">
        <v>81</v>
      </c>
    </row>
    <row r="451" ht="15.0" customHeight="1">
      <c r="A451" s="177" t="s">
        <v>2195</v>
      </c>
      <c r="B451" s="85" t="s">
        <v>2196</v>
      </c>
      <c r="C451" s="155" t="s">
        <v>52</v>
      </c>
      <c r="D451" s="85" t="s">
        <v>2199</v>
      </c>
      <c r="E451" s="85" t="s">
        <v>2200</v>
      </c>
      <c r="F451" s="177" t="s">
        <v>1264</v>
      </c>
      <c r="G451" s="177">
        <v>1.0</v>
      </c>
      <c r="H451" s="177">
        <v>1.0</v>
      </c>
      <c r="I451" s="177">
        <v>7.0</v>
      </c>
      <c r="J451" s="84">
        <v>50.0</v>
      </c>
      <c r="K451" s="82">
        <f t="shared" si="14"/>
        <v>50</v>
      </c>
      <c r="L451" s="82" t="s">
        <v>81</v>
      </c>
    </row>
    <row r="452" ht="15.0" customHeight="1">
      <c r="A452" s="177" t="s">
        <v>2195</v>
      </c>
      <c r="B452" s="85" t="s">
        <v>2196</v>
      </c>
      <c r="C452" s="155" t="s">
        <v>52</v>
      </c>
      <c r="D452" s="177" t="s">
        <v>2201</v>
      </c>
      <c r="E452" s="85" t="s">
        <v>2202</v>
      </c>
      <c r="F452" s="177" t="s">
        <v>1264</v>
      </c>
      <c r="G452" s="177">
        <v>1.0</v>
      </c>
      <c r="H452" s="177">
        <v>1.0</v>
      </c>
      <c r="I452" s="177">
        <v>7.0</v>
      </c>
      <c r="J452" s="84">
        <v>50.0</v>
      </c>
      <c r="K452" s="82">
        <f t="shared" si="14"/>
        <v>50</v>
      </c>
      <c r="L452" s="82" t="s">
        <v>81</v>
      </c>
    </row>
    <row r="453" ht="15.0" customHeight="1">
      <c r="A453" s="177" t="s">
        <v>2195</v>
      </c>
      <c r="B453" s="85" t="s">
        <v>2196</v>
      </c>
      <c r="C453" s="155" t="s">
        <v>52</v>
      </c>
      <c r="D453" s="85" t="s">
        <v>2203</v>
      </c>
      <c r="E453" s="85" t="s">
        <v>2204</v>
      </c>
      <c r="F453" s="177" t="s">
        <v>1264</v>
      </c>
      <c r="G453" s="177">
        <v>1.0</v>
      </c>
      <c r="H453" s="177">
        <v>1.0</v>
      </c>
      <c r="I453" s="177">
        <v>7.0</v>
      </c>
      <c r="J453" s="84">
        <v>50.0</v>
      </c>
      <c r="K453" s="82">
        <f t="shared" si="14"/>
        <v>50</v>
      </c>
      <c r="L453" s="82" t="s">
        <v>81</v>
      </c>
    </row>
    <row r="454" ht="15.0" customHeight="1">
      <c r="A454" s="177" t="s">
        <v>2195</v>
      </c>
      <c r="B454" s="85" t="s">
        <v>2196</v>
      </c>
      <c r="C454" s="155" t="s">
        <v>52</v>
      </c>
      <c r="D454" s="85" t="s">
        <v>2205</v>
      </c>
      <c r="E454" s="85" t="s">
        <v>2206</v>
      </c>
      <c r="F454" s="177" t="s">
        <v>1264</v>
      </c>
      <c r="G454" s="177">
        <v>1.0</v>
      </c>
      <c r="H454" s="177">
        <v>1.0</v>
      </c>
      <c r="I454" s="177">
        <v>7.0</v>
      </c>
      <c r="J454" s="84">
        <v>50.0</v>
      </c>
      <c r="K454" s="82">
        <f t="shared" si="14"/>
        <v>50</v>
      </c>
      <c r="L454" s="82" t="s">
        <v>81</v>
      </c>
    </row>
    <row r="455" ht="15.0" customHeight="1">
      <c r="A455" s="177" t="s">
        <v>2195</v>
      </c>
      <c r="B455" s="85" t="s">
        <v>2196</v>
      </c>
      <c r="C455" s="155" t="s">
        <v>52</v>
      </c>
      <c r="D455" s="85" t="s">
        <v>2207</v>
      </c>
      <c r="E455" s="85" t="s">
        <v>2208</v>
      </c>
      <c r="F455" s="177" t="s">
        <v>1264</v>
      </c>
      <c r="G455" s="177">
        <v>1.0</v>
      </c>
      <c r="H455" s="177">
        <v>1.0</v>
      </c>
      <c r="I455" s="177">
        <v>7.0</v>
      </c>
      <c r="J455" s="84">
        <v>50.0</v>
      </c>
      <c r="K455" s="82">
        <f t="shared" si="14"/>
        <v>50</v>
      </c>
      <c r="L455" s="82" t="s">
        <v>81</v>
      </c>
    </row>
    <row r="456" ht="15.0" customHeight="1">
      <c r="A456" s="177" t="s">
        <v>2195</v>
      </c>
      <c r="B456" s="85" t="s">
        <v>2196</v>
      </c>
      <c r="C456" s="155" t="s">
        <v>52</v>
      </c>
      <c r="D456" s="85" t="s">
        <v>2209</v>
      </c>
      <c r="E456" s="85" t="s">
        <v>2193</v>
      </c>
      <c r="F456" s="177" t="s">
        <v>1264</v>
      </c>
      <c r="G456" s="177">
        <v>1.0</v>
      </c>
      <c r="H456" s="177">
        <v>1.0</v>
      </c>
      <c r="I456" s="177">
        <v>7.0</v>
      </c>
      <c r="J456" s="84">
        <v>50.0</v>
      </c>
      <c r="K456" s="82">
        <f t="shared" si="14"/>
        <v>50</v>
      </c>
      <c r="L456" s="82" t="s">
        <v>81</v>
      </c>
    </row>
    <row r="457" ht="15.0" customHeight="1">
      <c r="A457" s="177" t="s">
        <v>2195</v>
      </c>
      <c r="B457" s="85" t="s">
        <v>2196</v>
      </c>
      <c r="C457" s="155" t="s">
        <v>52</v>
      </c>
      <c r="D457" s="85" t="s">
        <v>2210</v>
      </c>
      <c r="E457" s="85" t="s">
        <v>2211</v>
      </c>
      <c r="F457" s="177" t="s">
        <v>1264</v>
      </c>
      <c r="G457" s="177">
        <v>1.0</v>
      </c>
      <c r="H457" s="177">
        <v>1.0</v>
      </c>
      <c r="I457" s="177">
        <v>7.0</v>
      </c>
      <c r="J457" s="84">
        <v>50.0</v>
      </c>
      <c r="K457" s="82">
        <f t="shared" si="14"/>
        <v>50</v>
      </c>
      <c r="L457" s="82" t="s">
        <v>81</v>
      </c>
    </row>
    <row r="458" ht="15.0" customHeight="1">
      <c r="A458" s="177" t="s">
        <v>2195</v>
      </c>
      <c r="B458" s="85" t="s">
        <v>2196</v>
      </c>
      <c r="C458" s="155" t="s">
        <v>52</v>
      </c>
      <c r="D458" s="177" t="s">
        <v>2212</v>
      </c>
      <c r="E458" s="85" t="s">
        <v>2213</v>
      </c>
      <c r="F458" s="177" t="s">
        <v>1264</v>
      </c>
      <c r="G458" s="177">
        <v>1.0</v>
      </c>
      <c r="H458" s="177">
        <v>1.0</v>
      </c>
      <c r="I458" s="177">
        <v>7.0</v>
      </c>
      <c r="J458" s="84">
        <v>50.0</v>
      </c>
      <c r="K458" s="82">
        <f t="shared" si="14"/>
        <v>50</v>
      </c>
      <c r="L458" s="82" t="s">
        <v>81</v>
      </c>
    </row>
    <row r="459" ht="15.0" customHeight="1">
      <c r="A459" s="177" t="s">
        <v>2195</v>
      </c>
      <c r="B459" s="85" t="s">
        <v>2196</v>
      </c>
      <c r="C459" s="155" t="s">
        <v>52</v>
      </c>
      <c r="D459" s="177" t="s">
        <v>2214</v>
      </c>
      <c r="E459" s="85" t="s">
        <v>2215</v>
      </c>
      <c r="F459" s="177" t="s">
        <v>1264</v>
      </c>
      <c r="G459" s="177">
        <v>1.0</v>
      </c>
      <c r="H459" s="177">
        <v>1.0</v>
      </c>
      <c r="I459" s="177">
        <v>7.0</v>
      </c>
      <c r="J459" s="84">
        <v>50.0</v>
      </c>
      <c r="K459" s="82">
        <f t="shared" si="14"/>
        <v>50</v>
      </c>
      <c r="L459" s="82" t="s">
        <v>81</v>
      </c>
    </row>
    <row r="460" ht="15.0" customHeight="1">
      <c r="A460" s="177" t="s">
        <v>2216</v>
      </c>
      <c r="B460" s="85" t="s">
        <v>2217</v>
      </c>
      <c r="C460" s="155" t="s">
        <v>52</v>
      </c>
      <c r="D460" s="85" t="s">
        <v>2218</v>
      </c>
      <c r="E460" s="85" t="s">
        <v>2219</v>
      </c>
      <c r="F460" s="177" t="s">
        <v>1264</v>
      </c>
      <c r="G460" s="177">
        <v>1.0</v>
      </c>
      <c r="H460" s="177">
        <v>1.0</v>
      </c>
      <c r="I460" s="177">
        <v>6.0</v>
      </c>
      <c r="J460" s="84">
        <v>50.0</v>
      </c>
      <c r="K460" s="82">
        <f t="shared" si="14"/>
        <v>50</v>
      </c>
      <c r="L460" s="82" t="s">
        <v>81</v>
      </c>
    </row>
    <row r="461" ht="15.0" customHeight="1">
      <c r="A461" s="177" t="s">
        <v>2216</v>
      </c>
      <c r="B461" s="85" t="s">
        <v>2217</v>
      </c>
      <c r="C461" s="155" t="s">
        <v>52</v>
      </c>
      <c r="D461" s="155" t="s">
        <v>2220</v>
      </c>
      <c r="E461" s="85" t="s">
        <v>2221</v>
      </c>
      <c r="F461" s="177" t="s">
        <v>1264</v>
      </c>
      <c r="G461" s="177">
        <v>1.0</v>
      </c>
      <c r="H461" s="177">
        <v>1.0</v>
      </c>
      <c r="I461" s="177">
        <v>6.0</v>
      </c>
      <c r="J461" s="84">
        <v>50.0</v>
      </c>
      <c r="K461" s="82">
        <f t="shared" si="14"/>
        <v>50</v>
      </c>
      <c r="L461" s="82" t="s">
        <v>81</v>
      </c>
    </row>
    <row r="462" ht="15.0" customHeight="1">
      <c r="A462" s="177" t="s">
        <v>2216</v>
      </c>
      <c r="B462" s="85" t="s">
        <v>2217</v>
      </c>
      <c r="C462" s="155" t="s">
        <v>52</v>
      </c>
      <c r="D462" s="82" t="s">
        <v>2222</v>
      </c>
      <c r="E462" s="82" t="s">
        <v>2223</v>
      </c>
      <c r="F462" s="177" t="s">
        <v>1264</v>
      </c>
      <c r="G462" s="177">
        <v>1.0</v>
      </c>
      <c r="H462" s="177">
        <v>1.0</v>
      </c>
      <c r="I462" s="177">
        <v>6.0</v>
      </c>
      <c r="J462" s="84">
        <v>50.0</v>
      </c>
      <c r="K462" s="82">
        <f t="shared" si="14"/>
        <v>50</v>
      </c>
      <c r="L462" s="82" t="s">
        <v>81</v>
      </c>
    </row>
    <row r="463" ht="15.0" customHeight="1">
      <c r="A463" s="177" t="s">
        <v>2216</v>
      </c>
      <c r="B463" s="85" t="s">
        <v>2217</v>
      </c>
      <c r="C463" s="155" t="s">
        <v>52</v>
      </c>
      <c r="D463" s="85" t="s">
        <v>2224</v>
      </c>
      <c r="E463" s="85" t="s">
        <v>2225</v>
      </c>
      <c r="F463" s="177" t="s">
        <v>1264</v>
      </c>
      <c r="G463" s="177">
        <v>1.0</v>
      </c>
      <c r="H463" s="177">
        <v>1.0</v>
      </c>
      <c r="I463" s="177">
        <v>6.0</v>
      </c>
      <c r="J463" s="84">
        <v>50.0</v>
      </c>
      <c r="K463" s="82">
        <f t="shared" si="14"/>
        <v>50</v>
      </c>
      <c r="L463" s="82" t="s">
        <v>81</v>
      </c>
    </row>
    <row r="464" ht="15.0" customHeight="1">
      <c r="A464" s="177" t="s">
        <v>2216</v>
      </c>
      <c r="B464" s="85" t="s">
        <v>2217</v>
      </c>
      <c r="C464" s="155" t="s">
        <v>52</v>
      </c>
      <c r="D464" s="177" t="s">
        <v>2226</v>
      </c>
      <c r="E464" s="85" t="s">
        <v>2162</v>
      </c>
      <c r="F464" s="177" t="s">
        <v>1264</v>
      </c>
      <c r="G464" s="177">
        <v>1.0</v>
      </c>
      <c r="H464" s="177">
        <v>1.0</v>
      </c>
      <c r="I464" s="177">
        <v>6.0</v>
      </c>
      <c r="J464" s="84">
        <v>50.0</v>
      </c>
      <c r="K464" s="82">
        <f t="shared" si="14"/>
        <v>50</v>
      </c>
      <c r="L464" s="82" t="s">
        <v>81</v>
      </c>
    </row>
    <row r="465" ht="15.0" customHeight="1">
      <c r="A465" s="85" t="s">
        <v>2227</v>
      </c>
      <c r="B465" s="85" t="s">
        <v>2228</v>
      </c>
      <c r="C465" s="177" t="s">
        <v>52</v>
      </c>
      <c r="D465" s="85" t="s">
        <v>2229</v>
      </c>
      <c r="E465" s="85" t="s">
        <v>2230</v>
      </c>
      <c r="F465" s="177" t="s">
        <v>1264</v>
      </c>
      <c r="G465" s="177">
        <v>1.0</v>
      </c>
      <c r="H465" s="177">
        <v>1.0</v>
      </c>
      <c r="I465" s="177">
        <v>6.0</v>
      </c>
      <c r="J465" s="84">
        <v>50.0</v>
      </c>
      <c r="K465" s="82">
        <f t="shared" si="14"/>
        <v>50</v>
      </c>
      <c r="L465" s="82" t="s">
        <v>81</v>
      </c>
    </row>
    <row r="466" ht="15.0" customHeight="1">
      <c r="A466" s="177" t="s">
        <v>2231</v>
      </c>
      <c r="B466" s="85" t="s">
        <v>430</v>
      </c>
      <c r="C466" s="177" t="s">
        <v>52</v>
      </c>
      <c r="D466" s="85" t="s">
        <v>2232</v>
      </c>
      <c r="E466" s="85" t="s">
        <v>2233</v>
      </c>
      <c r="F466" s="177" t="s">
        <v>1264</v>
      </c>
      <c r="G466" s="177">
        <v>1.0</v>
      </c>
      <c r="H466" s="177">
        <v>1.0</v>
      </c>
      <c r="I466" s="177">
        <v>6.0</v>
      </c>
      <c r="J466" s="84">
        <v>50.0</v>
      </c>
      <c r="K466" s="82">
        <f t="shared" si="14"/>
        <v>50</v>
      </c>
      <c r="L466" s="82" t="s">
        <v>81</v>
      </c>
    </row>
    <row r="467" ht="15.0" customHeight="1">
      <c r="A467" s="177" t="s">
        <v>2231</v>
      </c>
      <c r="B467" s="85" t="s">
        <v>430</v>
      </c>
      <c r="C467" s="177" t="s">
        <v>52</v>
      </c>
      <c r="D467" s="85" t="s">
        <v>2234</v>
      </c>
      <c r="E467" s="85" t="s">
        <v>2118</v>
      </c>
      <c r="F467" s="177" t="s">
        <v>1264</v>
      </c>
      <c r="G467" s="177">
        <v>1.0</v>
      </c>
      <c r="H467" s="177">
        <v>1.0</v>
      </c>
      <c r="I467" s="177">
        <v>6.0</v>
      </c>
      <c r="J467" s="84">
        <v>50.0</v>
      </c>
      <c r="K467" s="82">
        <f t="shared" si="14"/>
        <v>50</v>
      </c>
      <c r="L467" s="82" t="s">
        <v>81</v>
      </c>
    </row>
    <row r="468" ht="15.0" customHeight="1">
      <c r="A468" s="177" t="s">
        <v>2231</v>
      </c>
      <c r="B468" s="85" t="s">
        <v>430</v>
      </c>
      <c r="C468" s="177" t="s">
        <v>52</v>
      </c>
      <c r="D468" s="85" t="s">
        <v>2235</v>
      </c>
      <c r="E468" s="85" t="s">
        <v>2236</v>
      </c>
      <c r="F468" s="177" t="s">
        <v>1264</v>
      </c>
      <c r="G468" s="177">
        <v>1.0</v>
      </c>
      <c r="H468" s="177">
        <v>1.0</v>
      </c>
      <c r="I468" s="177">
        <v>6.0</v>
      </c>
      <c r="J468" s="84">
        <v>50.0</v>
      </c>
      <c r="K468" s="82">
        <f t="shared" si="14"/>
        <v>50</v>
      </c>
      <c r="L468" s="82" t="s">
        <v>81</v>
      </c>
    </row>
    <row r="469" ht="15.0" customHeight="1">
      <c r="A469" s="177" t="s">
        <v>2237</v>
      </c>
      <c r="B469" s="85" t="s">
        <v>2238</v>
      </c>
      <c r="C469" s="177" t="s">
        <v>52</v>
      </c>
      <c r="D469" s="85" t="s">
        <v>2239</v>
      </c>
      <c r="E469" s="85" t="s">
        <v>2240</v>
      </c>
      <c r="F469" s="177" t="s">
        <v>1264</v>
      </c>
      <c r="G469" s="177">
        <v>1.0</v>
      </c>
      <c r="H469" s="177">
        <v>1.0</v>
      </c>
      <c r="I469" s="177">
        <v>7.0</v>
      </c>
      <c r="J469" s="84">
        <v>50.0</v>
      </c>
      <c r="K469" s="82">
        <f t="shared" si="14"/>
        <v>50</v>
      </c>
      <c r="L469" s="82" t="s">
        <v>81</v>
      </c>
    </row>
    <row r="470" ht="15.0" customHeight="1">
      <c r="A470" s="177" t="s">
        <v>2237</v>
      </c>
      <c r="B470" s="85" t="s">
        <v>2238</v>
      </c>
      <c r="C470" s="177" t="s">
        <v>52</v>
      </c>
      <c r="D470" s="85" t="s">
        <v>2241</v>
      </c>
      <c r="E470" s="85" t="s">
        <v>2242</v>
      </c>
      <c r="F470" s="177" t="s">
        <v>1264</v>
      </c>
      <c r="G470" s="177">
        <v>1.0</v>
      </c>
      <c r="H470" s="177">
        <v>1.0</v>
      </c>
      <c r="I470" s="177">
        <v>7.0</v>
      </c>
      <c r="J470" s="84">
        <v>50.0</v>
      </c>
      <c r="K470" s="82">
        <f t="shared" si="14"/>
        <v>50</v>
      </c>
      <c r="L470" s="82" t="s">
        <v>81</v>
      </c>
    </row>
    <row r="471" ht="15.0" customHeight="1">
      <c r="A471" s="177" t="s">
        <v>2237</v>
      </c>
      <c r="B471" s="85" t="s">
        <v>2238</v>
      </c>
      <c r="C471" s="177" t="s">
        <v>52</v>
      </c>
      <c r="D471" s="85" t="s">
        <v>2243</v>
      </c>
      <c r="E471" s="85" t="s">
        <v>2244</v>
      </c>
      <c r="F471" s="177" t="s">
        <v>1264</v>
      </c>
      <c r="G471" s="177">
        <v>1.0</v>
      </c>
      <c r="H471" s="177">
        <v>1.0</v>
      </c>
      <c r="I471" s="177">
        <v>7.0</v>
      </c>
      <c r="J471" s="84">
        <v>50.0</v>
      </c>
      <c r="K471" s="82">
        <f t="shared" si="14"/>
        <v>50</v>
      </c>
      <c r="L471" s="82" t="s">
        <v>81</v>
      </c>
    </row>
    <row r="472" ht="15.0" customHeight="1">
      <c r="A472" s="177" t="s">
        <v>2237</v>
      </c>
      <c r="B472" s="85" t="s">
        <v>2238</v>
      </c>
      <c r="C472" s="177" t="s">
        <v>52</v>
      </c>
      <c r="D472" s="85" t="s">
        <v>2168</v>
      </c>
      <c r="E472" s="85" t="s">
        <v>2169</v>
      </c>
      <c r="F472" s="177" t="s">
        <v>1264</v>
      </c>
      <c r="G472" s="177">
        <v>1.0</v>
      </c>
      <c r="H472" s="177">
        <v>1.0</v>
      </c>
      <c r="I472" s="177">
        <v>7.0</v>
      </c>
      <c r="J472" s="84">
        <v>50.0</v>
      </c>
      <c r="K472" s="82">
        <f t="shared" si="14"/>
        <v>50</v>
      </c>
      <c r="L472" s="82" t="s">
        <v>81</v>
      </c>
    </row>
    <row r="473" ht="15.0" customHeight="1">
      <c r="A473" s="85" t="s">
        <v>2245</v>
      </c>
      <c r="B473" s="82" t="s">
        <v>2246</v>
      </c>
      <c r="C473" s="177" t="s">
        <v>52</v>
      </c>
      <c r="D473" s="85" t="s">
        <v>2247</v>
      </c>
      <c r="E473" s="85" t="s">
        <v>2248</v>
      </c>
      <c r="F473" s="177" t="s">
        <v>1264</v>
      </c>
      <c r="G473" s="177">
        <v>12.0</v>
      </c>
      <c r="H473" s="177">
        <v>1.0</v>
      </c>
      <c r="I473" s="177">
        <v>12.0</v>
      </c>
      <c r="J473" s="177">
        <v>50.0</v>
      </c>
      <c r="K473" s="82">
        <f t="shared" si="14"/>
        <v>4.166666667</v>
      </c>
      <c r="L473" s="82" t="s">
        <v>81</v>
      </c>
    </row>
    <row r="474" ht="15.0" customHeight="1">
      <c r="A474" s="82" t="s">
        <v>2249</v>
      </c>
      <c r="B474" s="177" t="s">
        <v>2250</v>
      </c>
      <c r="C474" s="177" t="s">
        <v>52</v>
      </c>
      <c r="D474" s="82" t="s">
        <v>2251</v>
      </c>
      <c r="E474" s="82" t="s">
        <v>2252</v>
      </c>
      <c r="F474" s="177" t="s">
        <v>1264</v>
      </c>
      <c r="G474" s="155">
        <v>3.0</v>
      </c>
      <c r="H474" s="155">
        <v>3.0</v>
      </c>
      <c r="I474" s="155">
        <v>3.0</v>
      </c>
      <c r="J474" s="155">
        <v>50.0</v>
      </c>
      <c r="K474" s="82">
        <f t="shared" si="14"/>
        <v>16.66666667</v>
      </c>
      <c r="L474" s="82" t="s">
        <v>81</v>
      </c>
    </row>
    <row r="475" ht="15.0" customHeight="1">
      <c r="A475" s="82" t="s">
        <v>2249</v>
      </c>
      <c r="B475" s="177" t="s">
        <v>2250</v>
      </c>
      <c r="C475" s="177" t="s">
        <v>52</v>
      </c>
      <c r="D475" s="85" t="s">
        <v>2253</v>
      </c>
      <c r="E475" s="85" t="s">
        <v>2254</v>
      </c>
      <c r="F475" s="177" t="s">
        <v>1264</v>
      </c>
      <c r="G475" s="155">
        <v>3.0</v>
      </c>
      <c r="H475" s="155">
        <v>3.0</v>
      </c>
      <c r="I475" s="155">
        <v>3.0</v>
      </c>
      <c r="J475" s="155">
        <v>50.0</v>
      </c>
      <c r="K475" s="82">
        <f t="shared" si="14"/>
        <v>16.66666667</v>
      </c>
      <c r="L475" s="82" t="s">
        <v>81</v>
      </c>
    </row>
    <row r="476" ht="15.0" customHeight="1">
      <c r="A476" s="85" t="s">
        <v>2255</v>
      </c>
      <c r="B476" s="82" t="s">
        <v>2256</v>
      </c>
      <c r="C476" s="177" t="s">
        <v>52</v>
      </c>
      <c r="D476" s="85" t="s">
        <v>2257</v>
      </c>
      <c r="E476" s="85" t="s">
        <v>2134</v>
      </c>
      <c r="F476" s="177" t="s">
        <v>1264</v>
      </c>
      <c r="G476" s="177">
        <v>1.0</v>
      </c>
      <c r="H476" s="177">
        <v>1.0</v>
      </c>
      <c r="I476" s="177">
        <v>5.0</v>
      </c>
      <c r="J476" s="84">
        <v>50.0</v>
      </c>
      <c r="K476" s="82">
        <f t="shared" si="14"/>
        <v>50</v>
      </c>
      <c r="L476" s="82" t="s">
        <v>81</v>
      </c>
    </row>
    <row r="477" ht="15.0" customHeight="1">
      <c r="A477" s="85" t="s">
        <v>2255</v>
      </c>
      <c r="B477" s="82" t="s">
        <v>2256</v>
      </c>
      <c r="C477" s="177" t="s">
        <v>52</v>
      </c>
      <c r="D477" s="82" t="s">
        <v>2258</v>
      </c>
      <c r="E477" s="82" t="s">
        <v>2259</v>
      </c>
      <c r="F477" s="177" t="s">
        <v>1264</v>
      </c>
      <c r="G477" s="177">
        <v>1.0</v>
      </c>
      <c r="H477" s="177">
        <v>1.0</v>
      </c>
      <c r="I477" s="177">
        <v>5.0</v>
      </c>
      <c r="J477" s="84">
        <v>50.0</v>
      </c>
      <c r="K477" s="82">
        <f t="shared" si="14"/>
        <v>50</v>
      </c>
      <c r="L477" s="82" t="s">
        <v>81</v>
      </c>
    </row>
    <row r="478" ht="15.0" customHeight="1">
      <c r="A478" s="85" t="s">
        <v>2255</v>
      </c>
      <c r="B478" s="82" t="s">
        <v>2256</v>
      </c>
      <c r="C478" s="177" t="s">
        <v>52</v>
      </c>
      <c r="D478" s="85" t="s">
        <v>2260</v>
      </c>
      <c r="E478" s="85" t="s">
        <v>2261</v>
      </c>
      <c r="F478" s="177" t="s">
        <v>1264</v>
      </c>
      <c r="G478" s="177">
        <v>1.0</v>
      </c>
      <c r="H478" s="177">
        <v>1.0</v>
      </c>
      <c r="I478" s="177">
        <v>5.0</v>
      </c>
      <c r="J478" s="84">
        <v>50.0</v>
      </c>
      <c r="K478" s="82">
        <f t="shared" si="14"/>
        <v>50</v>
      </c>
      <c r="L478" s="82" t="s">
        <v>81</v>
      </c>
    </row>
    <row r="479" ht="15.0" customHeight="1">
      <c r="A479" s="85" t="s">
        <v>2255</v>
      </c>
      <c r="B479" s="82" t="s">
        <v>2256</v>
      </c>
      <c r="C479" s="177" t="s">
        <v>52</v>
      </c>
      <c r="D479" s="85" t="s">
        <v>2262</v>
      </c>
      <c r="E479" s="85" t="s">
        <v>2263</v>
      </c>
      <c r="F479" s="177" t="s">
        <v>1264</v>
      </c>
      <c r="G479" s="177">
        <v>1.0</v>
      </c>
      <c r="H479" s="177">
        <v>1.0</v>
      </c>
      <c r="I479" s="177">
        <v>5.0</v>
      </c>
      <c r="J479" s="84">
        <v>50.0</v>
      </c>
      <c r="K479" s="82">
        <f t="shared" si="14"/>
        <v>50</v>
      </c>
      <c r="L479" s="82" t="s">
        <v>81</v>
      </c>
    </row>
    <row r="480" ht="15.0" customHeight="1">
      <c r="A480" s="85" t="s">
        <v>2255</v>
      </c>
      <c r="B480" s="82" t="s">
        <v>2256</v>
      </c>
      <c r="C480" s="177" t="s">
        <v>52</v>
      </c>
      <c r="D480" s="85" t="s">
        <v>2264</v>
      </c>
      <c r="E480" s="85" t="s">
        <v>2265</v>
      </c>
      <c r="F480" s="177" t="s">
        <v>1264</v>
      </c>
      <c r="G480" s="177">
        <v>1.0</v>
      </c>
      <c r="H480" s="177">
        <v>1.0</v>
      </c>
      <c r="I480" s="177">
        <v>5.0</v>
      </c>
      <c r="J480" s="84">
        <v>50.0</v>
      </c>
      <c r="K480" s="82">
        <f t="shared" si="14"/>
        <v>50</v>
      </c>
      <c r="L480" s="82" t="s">
        <v>81</v>
      </c>
    </row>
    <row r="481" ht="15.0" customHeight="1">
      <c r="A481" s="85" t="s">
        <v>2255</v>
      </c>
      <c r="B481" s="82" t="s">
        <v>2256</v>
      </c>
      <c r="C481" s="177" t="s">
        <v>52</v>
      </c>
      <c r="D481" s="85" t="s">
        <v>2266</v>
      </c>
      <c r="E481" s="85" t="s">
        <v>2267</v>
      </c>
      <c r="F481" s="177" t="s">
        <v>1264</v>
      </c>
      <c r="G481" s="177">
        <v>1.0</v>
      </c>
      <c r="H481" s="177">
        <v>1.0</v>
      </c>
      <c r="I481" s="177">
        <v>5.0</v>
      </c>
      <c r="J481" s="84">
        <v>50.0</v>
      </c>
      <c r="K481" s="82">
        <f t="shared" si="14"/>
        <v>50</v>
      </c>
      <c r="L481" s="82" t="s">
        <v>81</v>
      </c>
    </row>
    <row r="482" ht="15.0" customHeight="1">
      <c r="A482" s="177" t="s">
        <v>2268</v>
      </c>
      <c r="B482" s="85" t="s">
        <v>2269</v>
      </c>
      <c r="C482" s="177" t="s">
        <v>52</v>
      </c>
      <c r="D482" s="85" t="s">
        <v>2270</v>
      </c>
      <c r="E482" s="85" t="s">
        <v>2271</v>
      </c>
      <c r="F482" s="177" t="s">
        <v>1264</v>
      </c>
      <c r="G482" s="177">
        <v>4.0</v>
      </c>
      <c r="H482" s="177">
        <v>1.0</v>
      </c>
      <c r="I482" s="177">
        <v>4.0</v>
      </c>
      <c r="J482" s="177">
        <v>50.0</v>
      </c>
      <c r="K482" s="82">
        <f t="shared" si="14"/>
        <v>12.5</v>
      </c>
      <c r="L482" s="82" t="s">
        <v>81</v>
      </c>
    </row>
    <row r="483" ht="15.0" customHeight="1">
      <c r="A483" s="85" t="s">
        <v>2272</v>
      </c>
      <c r="B483" s="85" t="s">
        <v>2273</v>
      </c>
      <c r="C483" s="177" t="s">
        <v>52</v>
      </c>
      <c r="D483" s="85" t="s">
        <v>2274</v>
      </c>
      <c r="E483" s="85" t="s">
        <v>2275</v>
      </c>
      <c r="F483" s="177" t="s">
        <v>1264</v>
      </c>
      <c r="G483" s="177">
        <v>1.0</v>
      </c>
      <c r="H483" s="177">
        <v>1.0</v>
      </c>
      <c r="I483" s="177">
        <v>6.0</v>
      </c>
      <c r="J483" s="177">
        <v>50.0</v>
      </c>
      <c r="K483" s="82">
        <f t="shared" si="14"/>
        <v>50</v>
      </c>
      <c r="L483" s="82" t="s">
        <v>81</v>
      </c>
    </row>
    <row r="484" ht="15.0" customHeight="1">
      <c r="A484" s="85" t="s">
        <v>2272</v>
      </c>
      <c r="B484" s="85" t="s">
        <v>2273</v>
      </c>
      <c r="C484" s="177" t="s">
        <v>52</v>
      </c>
      <c r="D484" s="85" t="s">
        <v>2276</v>
      </c>
      <c r="E484" s="85" t="s">
        <v>2277</v>
      </c>
      <c r="F484" s="177" t="s">
        <v>1264</v>
      </c>
      <c r="G484" s="177">
        <v>1.0</v>
      </c>
      <c r="H484" s="177">
        <v>1.0</v>
      </c>
      <c r="I484" s="177">
        <v>6.0</v>
      </c>
      <c r="J484" s="177">
        <v>50.0</v>
      </c>
      <c r="K484" s="82">
        <f t="shared" si="14"/>
        <v>50</v>
      </c>
      <c r="L484" s="82" t="s">
        <v>81</v>
      </c>
    </row>
    <row r="485" ht="15.0" customHeight="1">
      <c r="A485" s="85" t="s">
        <v>2272</v>
      </c>
      <c r="B485" s="85" t="s">
        <v>2273</v>
      </c>
      <c r="C485" s="177" t="s">
        <v>52</v>
      </c>
      <c r="D485" s="85" t="s">
        <v>2278</v>
      </c>
      <c r="E485" s="85" t="s">
        <v>2275</v>
      </c>
      <c r="F485" s="177" t="s">
        <v>1264</v>
      </c>
      <c r="G485" s="177">
        <v>1.0</v>
      </c>
      <c r="H485" s="177">
        <v>1.0</v>
      </c>
      <c r="I485" s="177">
        <v>6.0</v>
      </c>
      <c r="J485" s="177">
        <v>50.0</v>
      </c>
      <c r="K485" s="82">
        <f t="shared" si="14"/>
        <v>50</v>
      </c>
      <c r="L485" s="82" t="s">
        <v>81</v>
      </c>
    </row>
    <row r="486" ht="15.0" customHeight="1">
      <c r="A486" s="85" t="s">
        <v>2279</v>
      </c>
      <c r="B486" s="85" t="s">
        <v>2280</v>
      </c>
      <c r="C486" s="177" t="s">
        <v>52</v>
      </c>
      <c r="D486" s="85" t="s">
        <v>2281</v>
      </c>
      <c r="E486" s="85" t="s">
        <v>2160</v>
      </c>
      <c r="F486" s="177" t="s">
        <v>1264</v>
      </c>
      <c r="G486" s="177">
        <v>1.0</v>
      </c>
      <c r="H486" s="177">
        <v>1.0</v>
      </c>
      <c r="I486" s="177">
        <v>6.0</v>
      </c>
      <c r="J486" s="177">
        <v>50.0</v>
      </c>
      <c r="K486" s="82">
        <f t="shared" si="14"/>
        <v>50</v>
      </c>
      <c r="L486" s="82" t="s">
        <v>81</v>
      </c>
    </row>
    <row r="487" ht="15.0" customHeight="1">
      <c r="A487" s="85" t="s">
        <v>2279</v>
      </c>
      <c r="B487" s="85" t="s">
        <v>2280</v>
      </c>
      <c r="C487" s="177" t="s">
        <v>52</v>
      </c>
      <c r="D487" s="85" t="s">
        <v>2282</v>
      </c>
      <c r="E487" s="85" t="s">
        <v>2283</v>
      </c>
      <c r="F487" s="177" t="s">
        <v>1264</v>
      </c>
      <c r="G487" s="177">
        <v>1.0</v>
      </c>
      <c r="H487" s="177">
        <v>1.0</v>
      </c>
      <c r="I487" s="177">
        <v>6.0</v>
      </c>
      <c r="J487" s="177">
        <v>50.0</v>
      </c>
      <c r="K487" s="82">
        <f t="shared" si="14"/>
        <v>50</v>
      </c>
      <c r="L487" s="82" t="s">
        <v>81</v>
      </c>
    </row>
    <row r="488" ht="15.0" customHeight="1">
      <c r="A488" s="179" t="s">
        <v>2284</v>
      </c>
      <c r="B488" s="179" t="s">
        <v>2285</v>
      </c>
      <c r="C488" s="177" t="s">
        <v>52</v>
      </c>
      <c r="D488" s="82" t="s">
        <v>2286</v>
      </c>
      <c r="E488" s="82" t="s">
        <v>2287</v>
      </c>
      <c r="F488" s="177" t="s">
        <v>1264</v>
      </c>
      <c r="G488" s="155">
        <v>2.0</v>
      </c>
      <c r="H488" s="155">
        <v>2.0</v>
      </c>
      <c r="I488" s="155">
        <v>5.0</v>
      </c>
      <c r="J488" s="177">
        <v>50.0</v>
      </c>
      <c r="K488" s="82">
        <f t="shared" si="14"/>
        <v>25</v>
      </c>
      <c r="L488" s="82" t="s">
        <v>81</v>
      </c>
    </row>
    <row r="489" ht="15.0" customHeight="1">
      <c r="A489" s="179" t="s">
        <v>2284</v>
      </c>
      <c r="B489" s="179" t="s">
        <v>2285</v>
      </c>
      <c r="C489" s="177" t="s">
        <v>52</v>
      </c>
      <c r="D489" s="82" t="s">
        <v>2288</v>
      </c>
      <c r="E489" s="82" t="s">
        <v>2289</v>
      </c>
      <c r="F489" s="177" t="s">
        <v>1264</v>
      </c>
      <c r="G489" s="155">
        <v>2.0</v>
      </c>
      <c r="H489" s="155">
        <v>2.0</v>
      </c>
      <c r="I489" s="155">
        <v>5.0</v>
      </c>
      <c r="J489" s="177">
        <v>50.0</v>
      </c>
      <c r="K489" s="82">
        <f t="shared" si="14"/>
        <v>25</v>
      </c>
      <c r="L489" s="82" t="s">
        <v>81</v>
      </c>
    </row>
    <row r="490" ht="15.0" customHeight="1">
      <c r="A490" s="179" t="s">
        <v>2284</v>
      </c>
      <c r="B490" s="179" t="s">
        <v>2285</v>
      </c>
      <c r="C490" s="177" t="s">
        <v>52</v>
      </c>
      <c r="D490" s="85" t="s">
        <v>2290</v>
      </c>
      <c r="E490" s="85" t="s">
        <v>2291</v>
      </c>
      <c r="F490" s="177" t="s">
        <v>1264</v>
      </c>
      <c r="G490" s="155">
        <v>2.0</v>
      </c>
      <c r="H490" s="155">
        <v>2.0</v>
      </c>
      <c r="I490" s="155">
        <v>5.0</v>
      </c>
      <c r="J490" s="177">
        <v>50.0</v>
      </c>
      <c r="K490" s="82">
        <f t="shared" si="14"/>
        <v>25</v>
      </c>
      <c r="L490" s="82" t="s">
        <v>81</v>
      </c>
    </row>
    <row r="491" ht="15.0" customHeight="1">
      <c r="A491" s="179" t="s">
        <v>2284</v>
      </c>
      <c r="B491" s="179" t="s">
        <v>2285</v>
      </c>
      <c r="C491" s="177" t="s">
        <v>52</v>
      </c>
      <c r="D491" s="177" t="s">
        <v>2292</v>
      </c>
      <c r="E491" s="85" t="s">
        <v>2293</v>
      </c>
      <c r="F491" s="177" t="s">
        <v>1264</v>
      </c>
      <c r="G491" s="155">
        <v>2.0</v>
      </c>
      <c r="H491" s="155">
        <v>2.0</v>
      </c>
      <c r="I491" s="155">
        <v>5.0</v>
      </c>
      <c r="J491" s="177">
        <v>50.0</v>
      </c>
      <c r="K491" s="82">
        <f t="shared" si="14"/>
        <v>25</v>
      </c>
      <c r="L491" s="82" t="s">
        <v>81</v>
      </c>
    </row>
    <row r="492" ht="15.0" customHeight="1">
      <c r="A492" s="177" t="s">
        <v>2294</v>
      </c>
      <c r="B492" s="85" t="s">
        <v>2295</v>
      </c>
      <c r="C492" s="177" t="s">
        <v>52</v>
      </c>
      <c r="D492" s="85" t="s">
        <v>2296</v>
      </c>
      <c r="E492" s="85" t="s">
        <v>2297</v>
      </c>
      <c r="F492" s="177" t="s">
        <v>1264</v>
      </c>
      <c r="G492" s="177">
        <v>1.0</v>
      </c>
      <c r="H492" s="177">
        <v>1.0</v>
      </c>
      <c r="I492" s="177">
        <v>6.0</v>
      </c>
      <c r="J492" s="177">
        <v>50.0</v>
      </c>
      <c r="K492" s="82">
        <f t="shared" si="14"/>
        <v>50</v>
      </c>
      <c r="L492" s="82" t="s">
        <v>81</v>
      </c>
    </row>
    <row r="493" ht="15.0" customHeight="1">
      <c r="A493" s="177" t="s">
        <v>2294</v>
      </c>
      <c r="B493" s="85" t="s">
        <v>2295</v>
      </c>
      <c r="C493" s="177" t="s">
        <v>52</v>
      </c>
      <c r="D493" s="85" t="s">
        <v>2298</v>
      </c>
      <c r="E493" s="85" t="s">
        <v>2299</v>
      </c>
      <c r="F493" s="177" t="s">
        <v>1264</v>
      </c>
      <c r="G493" s="177">
        <v>1.0</v>
      </c>
      <c r="H493" s="177">
        <v>1.0</v>
      </c>
      <c r="I493" s="177">
        <v>6.0</v>
      </c>
      <c r="J493" s="177">
        <v>50.0</v>
      </c>
      <c r="K493" s="82">
        <f t="shared" si="14"/>
        <v>50</v>
      </c>
      <c r="L493" s="82" t="s">
        <v>81</v>
      </c>
    </row>
    <row r="494" ht="15.0" customHeight="1">
      <c r="A494" s="177" t="s">
        <v>2294</v>
      </c>
      <c r="B494" s="85" t="s">
        <v>2295</v>
      </c>
      <c r="C494" s="177" t="s">
        <v>52</v>
      </c>
      <c r="D494" s="85" t="s">
        <v>2300</v>
      </c>
      <c r="E494" s="85" t="s">
        <v>2301</v>
      </c>
      <c r="F494" s="177" t="s">
        <v>1264</v>
      </c>
      <c r="G494" s="177">
        <v>1.0</v>
      </c>
      <c r="H494" s="177">
        <v>1.0</v>
      </c>
      <c r="I494" s="177">
        <v>6.0</v>
      </c>
      <c r="J494" s="177">
        <v>50.0</v>
      </c>
      <c r="K494" s="82">
        <f t="shared" si="14"/>
        <v>50</v>
      </c>
      <c r="L494" s="82" t="s">
        <v>81</v>
      </c>
    </row>
    <row r="495" ht="15.0" customHeight="1">
      <c r="A495" s="85" t="s">
        <v>2302</v>
      </c>
      <c r="B495" s="85" t="s">
        <v>2303</v>
      </c>
      <c r="C495" s="177" t="s">
        <v>52</v>
      </c>
      <c r="D495" s="96" t="s">
        <v>2304</v>
      </c>
      <c r="E495" s="85" t="s">
        <v>2297</v>
      </c>
      <c r="F495" s="177" t="s">
        <v>1264</v>
      </c>
      <c r="G495" s="177">
        <v>1.0</v>
      </c>
      <c r="H495" s="177">
        <v>1.0</v>
      </c>
      <c r="I495" s="177">
        <v>7.0</v>
      </c>
      <c r="J495" s="177">
        <v>50.0</v>
      </c>
      <c r="K495" s="82">
        <f t="shared" si="14"/>
        <v>50</v>
      </c>
      <c r="L495" s="82" t="s">
        <v>81</v>
      </c>
    </row>
    <row r="496" ht="15.0" customHeight="1">
      <c r="A496" s="85" t="s">
        <v>2302</v>
      </c>
      <c r="B496" s="85" t="s">
        <v>2303</v>
      </c>
      <c r="C496" s="177" t="s">
        <v>52</v>
      </c>
      <c r="D496" s="85" t="s">
        <v>2305</v>
      </c>
      <c r="E496" s="85" t="s">
        <v>2306</v>
      </c>
      <c r="F496" s="177" t="s">
        <v>1264</v>
      </c>
      <c r="G496" s="177">
        <v>1.0</v>
      </c>
      <c r="H496" s="177">
        <v>1.0</v>
      </c>
      <c r="I496" s="177">
        <v>7.0</v>
      </c>
      <c r="J496" s="177">
        <v>50.0</v>
      </c>
      <c r="K496" s="82">
        <f t="shared" si="14"/>
        <v>50</v>
      </c>
      <c r="L496" s="82" t="s">
        <v>81</v>
      </c>
    </row>
    <row r="497" ht="15.0" customHeight="1">
      <c r="A497" s="85" t="s">
        <v>2302</v>
      </c>
      <c r="B497" s="85" t="s">
        <v>2303</v>
      </c>
      <c r="C497" s="177" t="s">
        <v>52</v>
      </c>
      <c r="D497" s="85" t="s">
        <v>2307</v>
      </c>
      <c r="E497" s="85" t="s">
        <v>2308</v>
      </c>
      <c r="F497" s="177" t="s">
        <v>1264</v>
      </c>
      <c r="G497" s="177">
        <v>1.0</v>
      </c>
      <c r="H497" s="177">
        <v>1.0</v>
      </c>
      <c r="I497" s="177">
        <v>7.0</v>
      </c>
      <c r="J497" s="177">
        <v>50.0</v>
      </c>
      <c r="K497" s="82">
        <f t="shared" si="14"/>
        <v>50</v>
      </c>
      <c r="L497" s="82" t="s">
        <v>81</v>
      </c>
    </row>
    <row r="498" ht="15.0" customHeight="1">
      <c r="A498" s="85" t="s">
        <v>2302</v>
      </c>
      <c r="B498" s="85" t="s">
        <v>2303</v>
      </c>
      <c r="C498" s="177" t="s">
        <v>52</v>
      </c>
      <c r="D498" s="82" t="s">
        <v>2309</v>
      </c>
      <c r="E498" s="82" t="s">
        <v>2215</v>
      </c>
      <c r="F498" s="177" t="s">
        <v>1264</v>
      </c>
      <c r="G498" s="177">
        <v>1.0</v>
      </c>
      <c r="H498" s="177">
        <v>1.0</v>
      </c>
      <c r="I498" s="177">
        <v>7.0</v>
      </c>
      <c r="J498" s="177">
        <v>50.0</v>
      </c>
      <c r="K498" s="82">
        <f t="shared" si="14"/>
        <v>50</v>
      </c>
      <c r="L498" s="82" t="s">
        <v>81</v>
      </c>
    </row>
    <row r="499" ht="15.0" customHeight="1">
      <c r="A499" s="85" t="s">
        <v>2310</v>
      </c>
      <c r="B499" s="82" t="s">
        <v>2311</v>
      </c>
      <c r="C499" s="177" t="s">
        <v>52</v>
      </c>
      <c r="D499" s="82" t="s">
        <v>2312</v>
      </c>
      <c r="E499" s="82" t="s">
        <v>2313</v>
      </c>
      <c r="F499" s="177" t="s">
        <v>1264</v>
      </c>
      <c r="G499" s="155">
        <v>1.0</v>
      </c>
      <c r="H499" s="155">
        <v>1.0</v>
      </c>
      <c r="I499" s="155">
        <v>7.0</v>
      </c>
      <c r="J499" s="177">
        <v>50.0</v>
      </c>
      <c r="K499" s="82">
        <f t="shared" si="14"/>
        <v>50</v>
      </c>
      <c r="L499" s="82" t="s">
        <v>81</v>
      </c>
    </row>
    <row r="500" ht="15.0" customHeight="1">
      <c r="A500" s="82" t="s">
        <v>2314</v>
      </c>
      <c r="B500" s="85" t="s">
        <v>2315</v>
      </c>
      <c r="C500" s="177" t="s">
        <v>52</v>
      </c>
      <c r="D500" s="85" t="s">
        <v>2316</v>
      </c>
      <c r="E500" s="85" t="s">
        <v>2317</v>
      </c>
      <c r="F500" s="177" t="s">
        <v>1264</v>
      </c>
      <c r="G500" s="177">
        <v>1.0</v>
      </c>
      <c r="H500" s="177">
        <v>1.0</v>
      </c>
      <c r="I500" s="177">
        <v>6.0</v>
      </c>
      <c r="J500" s="177">
        <v>50.0</v>
      </c>
      <c r="K500" s="82">
        <f t="shared" si="14"/>
        <v>50</v>
      </c>
      <c r="L500" s="82" t="s">
        <v>81</v>
      </c>
    </row>
    <row r="501" ht="15.0" customHeight="1">
      <c r="A501" s="82" t="s">
        <v>2318</v>
      </c>
      <c r="B501" s="85" t="s">
        <v>2315</v>
      </c>
      <c r="C501" s="177" t="s">
        <v>52</v>
      </c>
      <c r="D501" s="85" t="s">
        <v>2319</v>
      </c>
      <c r="E501" s="85" t="s">
        <v>2320</v>
      </c>
      <c r="F501" s="177" t="s">
        <v>1264</v>
      </c>
      <c r="G501" s="177">
        <v>1.0</v>
      </c>
      <c r="H501" s="177">
        <v>1.0</v>
      </c>
      <c r="I501" s="177">
        <v>6.0</v>
      </c>
      <c r="J501" s="177">
        <v>50.0</v>
      </c>
      <c r="K501" s="82">
        <f t="shared" si="14"/>
        <v>50</v>
      </c>
      <c r="L501" s="82" t="s">
        <v>81</v>
      </c>
    </row>
    <row r="502" ht="15.0" customHeight="1">
      <c r="A502" s="82" t="s">
        <v>2318</v>
      </c>
      <c r="B502" s="85" t="s">
        <v>2315</v>
      </c>
      <c r="C502" s="177" t="s">
        <v>52</v>
      </c>
      <c r="D502" s="177" t="s">
        <v>2321</v>
      </c>
      <c r="E502" s="85" t="s">
        <v>2322</v>
      </c>
      <c r="F502" s="177" t="s">
        <v>1264</v>
      </c>
      <c r="G502" s="177">
        <v>1.0</v>
      </c>
      <c r="H502" s="177">
        <v>1.0</v>
      </c>
      <c r="I502" s="177">
        <v>6.0</v>
      </c>
      <c r="J502" s="177">
        <v>50.0</v>
      </c>
      <c r="K502" s="82">
        <f t="shared" si="14"/>
        <v>50</v>
      </c>
      <c r="L502" s="82" t="s">
        <v>81</v>
      </c>
    </row>
    <row r="503" ht="15.0" customHeight="1">
      <c r="A503" s="82" t="s">
        <v>2323</v>
      </c>
      <c r="B503" s="85" t="s">
        <v>2315</v>
      </c>
      <c r="C503" s="177" t="s">
        <v>52</v>
      </c>
      <c r="D503" s="85" t="s">
        <v>2324</v>
      </c>
      <c r="E503" s="85" t="s">
        <v>2263</v>
      </c>
      <c r="F503" s="177" t="s">
        <v>1264</v>
      </c>
      <c r="G503" s="177">
        <v>1.0</v>
      </c>
      <c r="H503" s="177">
        <v>1.0</v>
      </c>
      <c r="I503" s="177">
        <v>6.0</v>
      </c>
      <c r="J503" s="177">
        <v>50.0</v>
      </c>
      <c r="K503" s="82">
        <f t="shared" si="14"/>
        <v>50</v>
      </c>
      <c r="L503" s="82" t="s">
        <v>81</v>
      </c>
    </row>
    <row r="504" ht="15.0" customHeight="1">
      <c r="A504" s="82" t="s">
        <v>2325</v>
      </c>
      <c r="B504" s="82" t="s">
        <v>2326</v>
      </c>
      <c r="C504" s="177" t="s">
        <v>52</v>
      </c>
      <c r="D504" s="82" t="s">
        <v>2327</v>
      </c>
      <c r="E504" s="82" t="s">
        <v>2328</v>
      </c>
      <c r="F504" s="177" t="s">
        <v>1264</v>
      </c>
      <c r="G504" s="177">
        <v>1.0</v>
      </c>
      <c r="H504" s="177">
        <v>1.0</v>
      </c>
      <c r="I504" s="177">
        <v>6.0</v>
      </c>
      <c r="J504" s="177">
        <v>50.0</v>
      </c>
      <c r="K504" s="82">
        <f t="shared" si="14"/>
        <v>50</v>
      </c>
      <c r="L504" s="82" t="s">
        <v>81</v>
      </c>
    </row>
    <row r="505" ht="15.0" customHeight="1">
      <c r="A505" s="155" t="s">
        <v>2329</v>
      </c>
      <c r="B505" s="85" t="s">
        <v>2330</v>
      </c>
      <c r="C505" s="177" t="s">
        <v>52</v>
      </c>
      <c r="D505" s="177" t="s">
        <v>2331</v>
      </c>
      <c r="E505" s="85" t="s">
        <v>2332</v>
      </c>
      <c r="F505" s="177" t="s">
        <v>1264</v>
      </c>
      <c r="G505" s="177">
        <v>5.0</v>
      </c>
      <c r="H505" s="177">
        <v>1.0</v>
      </c>
      <c r="I505" s="177">
        <v>6.0</v>
      </c>
      <c r="J505" s="177">
        <v>50.0</v>
      </c>
      <c r="K505" s="82">
        <f t="shared" si="14"/>
        <v>10</v>
      </c>
      <c r="L505" s="82" t="s">
        <v>81</v>
      </c>
    </row>
    <row r="506" ht="15.0" customHeight="1">
      <c r="A506" s="155" t="s">
        <v>2329</v>
      </c>
      <c r="B506" s="85" t="s">
        <v>2330</v>
      </c>
      <c r="C506" s="177" t="s">
        <v>52</v>
      </c>
      <c r="D506" s="85" t="s">
        <v>2333</v>
      </c>
      <c r="E506" s="85" t="s">
        <v>2334</v>
      </c>
      <c r="F506" s="177" t="s">
        <v>1264</v>
      </c>
      <c r="G506" s="177">
        <v>5.0</v>
      </c>
      <c r="H506" s="177">
        <v>1.0</v>
      </c>
      <c r="I506" s="177">
        <v>6.0</v>
      </c>
      <c r="J506" s="177">
        <v>50.0</v>
      </c>
      <c r="K506" s="82">
        <f t="shared" si="14"/>
        <v>10</v>
      </c>
      <c r="L506" s="82" t="s">
        <v>81</v>
      </c>
    </row>
    <row r="507" ht="15.0" customHeight="1">
      <c r="A507" s="177" t="s">
        <v>2335</v>
      </c>
      <c r="B507" s="85" t="s">
        <v>2336</v>
      </c>
      <c r="C507" s="177" t="s">
        <v>52</v>
      </c>
      <c r="D507" s="178" t="s">
        <v>2337</v>
      </c>
      <c r="E507" s="85" t="s">
        <v>2134</v>
      </c>
      <c r="F507" s="177" t="s">
        <v>1264</v>
      </c>
      <c r="G507" s="177">
        <v>1.0</v>
      </c>
      <c r="H507" s="177">
        <v>1.0</v>
      </c>
      <c r="I507" s="177">
        <v>7.0</v>
      </c>
      <c r="J507" s="177">
        <v>50.0</v>
      </c>
      <c r="K507" s="82">
        <f t="shared" si="14"/>
        <v>50</v>
      </c>
      <c r="L507" s="82" t="s">
        <v>81</v>
      </c>
    </row>
    <row r="508" ht="15.0" customHeight="1">
      <c r="A508" s="177" t="s">
        <v>2338</v>
      </c>
      <c r="B508" s="85" t="s">
        <v>2339</v>
      </c>
      <c r="C508" s="177" t="s">
        <v>52</v>
      </c>
      <c r="D508" s="85" t="s">
        <v>2340</v>
      </c>
      <c r="E508" s="85" t="s">
        <v>2341</v>
      </c>
      <c r="F508" s="177" t="s">
        <v>1264</v>
      </c>
      <c r="G508" s="177">
        <v>2.0</v>
      </c>
      <c r="H508" s="177">
        <v>2.0</v>
      </c>
      <c r="I508" s="177">
        <v>7.0</v>
      </c>
      <c r="J508" s="177">
        <v>50.0</v>
      </c>
      <c r="K508" s="82">
        <f t="shared" si="14"/>
        <v>25</v>
      </c>
      <c r="L508" s="82" t="s">
        <v>81</v>
      </c>
    </row>
    <row r="509" ht="15.0" customHeight="1">
      <c r="A509" s="177" t="s">
        <v>2338</v>
      </c>
      <c r="B509" s="85" t="s">
        <v>2339</v>
      </c>
      <c r="C509" s="177" t="s">
        <v>52</v>
      </c>
      <c r="D509" s="85" t="s">
        <v>2342</v>
      </c>
      <c r="E509" s="85" t="s">
        <v>2343</v>
      </c>
      <c r="F509" s="177" t="s">
        <v>1264</v>
      </c>
      <c r="G509" s="177">
        <v>2.0</v>
      </c>
      <c r="H509" s="177">
        <v>2.0</v>
      </c>
      <c r="I509" s="177">
        <v>7.0</v>
      </c>
      <c r="J509" s="177">
        <v>50.0</v>
      </c>
      <c r="K509" s="82">
        <f t="shared" si="14"/>
        <v>25</v>
      </c>
      <c r="L509" s="82" t="s">
        <v>81</v>
      </c>
    </row>
    <row r="510" ht="15.0" customHeight="1">
      <c r="A510" s="96" t="s">
        <v>2344</v>
      </c>
      <c r="B510" s="85" t="s">
        <v>2345</v>
      </c>
      <c r="C510" s="177" t="s">
        <v>52</v>
      </c>
      <c r="D510" s="96" t="s">
        <v>2346</v>
      </c>
      <c r="E510" s="85" t="s">
        <v>2347</v>
      </c>
      <c r="F510" s="177" t="s">
        <v>1264</v>
      </c>
      <c r="G510" s="177">
        <v>3.0</v>
      </c>
      <c r="H510" s="177">
        <v>2.0</v>
      </c>
      <c r="I510" s="177">
        <v>4.0</v>
      </c>
      <c r="J510" s="177">
        <v>50.0</v>
      </c>
      <c r="K510" s="82">
        <f t="shared" si="14"/>
        <v>16.66666667</v>
      </c>
      <c r="L510" s="82" t="s">
        <v>81</v>
      </c>
    </row>
    <row r="511" ht="15.0" customHeight="1">
      <c r="A511" s="177" t="s">
        <v>2348</v>
      </c>
      <c r="B511" s="82" t="s">
        <v>2349</v>
      </c>
      <c r="C511" s="177" t="s">
        <v>52</v>
      </c>
      <c r="D511" s="85" t="s">
        <v>2350</v>
      </c>
      <c r="E511" s="85" t="s">
        <v>2351</v>
      </c>
      <c r="F511" s="177" t="s">
        <v>1264</v>
      </c>
      <c r="G511" s="177">
        <v>2.0</v>
      </c>
      <c r="H511" s="177">
        <v>2.0</v>
      </c>
      <c r="I511" s="177">
        <v>6.0</v>
      </c>
      <c r="J511" s="177">
        <v>50.0</v>
      </c>
      <c r="K511" s="82">
        <f t="shared" si="14"/>
        <v>25</v>
      </c>
      <c r="L511" s="82" t="s">
        <v>81</v>
      </c>
    </row>
    <row r="512" ht="15.0" customHeight="1">
      <c r="A512" s="82" t="s">
        <v>2352</v>
      </c>
      <c r="B512" s="82" t="s">
        <v>2353</v>
      </c>
      <c r="C512" s="177" t="s">
        <v>52</v>
      </c>
      <c r="D512" s="82" t="s">
        <v>2354</v>
      </c>
      <c r="E512" s="82" t="s">
        <v>2355</v>
      </c>
      <c r="F512" s="177" t="s">
        <v>1264</v>
      </c>
      <c r="G512" s="155">
        <v>6.0</v>
      </c>
      <c r="H512" s="155">
        <v>4.0</v>
      </c>
      <c r="I512" s="155">
        <v>10.0</v>
      </c>
      <c r="J512" s="177">
        <v>50.0</v>
      </c>
      <c r="K512" s="82">
        <f t="shared" si="14"/>
        <v>8.333333333</v>
      </c>
      <c r="L512" s="82" t="s">
        <v>81</v>
      </c>
    </row>
    <row r="513" ht="15.0" customHeight="1">
      <c r="A513" s="85" t="s">
        <v>2356</v>
      </c>
      <c r="B513" s="85" t="s">
        <v>2357</v>
      </c>
      <c r="C513" s="177" t="s">
        <v>52</v>
      </c>
      <c r="D513" s="177" t="s">
        <v>2286</v>
      </c>
      <c r="E513" s="85" t="s">
        <v>2287</v>
      </c>
      <c r="F513" s="177" t="s">
        <v>1264</v>
      </c>
      <c r="G513" s="177">
        <v>2.0</v>
      </c>
      <c r="H513" s="177">
        <v>2.0</v>
      </c>
      <c r="I513" s="177">
        <v>6.0</v>
      </c>
      <c r="J513" s="177">
        <v>50.0</v>
      </c>
      <c r="K513" s="82">
        <f t="shared" si="14"/>
        <v>25</v>
      </c>
      <c r="L513" s="82" t="s">
        <v>81</v>
      </c>
    </row>
    <row r="514" ht="15.0" customHeight="1">
      <c r="A514" s="85" t="s">
        <v>2356</v>
      </c>
      <c r="B514" s="85" t="s">
        <v>2357</v>
      </c>
      <c r="C514" s="177" t="s">
        <v>52</v>
      </c>
      <c r="D514" s="85" t="s">
        <v>2358</v>
      </c>
      <c r="E514" s="85" t="s">
        <v>2289</v>
      </c>
      <c r="F514" s="177" t="s">
        <v>1264</v>
      </c>
      <c r="G514" s="177">
        <v>2.0</v>
      </c>
      <c r="H514" s="177">
        <v>2.0</v>
      </c>
      <c r="I514" s="177">
        <v>6.0</v>
      </c>
      <c r="J514" s="177">
        <v>50.0</v>
      </c>
      <c r="K514" s="82">
        <f t="shared" si="14"/>
        <v>25</v>
      </c>
      <c r="L514" s="82" t="s">
        <v>81</v>
      </c>
    </row>
    <row r="515" ht="15.0" customHeight="1">
      <c r="A515" s="82" t="s">
        <v>2359</v>
      </c>
      <c r="B515" s="82" t="s">
        <v>2360</v>
      </c>
      <c r="C515" s="82" t="s">
        <v>52</v>
      </c>
      <c r="D515" s="82" t="s">
        <v>2361</v>
      </c>
      <c r="E515" s="87" t="s">
        <v>2362</v>
      </c>
      <c r="F515" s="86" t="s">
        <v>259</v>
      </c>
      <c r="G515" s="82">
        <v>4.0</v>
      </c>
      <c r="H515" s="82">
        <v>4.0</v>
      </c>
      <c r="I515" s="82">
        <v>4.0</v>
      </c>
      <c r="J515" s="152">
        <v>50.0</v>
      </c>
      <c r="K515" s="84">
        <f t="shared" ref="K515:K522" si="15">J515/I515</f>
        <v>12.5</v>
      </c>
      <c r="L515" s="82" t="s">
        <v>515</v>
      </c>
    </row>
    <row r="516" ht="15.0" customHeight="1">
      <c r="A516" s="82" t="s">
        <v>2363</v>
      </c>
      <c r="B516" s="82" t="s">
        <v>1295</v>
      </c>
      <c r="C516" s="82" t="s">
        <v>52</v>
      </c>
      <c r="D516" s="78" t="s">
        <v>2364</v>
      </c>
      <c r="E516" s="87" t="s">
        <v>2365</v>
      </c>
      <c r="F516" s="86" t="s">
        <v>259</v>
      </c>
      <c r="G516" s="82">
        <v>5.0</v>
      </c>
      <c r="H516" s="82">
        <v>5.0</v>
      </c>
      <c r="I516" s="82">
        <v>5.0</v>
      </c>
      <c r="J516" s="152">
        <v>50.0</v>
      </c>
      <c r="K516" s="84">
        <f t="shared" si="15"/>
        <v>10</v>
      </c>
      <c r="L516" s="82" t="s">
        <v>515</v>
      </c>
    </row>
    <row r="517" ht="15.0" customHeight="1">
      <c r="A517" s="82" t="s">
        <v>1429</v>
      </c>
      <c r="B517" s="82" t="s">
        <v>1430</v>
      </c>
      <c r="C517" s="82" t="s">
        <v>52</v>
      </c>
      <c r="D517" s="82" t="s">
        <v>1435</v>
      </c>
      <c r="E517" s="87" t="s">
        <v>1436</v>
      </c>
      <c r="F517" s="86" t="s">
        <v>1437</v>
      </c>
      <c r="G517" s="82">
        <v>8.0</v>
      </c>
      <c r="H517" s="82">
        <v>6.0</v>
      </c>
      <c r="I517" s="82">
        <v>8.0</v>
      </c>
      <c r="J517" s="152">
        <v>50.0</v>
      </c>
      <c r="K517" s="84">
        <f t="shared" si="15"/>
        <v>6.25</v>
      </c>
      <c r="L517" s="82" t="s">
        <v>515</v>
      </c>
    </row>
    <row r="518" ht="15.0" customHeight="1">
      <c r="A518" s="82" t="s">
        <v>1429</v>
      </c>
      <c r="B518" s="82" t="s">
        <v>1430</v>
      </c>
      <c r="C518" s="82" t="s">
        <v>52</v>
      </c>
      <c r="D518" s="82" t="s">
        <v>1431</v>
      </c>
      <c r="E518" s="87" t="s">
        <v>1432</v>
      </c>
      <c r="F518" s="86" t="s">
        <v>1417</v>
      </c>
      <c r="G518" s="82">
        <v>8.0</v>
      </c>
      <c r="H518" s="82">
        <v>6.0</v>
      </c>
      <c r="I518" s="82">
        <v>8.0</v>
      </c>
      <c r="J518" s="152">
        <v>50.0</v>
      </c>
      <c r="K518" s="84">
        <f t="shared" si="15"/>
        <v>6.25</v>
      </c>
      <c r="L518" s="82" t="s">
        <v>515</v>
      </c>
    </row>
    <row r="519" ht="15.0" customHeight="1">
      <c r="A519" s="82" t="s">
        <v>1429</v>
      </c>
      <c r="B519" s="82" t="s">
        <v>1430</v>
      </c>
      <c r="C519" s="82" t="s">
        <v>52</v>
      </c>
      <c r="D519" s="82" t="s">
        <v>1433</v>
      </c>
      <c r="E519" s="95" t="s">
        <v>1434</v>
      </c>
      <c r="F519" s="86" t="s">
        <v>1417</v>
      </c>
      <c r="G519" s="82">
        <v>8.0</v>
      </c>
      <c r="H519" s="82">
        <v>6.0</v>
      </c>
      <c r="I519" s="82">
        <v>8.0</v>
      </c>
      <c r="J519" s="152">
        <v>50.0</v>
      </c>
      <c r="K519" s="84">
        <f t="shared" si="15"/>
        <v>6.25</v>
      </c>
      <c r="L519" s="82" t="s">
        <v>515</v>
      </c>
    </row>
    <row r="520" ht="15.0" customHeight="1">
      <c r="A520" s="82" t="s">
        <v>1261</v>
      </c>
      <c r="B520" s="78" t="s">
        <v>1253</v>
      </c>
      <c r="C520" s="82" t="s">
        <v>52</v>
      </c>
      <c r="D520" s="82" t="s">
        <v>1420</v>
      </c>
      <c r="E520" s="87" t="s">
        <v>1421</v>
      </c>
      <c r="F520" s="82" t="s">
        <v>259</v>
      </c>
      <c r="G520" s="82">
        <v>4.0</v>
      </c>
      <c r="H520" s="82">
        <v>4.0</v>
      </c>
      <c r="I520" s="82">
        <v>4.0</v>
      </c>
      <c r="J520" s="82">
        <v>50.0</v>
      </c>
      <c r="K520" s="82">
        <f t="shared" si="15"/>
        <v>12.5</v>
      </c>
      <c r="L520" s="82" t="s">
        <v>515</v>
      </c>
    </row>
    <row r="521" ht="15.0" customHeight="1">
      <c r="A521" s="82" t="s">
        <v>1261</v>
      </c>
      <c r="B521" s="78" t="s">
        <v>1253</v>
      </c>
      <c r="C521" s="82" t="s">
        <v>52</v>
      </c>
      <c r="D521" s="82" t="s">
        <v>1415</v>
      </c>
      <c r="E521" s="87" t="s">
        <v>1416</v>
      </c>
      <c r="F521" s="82" t="s">
        <v>1417</v>
      </c>
      <c r="G521" s="82">
        <v>4.0</v>
      </c>
      <c r="H521" s="82">
        <v>4.0</v>
      </c>
      <c r="I521" s="82">
        <v>4.0</v>
      </c>
      <c r="J521" s="82">
        <v>50.0</v>
      </c>
      <c r="K521" s="82">
        <f t="shared" si="15"/>
        <v>12.5</v>
      </c>
      <c r="L521" s="82" t="s">
        <v>515</v>
      </c>
    </row>
    <row r="522" ht="15.0" customHeight="1">
      <c r="A522" s="82" t="s">
        <v>1261</v>
      </c>
      <c r="B522" s="78" t="s">
        <v>1253</v>
      </c>
      <c r="C522" s="82" t="s">
        <v>52</v>
      </c>
      <c r="D522" s="82" t="s">
        <v>1262</v>
      </c>
      <c r="E522" s="95" t="s">
        <v>1263</v>
      </c>
      <c r="F522" s="82" t="s">
        <v>1264</v>
      </c>
      <c r="G522" s="82">
        <v>4.0</v>
      </c>
      <c r="H522" s="82">
        <v>4.0</v>
      </c>
      <c r="I522" s="82">
        <v>4.0</v>
      </c>
      <c r="J522" s="82">
        <v>50.0</v>
      </c>
      <c r="K522" s="82">
        <f t="shared" si="15"/>
        <v>12.5</v>
      </c>
      <c r="L522" s="82" t="s">
        <v>515</v>
      </c>
    </row>
    <row r="523" ht="15.0" customHeight="1">
      <c r="A523" s="181" t="s">
        <v>2366</v>
      </c>
      <c r="B523" s="78" t="s">
        <v>1253</v>
      </c>
      <c r="C523" s="78" t="s">
        <v>52</v>
      </c>
      <c r="D523" s="78" t="s">
        <v>2367</v>
      </c>
      <c r="E523" s="80" t="s">
        <v>2368</v>
      </c>
      <c r="F523" s="181" t="s">
        <v>259</v>
      </c>
      <c r="G523" s="181">
        <v>4.0</v>
      </c>
      <c r="H523" s="181">
        <v>4.0</v>
      </c>
      <c r="I523" s="181">
        <v>4.0</v>
      </c>
      <c r="J523" s="181">
        <v>50.0</v>
      </c>
      <c r="K523" s="181">
        <v>12.5</v>
      </c>
      <c r="L523" s="82" t="s">
        <v>515</v>
      </c>
    </row>
    <row r="524" ht="15.0" customHeight="1">
      <c r="A524" s="100" t="s">
        <v>2369</v>
      </c>
      <c r="B524" s="100" t="s">
        <v>2370</v>
      </c>
      <c r="C524" s="82" t="s">
        <v>52</v>
      </c>
      <c r="D524" s="78" t="s">
        <v>2371</v>
      </c>
      <c r="E524" s="90" t="s">
        <v>2372</v>
      </c>
      <c r="F524" s="86" t="s">
        <v>1256</v>
      </c>
      <c r="G524" s="100">
        <v>2.0</v>
      </c>
      <c r="H524" s="100">
        <v>2.0</v>
      </c>
      <c r="I524" s="100">
        <v>2.0</v>
      </c>
      <c r="J524" s="100">
        <v>50.0</v>
      </c>
      <c r="K524" s="151">
        <f t="shared" ref="K524:K541" si="16">J524/I524</f>
        <v>25</v>
      </c>
      <c r="L524" s="82" t="s">
        <v>515</v>
      </c>
    </row>
    <row r="525" ht="15.0" customHeight="1">
      <c r="A525" s="100" t="s">
        <v>2369</v>
      </c>
      <c r="B525" s="100" t="s">
        <v>2370</v>
      </c>
      <c r="C525" s="82" t="s">
        <v>52</v>
      </c>
      <c r="D525" s="78" t="s">
        <v>2373</v>
      </c>
      <c r="E525" s="90" t="s">
        <v>2374</v>
      </c>
      <c r="F525" s="86" t="s">
        <v>1256</v>
      </c>
      <c r="G525" s="100">
        <v>2.0</v>
      </c>
      <c r="H525" s="100">
        <v>2.0</v>
      </c>
      <c r="I525" s="100">
        <v>2.0</v>
      </c>
      <c r="J525" s="100">
        <v>50.0</v>
      </c>
      <c r="K525" s="151">
        <f t="shared" si="16"/>
        <v>25</v>
      </c>
      <c r="L525" s="82" t="s">
        <v>515</v>
      </c>
    </row>
    <row r="526" ht="15.0" customHeight="1">
      <c r="A526" s="100" t="s">
        <v>2375</v>
      </c>
      <c r="B526" s="100" t="s">
        <v>1484</v>
      </c>
      <c r="C526" s="82" t="s">
        <v>52</v>
      </c>
      <c r="D526" s="78" t="s">
        <v>2376</v>
      </c>
      <c r="E526" s="80" t="s">
        <v>2377</v>
      </c>
      <c r="F526" s="86" t="s">
        <v>259</v>
      </c>
      <c r="G526" s="100">
        <v>5.0</v>
      </c>
      <c r="H526" s="100">
        <v>4.0</v>
      </c>
      <c r="I526" s="100">
        <v>5.0</v>
      </c>
      <c r="J526" s="100">
        <v>50.0</v>
      </c>
      <c r="K526" s="151">
        <f t="shared" si="16"/>
        <v>10</v>
      </c>
      <c r="L526" s="82" t="s">
        <v>515</v>
      </c>
    </row>
    <row r="527" ht="15.0" customHeight="1">
      <c r="A527" s="82" t="s">
        <v>2378</v>
      </c>
      <c r="B527" s="82" t="s">
        <v>1838</v>
      </c>
      <c r="C527" s="82" t="s">
        <v>52</v>
      </c>
      <c r="D527" s="82" t="s">
        <v>2379</v>
      </c>
      <c r="E527" s="95" t="s">
        <v>2380</v>
      </c>
      <c r="F527" s="86" t="s">
        <v>2381</v>
      </c>
      <c r="G527" s="100">
        <v>4.0</v>
      </c>
      <c r="H527" s="100">
        <v>4.0</v>
      </c>
      <c r="I527" s="100">
        <v>4.0</v>
      </c>
      <c r="J527" s="100">
        <v>50.0</v>
      </c>
      <c r="K527" s="151">
        <f t="shared" si="16"/>
        <v>12.5</v>
      </c>
      <c r="L527" s="82" t="s">
        <v>515</v>
      </c>
    </row>
    <row r="528" ht="15.0" customHeight="1">
      <c r="A528" s="82" t="s">
        <v>2382</v>
      </c>
      <c r="B528" s="82" t="s">
        <v>2383</v>
      </c>
      <c r="C528" s="82" t="s">
        <v>52</v>
      </c>
      <c r="D528" s="82" t="s">
        <v>2384</v>
      </c>
      <c r="E528" s="87" t="s">
        <v>2385</v>
      </c>
      <c r="F528" s="86" t="s">
        <v>259</v>
      </c>
      <c r="G528" s="82">
        <v>7.0</v>
      </c>
      <c r="H528" s="82">
        <v>7.0</v>
      </c>
      <c r="I528" s="82">
        <v>7.0</v>
      </c>
      <c r="J528" s="152">
        <v>50.0</v>
      </c>
      <c r="K528" s="84">
        <f t="shared" si="16"/>
        <v>7.142857143</v>
      </c>
      <c r="L528" s="82" t="s">
        <v>515</v>
      </c>
    </row>
    <row r="529" ht="15.0" customHeight="1">
      <c r="A529" s="82" t="s">
        <v>2382</v>
      </c>
      <c r="B529" s="82" t="s">
        <v>2383</v>
      </c>
      <c r="C529" s="82" t="s">
        <v>52</v>
      </c>
      <c r="D529" s="82" t="s">
        <v>2386</v>
      </c>
      <c r="E529" s="95" t="s">
        <v>2387</v>
      </c>
      <c r="F529" s="86" t="s">
        <v>1417</v>
      </c>
      <c r="G529" s="82">
        <v>7.0</v>
      </c>
      <c r="H529" s="82">
        <v>7.0</v>
      </c>
      <c r="I529" s="82">
        <v>7.0</v>
      </c>
      <c r="J529" s="152">
        <v>50.0</v>
      </c>
      <c r="K529" s="84">
        <f t="shared" si="16"/>
        <v>7.142857143</v>
      </c>
      <c r="L529" s="82" t="s">
        <v>515</v>
      </c>
    </row>
    <row r="530" ht="15.0" customHeight="1">
      <c r="A530" s="82" t="s">
        <v>2382</v>
      </c>
      <c r="B530" s="82" t="s">
        <v>2383</v>
      </c>
      <c r="C530" s="82" t="s">
        <v>52</v>
      </c>
      <c r="D530" s="82" t="s">
        <v>2388</v>
      </c>
      <c r="E530" s="87" t="s">
        <v>2389</v>
      </c>
      <c r="F530" s="86" t="s">
        <v>1417</v>
      </c>
      <c r="G530" s="82">
        <v>7.0</v>
      </c>
      <c r="H530" s="82">
        <v>7.0</v>
      </c>
      <c r="I530" s="82">
        <v>7.0</v>
      </c>
      <c r="J530" s="152">
        <v>50.0</v>
      </c>
      <c r="K530" s="84">
        <f t="shared" si="16"/>
        <v>7.142857143</v>
      </c>
      <c r="L530" s="82" t="s">
        <v>515</v>
      </c>
    </row>
    <row r="531" ht="15.0" customHeight="1">
      <c r="A531" s="100" t="s">
        <v>1442</v>
      </c>
      <c r="B531" s="100" t="s">
        <v>1282</v>
      </c>
      <c r="C531" s="82" t="s">
        <v>52</v>
      </c>
      <c r="D531" s="78" t="s">
        <v>1445</v>
      </c>
      <c r="E531" s="153" t="s">
        <v>1446</v>
      </c>
      <c r="F531" s="86" t="s">
        <v>1417</v>
      </c>
      <c r="G531" s="100">
        <v>8.0</v>
      </c>
      <c r="H531" s="100">
        <v>8.0</v>
      </c>
      <c r="I531" s="100">
        <v>8.0</v>
      </c>
      <c r="J531" s="100">
        <v>50.0</v>
      </c>
      <c r="K531" s="151">
        <f t="shared" si="16"/>
        <v>6.25</v>
      </c>
      <c r="L531" s="82" t="s">
        <v>515</v>
      </c>
    </row>
    <row r="532" ht="15.0" customHeight="1">
      <c r="A532" s="100" t="s">
        <v>1442</v>
      </c>
      <c r="B532" s="100" t="s">
        <v>1282</v>
      </c>
      <c r="C532" s="82" t="s">
        <v>52</v>
      </c>
      <c r="D532" s="100" t="s">
        <v>1283</v>
      </c>
      <c r="E532" s="150" t="s">
        <v>1284</v>
      </c>
      <c r="F532" s="86" t="s">
        <v>259</v>
      </c>
      <c r="G532" s="100">
        <v>8.0</v>
      </c>
      <c r="H532" s="100">
        <v>8.0</v>
      </c>
      <c r="I532" s="100">
        <v>8.0</v>
      </c>
      <c r="J532" s="100">
        <v>50.0</v>
      </c>
      <c r="K532" s="151">
        <f t="shared" si="16"/>
        <v>6.25</v>
      </c>
      <c r="L532" s="82" t="s">
        <v>515</v>
      </c>
    </row>
    <row r="533" ht="15.0" customHeight="1">
      <c r="A533" s="78" t="s">
        <v>1272</v>
      </c>
      <c r="B533" s="82" t="s">
        <v>1422</v>
      </c>
      <c r="C533" s="82" t="s">
        <v>52</v>
      </c>
      <c r="D533" s="82" t="s">
        <v>1425</v>
      </c>
      <c r="E533" s="87" t="s">
        <v>1426</v>
      </c>
      <c r="F533" s="86" t="s">
        <v>259</v>
      </c>
      <c r="G533" s="82">
        <v>7.0</v>
      </c>
      <c r="H533" s="82">
        <v>7.0</v>
      </c>
      <c r="I533" s="82">
        <v>7.0</v>
      </c>
      <c r="J533" s="152">
        <v>50.0</v>
      </c>
      <c r="K533" s="84">
        <f t="shared" si="16"/>
        <v>7.142857143</v>
      </c>
      <c r="L533" s="82" t="s">
        <v>515</v>
      </c>
    </row>
    <row r="534" ht="15.0" customHeight="1">
      <c r="A534" s="78" t="s">
        <v>1272</v>
      </c>
      <c r="B534" s="82" t="s">
        <v>1422</v>
      </c>
      <c r="C534" s="82" t="s">
        <v>52</v>
      </c>
      <c r="D534" s="82" t="s">
        <v>1427</v>
      </c>
      <c r="E534" s="95" t="s">
        <v>1428</v>
      </c>
      <c r="F534" s="86" t="s">
        <v>1417</v>
      </c>
      <c r="G534" s="82">
        <v>7.0</v>
      </c>
      <c r="H534" s="82">
        <v>7.0</v>
      </c>
      <c r="I534" s="82">
        <v>7.0</v>
      </c>
      <c r="J534" s="152">
        <v>50.0</v>
      </c>
      <c r="K534" s="84">
        <f t="shared" si="16"/>
        <v>7.142857143</v>
      </c>
      <c r="L534" s="82" t="s">
        <v>515</v>
      </c>
    </row>
    <row r="535" ht="15.0" customHeight="1">
      <c r="A535" s="78" t="s">
        <v>1272</v>
      </c>
      <c r="B535" s="82" t="s">
        <v>1422</v>
      </c>
      <c r="C535" s="82" t="s">
        <v>52</v>
      </c>
      <c r="D535" s="82" t="s">
        <v>1423</v>
      </c>
      <c r="E535" s="87" t="s">
        <v>1424</v>
      </c>
      <c r="F535" s="86" t="s">
        <v>259</v>
      </c>
      <c r="G535" s="82">
        <v>7.0</v>
      </c>
      <c r="H535" s="82">
        <v>7.0</v>
      </c>
      <c r="I535" s="82">
        <v>7.0</v>
      </c>
      <c r="J535" s="152">
        <v>50.0</v>
      </c>
      <c r="K535" s="84">
        <f t="shared" si="16"/>
        <v>7.142857143</v>
      </c>
      <c r="L535" s="82" t="s">
        <v>515</v>
      </c>
    </row>
    <row r="536" ht="15.0" customHeight="1">
      <c r="A536" s="100" t="s">
        <v>2390</v>
      </c>
      <c r="B536" s="100" t="s">
        <v>2391</v>
      </c>
      <c r="C536" s="82" t="s">
        <v>52</v>
      </c>
      <c r="D536" s="78" t="s">
        <v>2392</v>
      </c>
      <c r="E536" s="90" t="s">
        <v>2393</v>
      </c>
      <c r="F536" s="86" t="s">
        <v>1417</v>
      </c>
      <c r="G536" s="100">
        <v>4.0</v>
      </c>
      <c r="H536" s="100">
        <v>4.0</v>
      </c>
      <c r="I536" s="100">
        <v>4.0</v>
      </c>
      <c r="J536" s="100">
        <v>50.0</v>
      </c>
      <c r="K536" s="151">
        <f t="shared" si="16"/>
        <v>12.5</v>
      </c>
      <c r="L536" s="82" t="s">
        <v>515</v>
      </c>
    </row>
    <row r="537" ht="15.0" customHeight="1">
      <c r="A537" s="100" t="s">
        <v>2394</v>
      </c>
      <c r="B537" s="100" t="s">
        <v>1248</v>
      </c>
      <c r="C537" s="82" t="s">
        <v>52</v>
      </c>
      <c r="D537" s="78" t="s">
        <v>2395</v>
      </c>
      <c r="E537" s="80" t="s">
        <v>2396</v>
      </c>
      <c r="F537" s="86" t="s">
        <v>2397</v>
      </c>
      <c r="G537" s="100">
        <v>5.0</v>
      </c>
      <c r="H537" s="100">
        <v>4.0</v>
      </c>
      <c r="I537" s="100">
        <v>5.0</v>
      </c>
      <c r="J537" s="100">
        <v>50.0</v>
      </c>
      <c r="K537" s="151">
        <f t="shared" si="16"/>
        <v>10</v>
      </c>
      <c r="L537" s="82" t="s">
        <v>515</v>
      </c>
    </row>
    <row r="538" ht="15.0" customHeight="1">
      <c r="A538" s="100" t="s">
        <v>2394</v>
      </c>
      <c r="B538" s="100" t="s">
        <v>1248</v>
      </c>
      <c r="C538" s="82" t="s">
        <v>52</v>
      </c>
      <c r="D538" s="78" t="s">
        <v>2398</v>
      </c>
      <c r="E538" s="80" t="s">
        <v>2399</v>
      </c>
      <c r="F538" s="86" t="s">
        <v>259</v>
      </c>
      <c r="G538" s="100">
        <v>5.0</v>
      </c>
      <c r="H538" s="100">
        <v>4.0</v>
      </c>
      <c r="I538" s="100">
        <v>5.0</v>
      </c>
      <c r="J538" s="100">
        <v>50.0</v>
      </c>
      <c r="K538" s="151">
        <f t="shared" si="16"/>
        <v>10</v>
      </c>
      <c r="L538" s="82" t="s">
        <v>515</v>
      </c>
    </row>
    <row r="539" ht="15.0" customHeight="1">
      <c r="A539" s="78" t="s">
        <v>1477</v>
      </c>
      <c r="B539" s="82" t="s">
        <v>1472</v>
      </c>
      <c r="C539" s="82" t="s">
        <v>52</v>
      </c>
      <c r="D539" s="82" t="s">
        <v>2400</v>
      </c>
      <c r="E539" s="87" t="s">
        <v>2401</v>
      </c>
      <c r="F539" s="86" t="s">
        <v>2402</v>
      </c>
      <c r="G539" s="82">
        <v>3.0</v>
      </c>
      <c r="H539" s="82">
        <v>3.0</v>
      </c>
      <c r="I539" s="82">
        <v>3.0</v>
      </c>
      <c r="J539" s="82">
        <v>50.0</v>
      </c>
      <c r="K539" s="92">
        <f t="shared" si="16"/>
        <v>16.66666667</v>
      </c>
      <c r="L539" s="82" t="s">
        <v>515</v>
      </c>
    </row>
    <row r="540" ht="15.0" customHeight="1">
      <c r="A540" s="78" t="s">
        <v>1477</v>
      </c>
      <c r="B540" s="82" t="s">
        <v>1472</v>
      </c>
      <c r="C540" s="82" t="s">
        <v>52</v>
      </c>
      <c r="D540" s="82" t="s">
        <v>1475</v>
      </c>
      <c r="E540" s="87" t="s">
        <v>2403</v>
      </c>
      <c r="F540" s="86" t="s">
        <v>2402</v>
      </c>
      <c r="G540" s="82">
        <v>3.0</v>
      </c>
      <c r="H540" s="82">
        <v>3.0</v>
      </c>
      <c r="I540" s="82">
        <v>3.0</v>
      </c>
      <c r="J540" s="82">
        <v>50.0</v>
      </c>
      <c r="K540" s="92">
        <f t="shared" si="16"/>
        <v>16.66666667</v>
      </c>
      <c r="L540" s="82" t="s">
        <v>515</v>
      </c>
    </row>
    <row r="541" ht="15.0" customHeight="1">
      <c r="A541" s="78" t="s">
        <v>1477</v>
      </c>
      <c r="B541" s="82" t="s">
        <v>1472</v>
      </c>
      <c r="C541" s="82" t="s">
        <v>52</v>
      </c>
      <c r="D541" s="82" t="s">
        <v>1478</v>
      </c>
      <c r="E541" s="87" t="s">
        <v>1479</v>
      </c>
      <c r="F541" s="86" t="s">
        <v>2402</v>
      </c>
      <c r="G541" s="82">
        <v>3.0</v>
      </c>
      <c r="H541" s="82">
        <v>3.0</v>
      </c>
      <c r="I541" s="82">
        <v>3.0</v>
      </c>
      <c r="J541" s="82">
        <v>50.0</v>
      </c>
      <c r="K541" s="92">
        <f t="shared" si="16"/>
        <v>16.66666667</v>
      </c>
      <c r="L541" s="82" t="s">
        <v>515</v>
      </c>
    </row>
    <row r="542" ht="15.0" customHeight="1">
      <c r="A542" s="82" t="s">
        <v>1241</v>
      </c>
      <c r="B542" s="78" t="s">
        <v>1237</v>
      </c>
      <c r="C542" s="82" t="s">
        <v>52</v>
      </c>
      <c r="D542" s="82" t="s">
        <v>1238</v>
      </c>
      <c r="E542" s="82" t="s">
        <v>1239</v>
      </c>
      <c r="F542" s="82" t="s">
        <v>1240</v>
      </c>
      <c r="G542" s="82">
        <v>8.0</v>
      </c>
      <c r="H542" s="82">
        <v>8.0</v>
      </c>
      <c r="I542" s="82">
        <v>8.0</v>
      </c>
      <c r="J542" s="82">
        <v>50.0</v>
      </c>
      <c r="K542" s="82">
        <v>6.25</v>
      </c>
      <c r="L542" s="82" t="s">
        <v>528</v>
      </c>
    </row>
    <row r="543" ht="15.0" customHeight="1">
      <c r="A543" s="82" t="s">
        <v>1241</v>
      </c>
      <c r="B543" s="78" t="s">
        <v>1237</v>
      </c>
      <c r="C543" s="82" t="s">
        <v>52</v>
      </c>
      <c r="D543" s="82" t="s">
        <v>1242</v>
      </c>
      <c r="E543" s="82" t="s">
        <v>1243</v>
      </c>
      <c r="F543" s="82" t="s">
        <v>1244</v>
      </c>
      <c r="G543" s="82">
        <v>8.0</v>
      </c>
      <c r="H543" s="82">
        <v>8.0</v>
      </c>
      <c r="I543" s="82">
        <v>8.0</v>
      </c>
      <c r="J543" s="82">
        <v>50.0</v>
      </c>
      <c r="K543" s="82">
        <v>6.25</v>
      </c>
      <c r="L543" s="82" t="s">
        <v>528</v>
      </c>
    </row>
    <row r="544" ht="15.0" customHeight="1">
      <c r="A544" s="82" t="s">
        <v>1355</v>
      </c>
      <c r="B544" s="78" t="s">
        <v>1356</v>
      </c>
      <c r="C544" s="82" t="s">
        <v>52</v>
      </c>
      <c r="D544" s="82" t="s">
        <v>1357</v>
      </c>
      <c r="E544" s="82" t="s">
        <v>1358</v>
      </c>
      <c r="F544" s="82" t="s">
        <v>2404</v>
      </c>
      <c r="G544" s="82">
        <v>4.0</v>
      </c>
      <c r="H544" s="82">
        <v>4.0</v>
      </c>
      <c r="I544" s="82">
        <v>4.0</v>
      </c>
      <c r="J544" s="82">
        <v>50.0</v>
      </c>
      <c r="K544" s="82">
        <v>12.5</v>
      </c>
      <c r="L544" s="82" t="s">
        <v>528</v>
      </c>
    </row>
    <row r="545" ht="15.0" customHeight="1">
      <c r="A545" s="82" t="s">
        <v>1241</v>
      </c>
      <c r="B545" s="78" t="s">
        <v>1237</v>
      </c>
      <c r="C545" s="82" t="s">
        <v>52</v>
      </c>
      <c r="D545" s="82" t="s">
        <v>1245</v>
      </c>
      <c r="E545" s="82" t="s">
        <v>1246</v>
      </c>
      <c r="F545" s="82" t="s">
        <v>314</v>
      </c>
      <c r="G545" s="82">
        <v>7.0</v>
      </c>
      <c r="H545" s="82">
        <v>7.0</v>
      </c>
      <c r="I545" s="82">
        <v>7.0</v>
      </c>
      <c r="J545" s="82">
        <v>50.0</v>
      </c>
      <c r="K545" s="82">
        <v>7.14</v>
      </c>
      <c r="L545" s="82" t="s">
        <v>528</v>
      </c>
    </row>
    <row r="546" ht="15.0" customHeight="1">
      <c r="A546" s="82" t="s">
        <v>2405</v>
      </c>
      <c r="B546" s="82" t="s">
        <v>2406</v>
      </c>
      <c r="C546" s="82" t="s">
        <v>52</v>
      </c>
      <c r="D546" s="82" t="s">
        <v>2407</v>
      </c>
      <c r="E546" s="87" t="s">
        <v>2408</v>
      </c>
      <c r="F546" s="86" t="s">
        <v>2409</v>
      </c>
      <c r="G546" s="82">
        <v>7.0</v>
      </c>
      <c r="H546" s="82">
        <v>7.0</v>
      </c>
      <c r="I546" s="82">
        <v>7.0</v>
      </c>
      <c r="J546" s="152">
        <v>50.0</v>
      </c>
      <c r="K546" s="84">
        <v>7.14</v>
      </c>
      <c r="L546" s="82" t="s">
        <v>528</v>
      </c>
    </row>
    <row r="547" ht="15.0" customHeight="1">
      <c r="A547" s="82" t="s">
        <v>2405</v>
      </c>
      <c r="B547" s="82" t="s">
        <v>2406</v>
      </c>
      <c r="C547" s="82" t="s">
        <v>52</v>
      </c>
      <c r="D547" s="82" t="s">
        <v>2410</v>
      </c>
      <c r="E547" s="87" t="s">
        <v>2411</v>
      </c>
      <c r="F547" s="86" t="s">
        <v>1437</v>
      </c>
      <c r="G547" s="82">
        <v>7.0</v>
      </c>
      <c r="H547" s="82">
        <v>7.0</v>
      </c>
      <c r="I547" s="82">
        <v>7.0</v>
      </c>
      <c r="J547" s="152">
        <v>50.0</v>
      </c>
      <c r="K547" s="84">
        <v>7.14</v>
      </c>
      <c r="L547" s="82" t="s">
        <v>528</v>
      </c>
    </row>
    <row r="548" ht="15.0" customHeight="1">
      <c r="A548" s="82" t="s">
        <v>2405</v>
      </c>
      <c r="B548" s="82" t="s">
        <v>2406</v>
      </c>
      <c r="C548" s="82" t="s">
        <v>52</v>
      </c>
      <c r="D548" s="82" t="s">
        <v>2412</v>
      </c>
      <c r="E548" s="87" t="s">
        <v>2413</v>
      </c>
      <c r="F548" s="86" t="s">
        <v>2409</v>
      </c>
      <c r="G548" s="82">
        <v>7.0</v>
      </c>
      <c r="H548" s="82">
        <v>7.0</v>
      </c>
      <c r="I548" s="82">
        <v>7.0</v>
      </c>
      <c r="J548" s="152">
        <v>50.0</v>
      </c>
      <c r="K548" s="84">
        <v>7.14</v>
      </c>
      <c r="L548" s="82" t="s">
        <v>528</v>
      </c>
    </row>
    <row r="549" ht="15.0" customHeight="1">
      <c r="A549" s="82" t="s">
        <v>2414</v>
      </c>
      <c r="B549" s="82" t="s">
        <v>2415</v>
      </c>
      <c r="C549" s="82" t="s">
        <v>52</v>
      </c>
      <c r="D549" s="82" t="s">
        <v>2416</v>
      </c>
      <c r="E549" s="87" t="s">
        <v>1798</v>
      </c>
      <c r="F549" s="86" t="s">
        <v>2409</v>
      </c>
      <c r="G549" s="82">
        <v>8.0</v>
      </c>
      <c r="H549" s="82">
        <v>6.0</v>
      </c>
      <c r="I549" s="82">
        <v>8.0</v>
      </c>
      <c r="J549" s="152">
        <v>50.0</v>
      </c>
      <c r="K549" s="84">
        <v>6.25</v>
      </c>
      <c r="L549" s="82" t="s">
        <v>528</v>
      </c>
    </row>
    <row r="550" ht="15.0" customHeight="1">
      <c r="A550" s="82" t="s">
        <v>2414</v>
      </c>
      <c r="B550" s="82" t="s">
        <v>2415</v>
      </c>
      <c r="C550" s="82" t="s">
        <v>52</v>
      </c>
      <c r="D550" s="82" t="s">
        <v>2417</v>
      </c>
      <c r="E550" s="87" t="s">
        <v>1800</v>
      </c>
      <c r="F550" s="86" t="s">
        <v>2409</v>
      </c>
      <c r="G550" s="82">
        <v>8.0</v>
      </c>
      <c r="H550" s="82">
        <v>6.0</v>
      </c>
      <c r="I550" s="82">
        <v>8.0</v>
      </c>
      <c r="J550" s="152">
        <v>50.0</v>
      </c>
      <c r="K550" s="84">
        <v>6.25</v>
      </c>
      <c r="L550" s="82" t="s">
        <v>528</v>
      </c>
    </row>
    <row r="551" ht="15.0" customHeight="1">
      <c r="A551" s="82" t="s">
        <v>2414</v>
      </c>
      <c r="B551" s="82" t="s">
        <v>2415</v>
      </c>
      <c r="C551" s="82" t="s">
        <v>52</v>
      </c>
      <c r="D551" s="82" t="s">
        <v>2418</v>
      </c>
      <c r="E551" s="87" t="s">
        <v>1802</v>
      </c>
      <c r="F551" s="86" t="s">
        <v>2409</v>
      </c>
      <c r="G551" s="82">
        <v>8.0</v>
      </c>
      <c r="H551" s="82">
        <v>6.0</v>
      </c>
      <c r="I551" s="82">
        <v>8.0</v>
      </c>
      <c r="J551" s="152">
        <v>50.0</v>
      </c>
      <c r="K551" s="84">
        <v>6.25</v>
      </c>
      <c r="L551" s="82" t="s">
        <v>528</v>
      </c>
    </row>
    <row r="552" ht="15.0" customHeight="1">
      <c r="A552" s="82" t="s">
        <v>2419</v>
      </c>
      <c r="B552" s="82" t="s">
        <v>2420</v>
      </c>
      <c r="C552" s="82" t="s">
        <v>52</v>
      </c>
      <c r="D552" s="82" t="s">
        <v>2421</v>
      </c>
      <c r="E552" s="87" t="s">
        <v>2422</v>
      </c>
      <c r="F552" s="86" t="s">
        <v>2423</v>
      </c>
      <c r="G552" s="82">
        <v>10.0</v>
      </c>
      <c r="H552" s="82">
        <v>8.0</v>
      </c>
      <c r="I552" s="82">
        <v>10.0</v>
      </c>
      <c r="J552" s="152">
        <v>50.0</v>
      </c>
      <c r="K552" s="84">
        <v>5.0</v>
      </c>
      <c r="L552" s="82" t="s">
        <v>528</v>
      </c>
    </row>
    <row r="553" ht="15.0" customHeight="1">
      <c r="A553" s="82" t="s">
        <v>2419</v>
      </c>
      <c r="B553" s="82" t="s">
        <v>2420</v>
      </c>
      <c r="C553" s="82" t="s">
        <v>52</v>
      </c>
      <c r="D553" s="82" t="s">
        <v>2424</v>
      </c>
      <c r="E553" s="87" t="s">
        <v>2425</v>
      </c>
      <c r="F553" s="86" t="s">
        <v>2426</v>
      </c>
      <c r="G553" s="82">
        <v>10.0</v>
      </c>
      <c r="H553" s="82">
        <v>8.0</v>
      </c>
      <c r="I553" s="82">
        <v>10.0</v>
      </c>
      <c r="J553" s="152">
        <v>50.0</v>
      </c>
      <c r="K553" s="84">
        <v>5.0</v>
      </c>
      <c r="L553" s="82" t="s">
        <v>528</v>
      </c>
    </row>
    <row r="554" ht="15.0" customHeight="1">
      <c r="A554" s="82" t="s">
        <v>2427</v>
      </c>
      <c r="B554" s="82" t="s">
        <v>2428</v>
      </c>
      <c r="C554" s="82" t="s">
        <v>52</v>
      </c>
      <c r="D554" s="82" t="s">
        <v>2429</v>
      </c>
      <c r="E554" s="87" t="s">
        <v>238</v>
      </c>
      <c r="F554" s="86" t="s">
        <v>2430</v>
      </c>
      <c r="G554" s="82">
        <v>3.0</v>
      </c>
      <c r="H554" s="82">
        <v>3.0</v>
      </c>
      <c r="I554" s="82">
        <v>3.0</v>
      </c>
      <c r="J554" s="152">
        <v>50.0</v>
      </c>
      <c r="K554" s="84">
        <v>16.66</v>
      </c>
      <c r="L554" s="82" t="s">
        <v>528</v>
      </c>
    </row>
    <row r="555" ht="15.0" customHeight="1">
      <c r="A555" s="82" t="s">
        <v>2431</v>
      </c>
      <c r="B555" s="78" t="s">
        <v>2432</v>
      </c>
      <c r="C555" s="82" t="s">
        <v>52</v>
      </c>
      <c r="D555" s="82" t="s">
        <v>2433</v>
      </c>
      <c r="E555" s="87" t="s">
        <v>2434</v>
      </c>
      <c r="F555" s="82" t="s">
        <v>1184</v>
      </c>
      <c r="G555" s="82">
        <v>6.0</v>
      </c>
      <c r="H555" s="82">
        <v>4.0</v>
      </c>
      <c r="I555" s="82">
        <v>6.0</v>
      </c>
      <c r="J555" s="82">
        <v>50.0</v>
      </c>
      <c r="K555" s="82">
        <v>8.33</v>
      </c>
      <c r="L555" s="82" t="s">
        <v>528</v>
      </c>
    </row>
    <row r="556" ht="15.0" customHeight="1">
      <c r="A556" s="82" t="s">
        <v>2431</v>
      </c>
      <c r="B556" s="78" t="s">
        <v>2432</v>
      </c>
      <c r="C556" s="78" t="s">
        <v>52</v>
      </c>
      <c r="D556" s="82" t="s">
        <v>2435</v>
      </c>
      <c r="E556" s="87" t="s">
        <v>2436</v>
      </c>
      <c r="F556" s="86" t="s">
        <v>2437</v>
      </c>
      <c r="G556" s="82">
        <v>6.0</v>
      </c>
      <c r="H556" s="82">
        <v>4.0</v>
      </c>
      <c r="I556" s="82">
        <v>6.0</v>
      </c>
      <c r="J556" s="152">
        <v>50.0</v>
      </c>
      <c r="K556" s="84">
        <v>8.33</v>
      </c>
      <c r="L556" s="82" t="s">
        <v>528</v>
      </c>
    </row>
    <row r="557" ht="15.0" customHeight="1">
      <c r="A557" s="82" t="s">
        <v>2431</v>
      </c>
      <c r="B557" s="78" t="s">
        <v>2432</v>
      </c>
      <c r="C557" s="78" t="s">
        <v>52</v>
      </c>
      <c r="D557" s="82" t="s">
        <v>2438</v>
      </c>
      <c r="E557" s="95" t="s">
        <v>2439</v>
      </c>
      <c r="F557" s="86" t="s">
        <v>2440</v>
      </c>
      <c r="G557" s="82">
        <v>6.0</v>
      </c>
      <c r="H557" s="82">
        <v>4.0</v>
      </c>
      <c r="I557" s="82">
        <v>6.0</v>
      </c>
      <c r="J557" s="152">
        <v>50.0</v>
      </c>
      <c r="K557" s="84">
        <v>8.33</v>
      </c>
      <c r="L557" s="82" t="s">
        <v>528</v>
      </c>
    </row>
    <row r="558" ht="15.0" customHeight="1">
      <c r="A558" s="82" t="s">
        <v>2441</v>
      </c>
      <c r="B558" s="82" t="s">
        <v>2442</v>
      </c>
      <c r="C558" s="82" t="s">
        <v>52</v>
      </c>
      <c r="D558" s="82" t="s">
        <v>2443</v>
      </c>
      <c r="E558" s="87" t="s">
        <v>2444</v>
      </c>
      <c r="F558" s="86" t="s">
        <v>2445</v>
      </c>
      <c r="G558" s="82">
        <v>6.0</v>
      </c>
      <c r="H558" s="82">
        <v>2.0</v>
      </c>
      <c r="I558" s="82">
        <v>6.0</v>
      </c>
      <c r="J558" s="152">
        <v>50.0</v>
      </c>
      <c r="K558" s="84">
        <v>8.33</v>
      </c>
      <c r="L558" s="82" t="s">
        <v>528</v>
      </c>
    </row>
    <row r="559" ht="15.0" customHeight="1">
      <c r="A559" s="82" t="s">
        <v>2441</v>
      </c>
      <c r="B559" s="82" t="s">
        <v>2442</v>
      </c>
      <c r="C559" s="82" t="s">
        <v>52</v>
      </c>
      <c r="D559" s="82" t="s">
        <v>2446</v>
      </c>
      <c r="E559" s="79" t="s">
        <v>2447</v>
      </c>
      <c r="F559" s="86" t="s">
        <v>2448</v>
      </c>
      <c r="G559" s="82">
        <v>6.0</v>
      </c>
      <c r="H559" s="82">
        <v>2.0</v>
      </c>
      <c r="I559" s="82">
        <v>6.0</v>
      </c>
      <c r="J559" s="152">
        <v>50.0</v>
      </c>
      <c r="K559" s="84">
        <v>8.33</v>
      </c>
      <c r="L559" s="82" t="s">
        <v>528</v>
      </c>
    </row>
    <row r="560" ht="15.0" customHeight="1">
      <c r="A560" s="82" t="s">
        <v>1261</v>
      </c>
      <c r="B560" s="78" t="s">
        <v>1253</v>
      </c>
      <c r="C560" s="82" t="s">
        <v>52</v>
      </c>
      <c r="D560" s="82" t="s">
        <v>2449</v>
      </c>
      <c r="E560" s="79" t="s">
        <v>1416</v>
      </c>
      <c r="F560" s="82" t="s">
        <v>1417</v>
      </c>
      <c r="G560" s="82">
        <v>4.0</v>
      </c>
      <c r="H560" s="82">
        <v>4.0</v>
      </c>
      <c r="I560" s="82">
        <v>4.0</v>
      </c>
      <c r="J560" s="82">
        <v>50.0</v>
      </c>
      <c r="K560" s="82">
        <f t="shared" ref="K560:K590" si="17">J560/I560</f>
        <v>12.5</v>
      </c>
      <c r="L560" s="82" t="s">
        <v>533</v>
      </c>
    </row>
    <row r="561" ht="15.0" customHeight="1">
      <c r="A561" s="82" t="s">
        <v>1261</v>
      </c>
      <c r="B561" s="78" t="s">
        <v>1253</v>
      </c>
      <c r="C561" s="82" t="s">
        <v>52</v>
      </c>
      <c r="D561" s="82" t="s">
        <v>1262</v>
      </c>
      <c r="E561" s="79" t="s">
        <v>1263</v>
      </c>
      <c r="F561" s="82" t="s">
        <v>1264</v>
      </c>
      <c r="G561" s="82">
        <v>4.0</v>
      </c>
      <c r="H561" s="82">
        <v>4.0</v>
      </c>
      <c r="I561" s="82">
        <v>4.0</v>
      </c>
      <c r="J561" s="82">
        <v>50.0</v>
      </c>
      <c r="K561" s="82">
        <f t="shared" si="17"/>
        <v>12.5</v>
      </c>
      <c r="L561" s="82" t="s">
        <v>533</v>
      </c>
    </row>
    <row r="562" ht="15.0" customHeight="1">
      <c r="A562" s="82" t="s">
        <v>1261</v>
      </c>
      <c r="B562" s="78" t="s">
        <v>1253</v>
      </c>
      <c r="C562" s="82" t="s">
        <v>52</v>
      </c>
      <c r="D562" s="82" t="s">
        <v>1420</v>
      </c>
      <c r="E562" s="79" t="s">
        <v>1421</v>
      </c>
      <c r="F562" s="82" t="s">
        <v>259</v>
      </c>
      <c r="G562" s="82">
        <v>4.0</v>
      </c>
      <c r="H562" s="82">
        <v>4.0</v>
      </c>
      <c r="I562" s="82">
        <v>4.0</v>
      </c>
      <c r="J562" s="82">
        <v>50.0</v>
      </c>
      <c r="K562" s="82">
        <f t="shared" si="17"/>
        <v>12.5</v>
      </c>
      <c r="L562" s="82" t="s">
        <v>533</v>
      </c>
    </row>
    <row r="563" ht="15.0" customHeight="1">
      <c r="A563" s="82" t="s">
        <v>1261</v>
      </c>
      <c r="B563" s="78" t="s">
        <v>1253</v>
      </c>
      <c r="C563" s="82" t="s">
        <v>52</v>
      </c>
      <c r="D563" s="82" t="s">
        <v>2450</v>
      </c>
      <c r="E563" s="79" t="s">
        <v>2368</v>
      </c>
      <c r="F563" s="82" t="s">
        <v>259</v>
      </c>
      <c r="G563" s="82">
        <v>4.0</v>
      </c>
      <c r="H563" s="82">
        <v>4.0</v>
      </c>
      <c r="I563" s="82">
        <v>4.0</v>
      </c>
      <c r="J563" s="82">
        <v>50.0</v>
      </c>
      <c r="K563" s="82">
        <f t="shared" si="17"/>
        <v>12.5</v>
      </c>
      <c r="L563" s="82" t="s">
        <v>533</v>
      </c>
    </row>
    <row r="564" ht="15.0" customHeight="1">
      <c r="A564" s="78" t="s">
        <v>2451</v>
      </c>
      <c r="B564" s="82" t="s">
        <v>529</v>
      </c>
      <c r="C564" s="82" t="s">
        <v>52</v>
      </c>
      <c r="D564" s="82" t="s">
        <v>2452</v>
      </c>
      <c r="E564" s="87" t="s">
        <v>551</v>
      </c>
      <c r="F564" s="86" t="s">
        <v>1256</v>
      </c>
      <c r="G564" s="82">
        <v>6.0</v>
      </c>
      <c r="H564" s="82">
        <v>3.0</v>
      </c>
      <c r="I564" s="82">
        <v>6.0</v>
      </c>
      <c r="J564" s="152">
        <v>50.0</v>
      </c>
      <c r="K564" s="84">
        <f t="shared" si="17"/>
        <v>8.333333333</v>
      </c>
      <c r="L564" s="82" t="s">
        <v>533</v>
      </c>
    </row>
    <row r="565" ht="15.0" customHeight="1">
      <c r="A565" s="78" t="s">
        <v>2451</v>
      </c>
      <c r="B565" s="82" t="s">
        <v>529</v>
      </c>
      <c r="C565" s="82" t="s">
        <v>52</v>
      </c>
      <c r="D565" s="82" t="s">
        <v>2453</v>
      </c>
      <c r="E565" s="79" t="s">
        <v>2454</v>
      </c>
      <c r="F565" s="86" t="s">
        <v>2455</v>
      </c>
      <c r="G565" s="82">
        <v>6.0</v>
      </c>
      <c r="H565" s="82">
        <v>3.0</v>
      </c>
      <c r="I565" s="82">
        <v>6.0</v>
      </c>
      <c r="J565" s="152">
        <v>50.0</v>
      </c>
      <c r="K565" s="84">
        <f t="shared" si="17"/>
        <v>8.333333333</v>
      </c>
      <c r="L565" s="82" t="s">
        <v>533</v>
      </c>
    </row>
    <row r="566" ht="15.0" customHeight="1">
      <c r="A566" s="78" t="s">
        <v>2451</v>
      </c>
      <c r="B566" s="82" t="s">
        <v>529</v>
      </c>
      <c r="C566" s="82" t="s">
        <v>52</v>
      </c>
      <c r="D566" s="82" t="s">
        <v>2456</v>
      </c>
      <c r="E566" s="79" t="s">
        <v>2457</v>
      </c>
      <c r="F566" s="82" t="s">
        <v>2458</v>
      </c>
      <c r="G566" s="82">
        <v>6.0</v>
      </c>
      <c r="H566" s="82">
        <v>3.0</v>
      </c>
      <c r="I566" s="82">
        <v>6.0</v>
      </c>
      <c r="J566" s="152">
        <v>50.0</v>
      </c>
      <c r="K566" s="84">
        <f t="shared" si="17"/>
        <v>8.333333333</v>
      </c>
      <c r="L566" s="82" t="s">
        <v>533</v>
      </c>
    </row>
    <row r="567" ht="15.0" customHeight="1">
      <c r="A567" s="78" t="s">
        <v>2451</v>
      </c>
      <c r="B567" s="82" t="s">
        <v>529</v>
      </c>
      <c r="C567" s="82" t="s">
        <v>52</v>
      </c>
      <c r="D567" s="82" t="s">
        <v>2459</v>
      </c>
      <c r="E567" s="79" t="s">
        <v>2460</v>
      </c>
      <c r="F567" s="82" t="s">
        <v>1437</v>
      </c>
      <c r="G567" s="82">
        <v>6.0</v>
      </c>
      <c r="H567" s="82">
        <v>3.0</v>
      </c>
      <c r="I567" s="82">
        <v>6.0</v>
      </c>
      <c r="J567" s="152">
        <v>50.0</v>
      </c>
      <c r="K567" s="84">
        <f t="shared" si="17"/>
        <v>8.333333333</v>
      </c>
      <c r="L567" s="82" t="s">
        <v>533</v>
      </c>
    </row>
    <row r="568" ht="15.0" customHeight="1">
      <c r="A568" s="78" t="s">
        <v>2451</v>
      </c>
      <c r="B568" s="82" t="s">
        <v>529</v>
      </c>
      <c r="C568" s="82" t="s">
        <v>52</v>
      </c>
      <c r="D568" s="82" t="s">
        <v>2461</v>
      </c>
      <c r="E568" s="79" t="s">
        <v>353</v>
      </c>
      <c r="F568" s="86" t="s">
        <v>1417</v>
      </c>
      <c r="G568" s="82">
        <v>6.0</v>
      </c>
      <c r="H568" s="82">
        <v>3.0</v>
      </c>
      <c r="I568" s="82">
        <v>6.0</v>
      </c>
      <c r="J568" s="152">
        <v>50.0</v>
      </c>
      <c r="K568" s="84">
        <f t="shared" si="17"/>
        <v>8.333333333</v>
      </c>
      <c r="L568" s="82" t="s">
        <v>533</v>
      </c>
    </row>
    <row r="569" ht="15.0" customHeight="1">
      <c r="A569" s="78" t="s">
        <v>2451</v>
      </c>
      <c r="B569" s="82" t="s">
        <v>529</v>
      </c>
      <c r="C569" s="82" t="s">
        <v>52</v>
      </c>
      <c r="D569" s="82" t="s">
        <v>2462</v>
      </c>
      <c r="E569" s="95" t="s">
        <v>2463</v>
      </c>
      <c r="F569" s="86" t="s">
        <v>1437</v>
      </c>
      <c r="G569" s="82">
        <v>6.0</v>
      </c>
      <c r="H569" s="82">
        <v>3.0</v>
      </c>
      <c r="I569" s="82">
        <v>6.0</v>
      </c>
      <c r="J569" s="152">
        <v>50.0</v>
      </c>
      <c r="K569" s="84">
        <f t="shared" si="17"/>
        <v>8.333333333</v>
      </c>
      <c r="L569" s="82" t="s">
        <v>533</v>
      </c>
    </row>
    <row r="570" ht="15.0" customHeight="1">
      <c r="A570" s="78" t="s">
        <v>2451</v>
      </c>
      <c r="B570" s="82" t="s">
        <v>529</v>
      </c>
      <c r="C570" s="82" t="s">
        <v>52</v>
      </c>
      <c r="D570" s="82" t="s">
        <v>2464</v>
      </c>
      <c r="E570" s="79" t="s">
        <v>2465</v>
      </c>
      <c r="F570" s="86" t="s">
        <v>2466</v>
      </c>
      <c r="G570" s="82">
        <v>6.0</v>
      </c>
      <c r="H570" s="82">
        <v>3.0</v>
      </c>
      <c r="I570" s="82">
        <v>6.0</v>
      </c>
      <c r="J570" s="152">
        <v>50.0</v>
      </c>
      <c r="K570" s="84">
        <f t="shared" si="17"/>
        <v>8.333333333</v>
      </c>
      <c r="L570" s="82" t="s">
        <v>533</v>
      </c>
    </row>
    <row r="571" ht="15.0" customHeight="1">
      <c r="A571" s="78" t="s">
        <v>2451</v>
      </c>
      <c r="B571" s="82" t="s">
        <v>529</v>
      </c>
      <c r="C571" s="82" t="s">
        <v>52</v>
      </c>
      <c r="D571" s="82" t="s">
        <v>2467</v>
      </c>
      <c r="E571" s="79" t="s">
        <v>2468</v>
      </c>
      <c r="F571" s="86" t="s">
        <v>2469</v>
      </c>
      <c r="G571" s="82">
        <v>6.0</v>
      </c>
      <c r="H571" s="82">
        <v>3.0</v>
      </c>
      <c r="I571" s="82">
        <v>6.0</v>
      </c>
      <c r="J571" s="152">
        <v>50.0</v>
      </c>
      <c r="K571" s="84">
        <f t="shared" si="17"/>
        <v>8.333333333</v>
      </c>
      <c r="L571" s="82" t="s">
        <v>533</v>
      </c>
    </row>
    <row r="572" ht="15.0" customHeight="1">
      <c r="A572" s="78" t="s">
        <v>1272</v>
      </c>
      <c r="B572" s="82" t="s">
        <v>1422</v>
      </c>
      <c r="C572" s="82" t="s">
        <v>52</v>
      </c>
      <c r="D572" s="82" t="s">
        <v>1423</v>
      </c>
      <c r="E572" s="79" t="s">
        <v>1424</v>
      </c>
      <c r="F572" s="86" t="s">
        <v>259</v>
      </c>
      <c r="G572" s="82">
        <v>7.0</v>
      </c>
      <c r="H572" s="82">
        <v>7.0</v>
      </c>
      <c r="I572" s="82">
        <v>7.0</v>
      </c>
      <c r="J572" s="152">
        <v>50.0</v>
      </c>
      <c r="K572" s="84">
        <f t="shared" si="17"/>
        <v>7.142857143</v>
      </c>
      <c r="L572" s="82" t="s">
        <v>533</v>
      </c>
    </row>
    <row r="573" ht="15.0" customHeight="1">
      <c r="A573" s="78" t="s">
        <v>1272</v>
      </c>
      <c r="B573" s="82" t="s">
        <v>1422</v>
      </c>
      <c r="C573" s="82" t="s">
        <v>52</v>
      </c>
      <c r="D573" s="82" t="s">
        <v>1425</v>
      </c>
      <c r="E573" s="79" t="s">
        <v>1426</v>
      </c>
      <c r="F573" s="86" t="s">
        <v>259</v>
      </c>
      <c r="G573" s="82">
        <v>7.0</v>
      </c>
      <c r="H573" s="82">
        <v>7.0</v>
      </c>
      <c r="I573" s="82">
        <v>7.0</v>
      </c>
      <c r="J573" s="152">
        <v>50.0</v>
      </c>
      <c r="K573" s="84">
        <f t="shared" si="17"/>
        <v>7.142857143</v>
      </c>
      <c r="L573" s="82" t="s">
        <v>533</v>
      </c>
    </row>
    <row r="574" ht="15.0" customHeight="1">
      <c r="A574" s="78" t="s">
        <v>1272</v>
      </c>
      <c r="B574" s="82" t="s">
        <v>1422</v>
      </c>
      <c r="C574" s="82" t="s">
        <v>52</v>
      </c>
      <c r="D574" s="82" t="s">
        <v>1427</v>
      </c>
      <c r="E574" s="79" t="s">
        <v>1428</v>
      </c>
      <c r="F574" s="86" t="s">
        <v>1417</v>
      </c>
      <c r="G574" s="82">
        <v>7.0</v>
      </c>
      <c r="H574" s="82">
        <v>7.0</v>
      </c>
      <c r="I574" s="82">
        <v>7.0</v>
      </c>
      <c r="J574" s="152">
        <v>50.0</v>
      </c>
      <c r="K574" s="84">
        <f t="shared" si="17"/>
        <v>7.142857143</v>
      </c>
      <c r="L574" s="82" t="s">
        <v>533</v>
      </c>
    </row>
    <row r="575" ht="15.0" customHeight="1">
      <c r="A575" s="82" t="s">
        <v>1429</v>
      </c>
      <c r="B575" s="82" t="s">
        <v>1430</v>
      </c>
      <c r="C575" s="82" t="s">
        <v>52</v>
      </c>
      <c r="D575" s="82" t="s">
        <v>1431</v>
      </c>
      <c r="E575" s="87" t="s">
        <v>1966</v>
      </c>
      <c r="F575" s="86" t="s">
        <v>1417</v>
      </c>
      <c r="G575" s="82">
        <v>8.0</v>
      </c>
      <c r="H575" s="82">
        <v>6.0</v>
      </c>
      <c r="I575" s="82">
        <v>8.0</v>
      </c>
      <c r="J575" s="152">
        <v>50.0</v>
      </c>
      <c r="K575" s="84">
        <f t="shared" si="17"/>
        <v>6.25</v>
      </c>
      <c r="L575" s="82" t="s">
        <v>533</v>
      </c>
    </row>
    <row r="576" ht="15.0" customHeight="1">
      <c r="A576" s="82" t="s">
        <v>1429</v>
      </c>
      <c r="B576" s="82" t="s">
        <v>1430</v>
      </c>
      <c r="C576" s="82" t="s">
        <v>52</v>
      </c>
      <c r="D576" s="82" t="s">
        <v>1433</v>
      </c>
      <c r="E576" s="79" t="s">
        <v>1434</v>
      </c>
      <c r="F576" s="86" t="s">
        <v>1417</v>
      </c>
      <c r="G576" s="82">
        <v>8.0</v>
      </c>
      <c r="H576" s="82">
        <v>6.0</v>
      </c>
      <c r="I576" s="82">
        <v>8.0</v>
      </c>
      <c r="J576" s="152">
        <v>50.0</v>
      </c>
      <c r="K576" s="84">
        <f t="shared" si="17"/>
        <v>6.25</v>
      </c>
      <c r="L576" s="82" t="s">
        <v>533</v>
      </c>
    </row>
    <row r="577" ht="15.0" customHeight="1">
      <c r="A577" s="82" t="s">
        <v>1429</v>
      </c>
      <c r="B577" s="82" t="s">
        <v>1430</v>
      </c>
      <c r="C577" s="82" t="s">
        <v>52</v>
      </c>
      <c r="D577" s="82" t="s">
        <v>1435</v>
      </c>
      <c r="E577" s="79" t="s">
        <v>1963</v>
      </c>
      <c r="F577" s="86" t="s">
        <v>1437</v>
      </c>
      <c r="G577" s="82">
        <v>8.0</v>
      </c>
      <c r="H577" s="82">
        <v>6.0</v>
      </c>
      <c r="I577" s="82">
        <v>8.0</v>
      </c>
      <c r="J577" s="152">
        <v>50.0</v>
      </c>
      <c r="K577" s="84">
        <f t="shared" si="17"/>
        <v>6.25</v>
      </c>
      <c r="L577" s="82" t="s">
        <v>533</v>
      </c>
    </row>
    <row r="578" ht="15.0" customHeight="1">
      <c r="A578" s="82" t="s">
        <v>2359</v>
      </c>
      <c r="B578" s="82" t="s">
        <v>2360</v>
      </c>
      <c r="C578" s="82" t="s">
        <v>52</v>
      </c>
      <c r="D578" s="82" t="s">
        <v>2361</v>
      </c>
      <c r="E578" s="79" t="s">
        <v>2362</v>
      </c>
      <c r="F578" s="86" t="s">
        <v>259</v>
      </c>
      <c r="G578" s="82">
        <v>4.0</v>
      </c>
      <c r="H578" s="82">
        <v>4.0</v>
      </c>
      <c r="I578" s="82">
        <v>4.0</v>
      </c>
      <c r="J578" s="152">
        <v>50.0</v>
      </c>
      <c r="K578" s="84">
        <f t="shared" si="17"/>
        <v>12.5</v>
      </c>
      <c r="L578" s="82" t="s">
        <v>533</v>
      </c>
    </row>
    <row r="579" ht="15.0" customHeight="1">
      <c r="A579" s="82" t="s">
        <v>2382</v>
      </c>
      <c r="B579" s="82" t="s">
        <v>2383</v>
      </c>
      <c r="C579" s="82" t="s">
        <v>52</v>
      </c>
      <c r="D579" s="82" t="s">
        <v>2384</v>
      </c>
      <c r="E579" s="79" t="s">
        <v>2385</v>
      </c>
      <c r="F579" s="86" t="s">
        <v>259</v>
      </c>
      <c r="G579" s="82">
        <v>7.0</v>
      </c>
      <c r="H579" s="82">
        <v>7.0</v>
      </c>
      <c r="I579" s="82">
        <v>7.0</v>
      </c>
      <c r="J579" s="152">
        <v>50.0</v>
      </c>
      <c r="K579" s="84">
        <f t="shared" si="17"/>
        <v>7.142857143</v>
      </c>
      <c r="L579" s="82" t="s">
        <v>533</v>
      </c>
    </row>
    <row r="580" ht="15.0" customHeight="1">
      <c r="A580" s="82" t="s">
        <v>2382</v>
      </c>
      <c r="B580" s="82" t="s">
        <v>2383</v>
      </c>
      <c r="C580" s="82" t="s">
        <v>52</v>
      </c>
      <c r="D580" s="82" t="s">
        <v>2388</v>
      </c>
      <c r="E580" s="79" t="s">
        <v>2389</v>
      </c>
      <c r="F580" s="86" t="s">
        <v>1417</v>
      </c>
      <c r="G580" s="82">
        <v>7.0</v>
      </c>
      <c r="H580" s="82">
        <v>7.0</v>
      </c>
      <c r="I580" s="82">
        <v>7.0</v>
      </c>
      <c r="J580" s="152">
        <v>50.0</v>
      </c>
      <c r="K580" s="84">
        <f t="shared" si="17"/>
        <v>7.142857143</v>
      </c>
      <c r="L580" s="82" t="s">
        <v>533</v>
      </c>
    </row>
    <row r="581" ht="15.0" customHeight="1">
      <c r="A581" s="82" t="s">
        <v>2382</v>
      </c>
      <c r="B581" s="82" t="s">
        <v>2383</v>
      </c>
      <c r="C581" s="82" t="s">
        <v>52</v>
      </c>
      <c r="D581" s="82" t="s">
        <v>2386</v>
      </c>
      <c r="E581" s="79" t="s">
        <v>2470</v>
      </c>
      <c r="F581" s="86" t="s">
        <v>1417</v>
      </c>
      <c r="G581" s="82">
        <v>7.0</v>
      </c>
      <c r="H581" s="82">
        <v>7.0</v>
      </c>
      <c r="I581" s="82">
        <v>7.0</v>
      </c>
      <c r="J581" s="152">
        <v>50.0</v>
      </c>
      <c r="K581" s="84">
        <f t="shared" si="17"/>
        <v>7.142857143</v>
      </c>
      <c r="L581" s="82" t="s">
        <v>533</v>
      </c>
    </row>
    <row r="582" ht="15.0" customHeight="1">
      <c r="A582" s="82" t="s">
        <v>2471</v>
      </c>
      <c r="B582" s="82" t="s">
        <v>2472</v>
      </c>
      <c r="C582" s="82" t="s">
        <v>52</v>
      </c>
      <c r="D582" s="82" t="s">
        <v>2473</v>
      </c>
      <c r="E582" s="95" t="s">
        <v>2474</v>
      </c>
      <c r="F582" s="86" t="s">
        <v>259</v>
      </c>
      <c r="G582" s="82">
        <v>2.0</v>
      </c>
      <c r="H582" s="82">
        <v>2.0</v>
      </c>
      <c r="I582" s="82">
        <v>2.0</v>
      </c>
      <c r="J582" s="152">
        <v>50.0</v>
      </c>
      <c r="K582" s="84">
        <f t="shared" si="17"/>
        <v>25</v>
      </c>
      <c r="L582" s="82" t="s">
        <v>533</v>
      </c>
    </row>
    <row r="583" ht="15.0" customHeight="1">
      <c r="A583" s="82" t="s">
        <v>2471</v>
      </c>
      <c r="B583" s="82" t="s">
        <v>2472</v>
      </c>
      <c r="C583" s="82" t="s">
        <v>52</v>
      </c>
      <c r="D583" s="82" t="s">
        <v>2475</v>
      </c>
      <c r="E583" s="95" t="s">
        <v>2476</v>
      </c>
      <c r="F583" s="86" t="s">
        <v>259</v>
      </c>
      <c r="G583" s="82">
        <v>2.0</v>
      </c>
      <c r="H583" s="82">
        <v>2.0</v>
      </c>
      <c r="I583" s="82">
        <v>2.0</v>
      </c>
      <c r="J583" s="152">
        <v>50.0</v>
      </c>
      <c r="K583" s="84">
        <f t="shared" si="17"/>
        <v>25</v>
      </c>
      <c r="L583" s="82" t="s">
        <v>533</v>
      </c>
    </row>
    <row r="584" ht="15.0" customHeight="1">
      <c r="A584" s="82" t="s">
        <v>2363</v>
      </c>
      <c r="B584" s="82" t="s">
        <v>1295</v>
      </c>
      <c r="C584" s="82" t="s">
        <v>52</v>
      </c>
      <c r="D584" s="78" t="s">
        <v>2364</v>
      </c>
      <c r="E584" s="79" t="s">
        <v>2365</v>
      </c>
      <c r="F584" s="86" t="s">
        <v>259</v>
      </c>
      <c r="G584" s="82">
        <v>5.0</v>
      </c>
      <c r="H584" s="82">
        <v>5.0</v>
      </c>
      <c r="I584" s="82">
        <v>5.0</v>
      </c>
      <c r="J584" s="152">
        <v>50.0</v>
      </c>
      <c r="K584" s="84">
        <f t="shared" si="17"/>
        <v>10</v>
      </c>
      <c r="L584" s="82" t="s">
        <v>533</v>
      </c>
    </row>
    <row r="585" ht="15.0" customHeight="1">
      <c r="A585" s="100" t="s">
        <v>1442</v>
      </c>
      <c r="B585" s="100" t="s">
        <v>1282</v>
      </c>
      <c r="C585" s="82" t="s">
        <v>52</v>
      </c>
      <c r="D585" s="100" t="s">
        <v>1283</v>
      </c>
      <c r="E585" s="154" t="s">
        <v>1284</v>
      </c>
      <c r="F585" s="86" t="s">
        <v>259</v>
      </c>
      <c r="G585" s="100">
        <v>8.0</v>
      </c>
      <c r="H585" s="100">
        <v>8.0</v>
      </c>
      <c r="I585" s="100">
        <v>8.0</v>
      </c>
      <c r="J585" s="100">
        <v>50.0</v>
      </c>
      <c r="K585" s="151">
        <f t="shared" si="17"/>
        <v>6.25</v>
      </c>
      <c r="L585" s="82" t="s">
        <v>533</v>
      </c>
    </row>
    <row r="586" ht="15.0" customHeight="1">
      <c r="A586" s="100" t="s">
        <v>1442</v>
      </c>
      <c r="B586" s="100" t="s">
        <v>1282</v>
      </c>
      <c r="C586" s="82" t="s">
        <v>52</v>
      </c>
      <c r="D586" s="78" t="s">
        <v>1445</v>
      </c>
      <c r="E586" s="153" t="s">
        <v>1446</v>
      </c>
      <c r="F586" s="86" t="s">
        <v>1417</v>
      </c>
      <c r="G586" s="100">
        <v>8.0</v>
      </c>
      <c r="H586" s="100">
        <v>8.0</v>
      </c>
      <c r="I586" s="100">
        <v>8.0</v>
      </c>
      <c r="J586" s="100">
        <v>50.0</v>
      </c>
      <c r="K586" s="151">
        <f t="shared" si="17"/>
        <v>6.25</v>
      </c>
      <c r="L586" s="82" t="s">
        <v>533</v>
      </c>
    </row>
    <row r="587" ht="15.0" customHeight="1">
      <c r="A587" s="82" t="s">
        <v>2477</v>
      </c>
      <c r="B587" s="82" t="s">
        <v>2478</v>
      </c>
      <c r="C587" s="82" t="s">
        <v>52</v>
      </c>
      <c r="D587" s="78" t="s">
        <v>2479</v>
      </c>
      <c r="E587" s="90" t="s">
        <v>2480</v>
      </c>
      <c r="F587" s="86" t="s">
        <v>259</v>
      </c>
      <c r="G587" s="82">
        <v>4.0</v>
      </c>
      <c r="H587" s="82">
        <v>4.0</v>
      </c>
      <c r="I587" s="82">
        <v>4.0</v>
      </c>
      <c r="J587" s="152">
        <v>50.0</v>
      </c>
      <c r="K587" s="84">
        <f t="shared" si="17"/>
        <v>12.5</v>
      </c>
      <c r="L587" s="82" t="s">
        <v>533</v>
      </c>
    </row>
    <row r="588" ht="15.0" customHeight="1">
      <c r="A588" s="78" t="s">
        <v>1477</v>
      </c>
      <c r="B588" s="82" t="s">
        <v>1472</v>
      </c>
      <c r="C588" s="82" t="s">
        <v>52</v>
      </c>
      <c r="D588" s="82" t="s">
        <v>2481</v>
      </c>
      <c r="E588" s="79" t="s">
        <v>2401</v>
      </c>
      <c r="F588" s="86" t="s">
        <v>259</v>
      </c>
      <c r="G588" s="82">
        <v>3.0</v>
      </c>
      <c r="H588" s="82">
        <v>3.0</v>
      </c>
      <c r="I588" s="82">
        <v>3.0</v>
      </c>
      <c r="J588" s="82">
        <v>50.0</v>
      </c>
      <c r="K588" s="92">
        <f t="shared" si="17"/>
        <v>16.66666667</v>
      </c>
      <c r="L588" s="82" t="s">
        <v>533</v>
      </c>
    </row>
    <row r="589" ht="15.0" customHeight="1">
      <c r="A589" s="78" t="s">
        <v>1477</v>
      </c>
      <c r="B589" s="82" t="s">
        <v>1472</v>
      </c>
      <c r="C589" s="82" t="s">
        <v>52</v>
      </c>
      <c r="D589" s="82" t="s">
        <v>1475</v>
      </c>
      <c r="E589" s="79" t="s">
        <v>2403</v>
      </c>
      <c r="F589" s="86" t="s">
        <v>259</v>
      </c>
      <c r="G589" s="82">
        <v>3.0</v>
      </c>
      <c r="H589" s="82">
        <v>3.0</v>
      </c>
      <c r="I589" s="82">
        <v>3.0</v>
      </c>
      <c r="J589" s="82">
        <v>50.0</v>
      </c>
      <c r="K589" s="92">
        <f t="shared" si="17"/>
        <v>16.66666667</v>
      </c>
      <c r="L589" s="82" t="s">
        <v>533</v>
      </c>
    </row>
    <row r="590" ht="15.0" customHeight="1">
      <c r="A590" s="78" t="s">
        <v>1477</v>
      </c>
      <c r="B590" s="82" t="s">
        <v>1472</v>
      </c>
      <c r="C590" s="82" t="s">
        <v>52</v>
      </c>
      <c r="D590" s="82" t="s">
        <v>1478</v>
      </c>
      <c r="E590" s="79" t="s">
        <v>1479</v>
      </c>
      <c r="F590" s="86" t="s">
        <v>259</v>
      </c>
      <c r="G590" s="82">
        <v>3.0</v>
      </c>
      <c r="H590" s="82">
        <v>3.0</v>
      </c>
      <c r="I590" s="82">
        <v>3.0</v>
      </c>
      <c r="J590" s="82">
        <v>50.0</v>
      </c>
      <c r="K590" s="92">
        <f t="shared" si="17"/>
        <v>16.66666667</v>
      </c>
      <c r="L590" s="82" t="s">
        <v>533</v>
      </c>
    </row>
    <row r="591" ht="15.0" customHeight="1">
      <c r="A591" s="82" t="s">
        <v>2482</v>
      </c>
      <c r="B591" s="78" t="s">
        <v>534</v>
      </c>
      <c r="C591" s="82" t="s">
        <v>52</v>
      </c>
      <c r="D591" s="82" t="s">
        <v>2483</v>
      </c>
      <c r="E591" s="79" t="s">
        <v>2484</v>
      </c>
      <c r="F591" s="82" t="s">
        <v>2485</v>
      </c>
      <c r="G591" s="82">
        <v>3.0</v>
      </c>
      <c r="H591" s="82">
        <v>1.0</v>
      </c>
      <c r="I591" s="82">
        <v>3.0</v>
      </c>
      <c r="J591" s="82">
        <v>50.0</v>
      </c>
      <c r="K591" s="82">
        <v>16.67</v>
      </c>
      <c r="L591" s="82" t="s">
        <v>77</v>
      </c>
    </row>
    <row r="592" ht="15.0" customHeight="1">
      <c r="A592" s="82" t="s">
        <v>2482</v>
      </c>
      <c r="B592" s="78" t="s">
        <v>534</v>
      </c>
      <c r="C592" s="82" t="s">
        <v>52</v>
      </c>
      <c r="D592" s="82" t="s">
        <v>2486</v>
      </c>
      <c r="E592" s="82" t="s">
        <v>2487</v>
      </c>
      <c r="F592" s="86" t="s">
        <v>2488</v>
      </c>
      <c r="G592" s="82">
        <v>3.0</v>
      </c>
      <c r="H592" s="82">
        <v>1.0</v>
      </c>
      <c r="I592" s="82">
        <v>3.0</v>
      </c>
      <c r="J592" s="152">
        <v>50.0</v>
      </c>
      <c r="K592" s="84">
        <v>16.67</v>
      </c>
      <c r="L592" s="82" t="s">
        <v>77</v>
      </c>
    </row>
    <row r="593" ht="101.25" customHeight="1">
      <c r="A593" s="148" t="s">
        <v>2489</v>
      </c>
      <c r="B593" s="148" t="s">
        <v>2490</v>
      </c>
      <c r="C593" s="148" t="s">
        <v>52</v>
      </c>
      <c r="D593" s="148" t="s">
        <v>2491</v>
      </c>
      <c r="E593" s="182" t="s">
        <v>2492</v>
      </c>
      <c r="F593" s="160" t="s">
        <v>314</v>
      </c>
      <c r="G593" s="148">
        <v>2.0</v>
      </c>
      <c r="H593" s="148">
        <v>2.0</v>
      </c>
      <c r="I593" s="148">
        <v>2.0</v>
      </c>
      <c r="J593" s="173">
        <v>50.0</v>
      </c>
      <c r="K593" s="162">
        <f>50/2</f>
        <v>25</v>
      </c>
      <c r="L593" s="82" t="s">
        <v>542</v>
      </c>
    </row>
    <row r="594" ht="15.0" customHeight="1">
      <c r="A594" s="85" t="s">
        <v>2493</v>
      </c>
      <c r="B594" s="183" t="s">
        <v>2494</v>
      </c>
      <c r="C594" s="82" t="s">
        <v>52</v>
      </c>
      <c r="D594" s="183" t="s">
        <v>2495</v>
      </c>
      <c r="E594" s="79" t="s">
        <v>2496</v>
      </c>
      <c r="F594" s="82" t="s">
        <v>1264</v>
      </c>
      <c r="G594" s="82">
        <v>1.0</v>
      </c>
      <c r="H594" s="82">
        <v>1.0</v>
      </c>
      <c r="I594" s="82">
        <v>12.0</v>
      </c>
      <c r="J594" s="82">
        <v>50.0</v>
      </c>
      <c r="K594" s="82">
        <v>50.0</v>
      </c>
      <c r="L594" s="82" t="s">
        <v>78</v>
      </c>
    </row>
    <row r="595" ht="15.0" customHeight="1">
      <c r="A595" s="85" t="s">
        <v>2493</v>
      </c>
      <c r="B595" s="183" t="s">
        <v>2494</v>
      </c>
      <c r="C595" s="82" t="s">
        <v>52</v>
      </c>
      <c r="D595" s="183" t="s">
        <v>2497</v>
      </c>
      <c r="E595" s="79" t="s">
        <v>2498</v>
      </c>
      <c r="F595" s="86" t="s">
        <v>1264</v>
      </c>
      <c r="G595" s="82">
        <v>1.0</v>
      </c>
      <c r="H595" s="82">
        <v>1.0</v>
      </c>
      <c r="I595" s="82">
        <v>12.0</v>
      </c>
      <c r="J595" s="152">
        <v>50.0</v>
      </c>
      <c r="K595" s="84">
        <v>50.0</v>
      </c>
      <c r="L595" s="82" t="s">
        <v>78</v>
      </c>
    </row>
    <row r="596" ht="15.0" customHeight="1">
      <c r="A596" s="86" t="s">
        <v>2499</v>
      </c>
      <c r="B596" s="170" t="s">
        <v>2500</v>
      </c>
      <c r="C596" s="86" t="s">
        <v>52</v>
      </c>
      <c r="D596" s="86" t="s">
        <v>2501</v>
      </c>
      <c r="E596" s="171" t="s">
        <v>2502</v>
      </c>
      <c r="F596" s="86" t="s">
        <v>1833</v>
      </c>
      <c r="G596" s="86">
        <v>3.0</v>
      </c>
      <c r="H596" s="86">
        <v>2.0</v>
      </c>
      <c r="I596" s="86">
        <v>3.0</v>
      </c>
      <c r="J596" s="86">
        <v>50.0</v>
      </c>
      <c r="K596" s="86">
        <v>25.0</v>
      </c>
      <c r="L596" s="82" t="s">
        <v>74</v>
      </c>
    </row>
    <row r="597" ht="15.0" customHeight="1">
      <c r="A597" s="86" t="s">
        <v>2503</v>
      </c>
      <c r="B597" s="170" t="s">
        <v>2504</v>
      </c>
      <c r="C597" s="86" t="s">
        <v>52</v>
      </c>
      <c r="D597" s="86" t="s">
        <v>2505</v>
      </c>
      <c r="E597" s="79" t="s">
        <v>2506</v>
      </c>
      <c r="F597" s="86" t="s">
        <v>1833</v>
      </c>
      <c r="G597" s="86">
        <v>2.0</v>
      </c>
      <c r="H597" s="86">
        <v>2.0</v>
      </c>
      <c r="I597" s="86">
        <v>2.0</v>
      </c>
      <c r="J597" s="86">
        <v>50.0</v>
      </c>
      <c r="K597" s="86">
        <v>25.0</v>
      </c>
      <c r="L597" s="82" t="s">
        <v>74</v>
      </c>
    </row>
    <row r="598" ht="15.0" customHeight="1">
      <c r="A598" s="82" t="s">
        <v>2507</v>
      </c>
      <c r="B598" s="82" t="s">
        <v>2508</v>
      </c>
      <c r="C598" s="82" t="s">
        <v>52</v>
      </c>
      <c r="D598" s="82" t="s">
        <v>2509</v>
      </c>
      <c r="E598" s="79" t="s">
        <v>2510</v>
      </c>
      <c r="F598" s="82" t="s">
        <v>890</v>
      </c>
      <c r="G598" s="82">
        <v>3.0</v>
      </c>
      <c r="H598" s="82">
        <v>3.0</v>
      </c>
      <c r="I598" s="82">
        <v>3.0</v>
      </c>
      <c r="J598" s="82">
        <v>50.0</v>
      </c>
      <c r="K598" s="82">
        <v>16.66</v>
      </c>
      <c r="L598" s="82" t="s">
        <v>74</v>
      </c>
    </row>
    <row r="599" ht="15.0" customHeight="1">
      <c r="A599" s="82" t="s">
        <v>2507</v>
      </c>
      <c r="B599" s="82" t="s">
        <v>2508</v>
      </c>
      <c r="C599" s="82" t="s">
        <v>52</v>
      </c>
      <c r="D599" s="82" t="s">
        <v>2511</v>
      </c>
      <c r="E599" s="79" t="s">
        <v>2512</v>
      </c>
      <c r="F599" s="82" t="s">
        <v>2513</v>
      </c>
      <c r="G599" s="82">
        <v>3.0</v>
      </c>
      <c r="H599" s="82">
        <v>3.0</v>
      </c>
      <c r="I599" s="82">
        <v>3.0</v>
      </c>
      <c r="J599" s="82">
        <v>50.0</v>
      </c>
      <c r="K599" s="82">
        <v>16.66</v>
      </c>
      <c r="L599" s="82" t="s">
        <v>74</v>
      </c>
    </row>
    <row r="600" ht="15.0" customHeight="1">
      <c r="A600" s="82" t="s">
        <v>2507</v>
      </c>
      <c r="B600" s="82" t="s">
        <v>2508</v>
      </c>
      <c r="C600" s="82" t="s">
        <v>52</v>
      </c>
      <c r="D600" s="82" t="s">
        <v>2514</v>
      </c>
      <c r="E600" s="79" t="s">
        <v>2515</v>
      </c>
      <c r="F600" s="82" t="s">
        <v>890</v>
      </c>
      <c r="G600" s="82">
        <v>3.0</v>
      </c>
      <c r="H600" s="82">
        <v>3.0</v>
      </c>
      <c r="I600" s="82">
        <v>3.0</v>
      </c>
      <c r="J600" s="82">
        <v>50.0</v>
      </c>
      <c r="K600" s="82">
        <v>16.66</v>
      </c>
      <c r="L600" s="82" t="s">
        <v>74</v>
      </c>
    </row>
    <row r="601" ht="15.0" customHeight="1">
      <c r="A601" s="82" t="s">
        <v>2507</v>
      </c>
      <c r="B601" s="82" t="s">
        <v>2508</v>
      </c>
      <c r="C601" s="82" t="s">
        <v>52</v>
      </c>
      <c r="D601" s="82" t="s">
        <v>2516</v>
      </c>
      <c r="E601" s="79" t="s">
        <v>2517</v>
      </c>
      <c r="F601" s="82" t="s">
        <v>890</v>
      </c>
      <c r="G601" s="82">
        <v>3.0</v>
      </c>
      <c r="H601" s="82">
        <v>3.0</v>
      </c>
      <c r="I601" s="82">
        <v>3.0</v>
      </c>
      <c r="J601" s="82">
        <v>50.0</v>
      </c>
      <c r="K601" s="82">
        <v>16.66</v>
      </c>
      <c r="L601" s="82" t="s">
        <v>74</v>
      </c>
    </row>
    <row r="602" ht="15.0" customHeight="1">
      <c r="A602" s="82" t="s">
        <v>2507</v>
      </c>
      <c r="B602" s="82" t="s">
        <v>2508</v>
      </c>
      <c r="C602" s="82" t="s">
        <v>52</v>
      </c>
      <c r="D602" s="82" t="s">
        <v>2518</v>
      </c>
      <c r="E602" s="79" t="s">
        <v>2519</v>
      </c>
      <c r="F602" s="82" t="s">
        <v>2513</v>
      </c>
      <c r="G602" s="82">
        <v>3.0</v>
      </c>
      <c r="H602" s="82">
        <v>3.0</v>
      </c>
      <c r="I602" s="82">
        <v>3.0</v>
      </c>
      <c r="J602" s="82">
        <v>50.0</v>
      </c>
      <c r="K602" s="82">
        <v>16.66</v>
      </c>
      <c r="L602" s="82" t="s">
        <v>74</v>
      </c>
    </row>
    <row r="603" ht="15.0" customHeight="1">
      <c r="A603" s="82" t="s">
        <v>2507</v>
      </c>
      <c r="B603" s="82" t="s">
        <v>2508</v>
      </c>
      <c r="C603" s="82" t="s">
        <v>52</v>
      </c>
      <c r="D603" s="82" t="s">
        <v>2520</v>
      </c>
      <c r="E603" s="79" t="s">
        <v>2521</v>
      </c>
      <c r="F603" s="82" t="s">
        <v>890</v>
      </c>
      <c r="G603" s="82">
        <v>3.0</v>
      </c>
      <c r="H603" s="82">
        <v>3.0</v>
      </c>
      <c r="I603" s="82">
        <v>3.0</v>
      </c>
      <c r="J603" s="82">
        <v>50.0</v>
      </c>
      <c r="K603" s="82">
        <v>16.66</v>
      </c>
      <c r="L603" s="82" t="s">
        <v>74</v>
      </c>
    </row>
    <row r="604" ht="15.0" customHeight="1">
      <c r="A604" s="82" t="s">
        <v>2507</v>
      </c>
      <c r="B604" s="82" t="s">
        <v>2508</v>
      </c>
      <c r="C604" s="82" t="s">
        <v>52</v>
      </c>
      <c r="D604" s="82" t="s">
        <v>2522</v>
      </c>
      <c r="E604" s="79" t="s">
        <v>2523</v>
      </c>
      <c r="F604" s="82" t="s">
        <v>2513</v>
      </c>
      <c r="G604" s="82">
        <v>3.0</v>
      </c>
      <c r="H604" s="82">
        <v>3.0</v>
      </c>
      <c r="I604" s="82">
        <v>3.0</v>
      </c>
      <c r="J604" s="82">
        <v>50.0</v>
      </c>
      <c r="K604" s="82">
        <v>16.66</v>
      </c>
      <c r="L604" s="82" t="s">
        <v>74</v>
      </c>
    </row>
    <row r="605" ht="15.0" customHeight="1">
      <c r="A605" s="82" t="s">
        <v>2507</v>
      </c>
      <c r="B605" s="82" t="s">
        <v>2508</v>
      </c>
      <c r="C605" s="82" t="s">
        <v>52</v>
      </c>
      <c r="D605" s="82" t="s">
        <v>2524</v>
      </c>
      <c r="E605" s="79" t="s">
        <v>2525</v>
      </c>
      <c r="F605" s="82" t="s">
        <v>2513</v>
      </c>
      <c r="G605" s="82">
        <v>3.0</v>
      </c>
      <c r="H605" s="82">
        <v>3.0</v>
      </c>
      <c r="I605" s="82">
        <v>3.0</v>
      </c>
      <c r="J605" s="82">
        <v>50.0</v>
      </c>
      <c r="K605" s="82">
        <v>16.66</v>
      </c>
      <c r="L605" s="82" t="s">
        <v>74</v>
      </c>
    </row>
    <row r="606" ht="15.0" customHeight="1">
      <c r="A606" s="82" t="s">
        <v>2507</v>
      </c>
      <c r="B606" s="82" t="s">
        <v>2508</v>
      </c>
      <c r="C606" s="82" t="s">
        <v>52</v>
      </c>
      <c r="D606" s="82" t="s">
        <v>2526</v>
      </c>
      <c r="E606" s="79" t="s">
        <v>2527</v>
      </c>
      <c r="F606" s="82" t="s">
        <v>2513</v>
      </c>
      <c r="G606" s="82">
        <v>3.0</v>
      </c>
      <c r="H606" s="82">
        <v>3.0</v>
      </c>
      <c r="I606" s="82">
        <v>3.0</v>
      </c>
      <c r="J606" s="82">
        <v>50.0</v>
      </c>
      <c r="K606" s="82">
        <v>16.66</v>
      </c>
      <c r="L606" s="82" t="s">
        <v>74</v>
      </c>
    </row>
    <row r="607" ht="15.0" customHeight="1">
      <c r="A607" s="82" t="s">
        <v>2507</v>
      </c>
      <c r="B607" s="82" t="s">
        <v>2508</v>
      </c>
      <c r="C607" s="82" t="s">
        <v>52</v>
      </c>
      <c r="D607" s="82" t="s">
        <v>2528</v>
      </c>
      <c r="E607" s="79" t="s">
        <v>2529</v>
      </c>
      <c r="F607" s="82" t="s">
        <v>2513</v>
      </c>
      <c r="G607" s="82">
        <v>3.0</v>
      </c>
      <c r="H607" s="82">
        <v>3.0</v>
      </c>
      <c r="I607" s="82">
        <v>3.0</v>
      </c>
      <c r="J607" s="82">
        <v>50.0</v>
      </c>
      <c r="K607" s="82">
        <v>16.66</v>
      </c>
      <c r="L607" s="82" t="s">
        <v>74</v>
      </c>
    </row>
    <row r="608" ht="15.0" customHeight="1">
      <c r="A608" s="82" t="s">
        <v>2507</v>
      </c>
      <c r="B608" s="82" t="s">
        <v>2508</v>
      </c>
      <c r="C608" s="82" t="s">
        <v>52</v>
      </c>
      <c r="D608" s="82" t="s">
        <v>2530</v>
      </c>
      <c r="E608" s="79" t="s">
        <v>2531</v>
      </c>
      <c r="F608" s="82" t="s">
        <v>2513</v>
      </c>
      <c r="G608" s="82">
        <v>3.0</v>
      </c>
      <c r="H608" s="82">
        <v>3.0</v>
      </c>
      <c r="I608" s="82">
        <v>3.0</v>
      </c>
      <c r="J608" s="82">
        <v>50.0</v>
      </c>
      <c r="K608" s="82">
        <v>16.66</v>
      </c>
      <c r="L608" s="82" t="s">
        <v>74</v>
      </c>
    </row>
    <row r="609" ht="15.0" customHeight="1">
      <c r="A609" s="82" t="s">
        <v>2532</v>
      </c>
      <c r="B609" s="82" t="s">
        <v>2533</v>
      </c>
      <c r="C609" s="82" t="s">
        <v>52</v>
      </c>
      <c r="D609" s="82" t="s">
        <v>2534</v>
      </c>
      <c r="E609" s="79" t="s">
        <v>2535</v>
      </c>
      <c r="F609" s="82" t="s">
        <v>2513</v>
      </c>
      <c r="G609" s="82">
        <v>3.0</v>
      </c>
      <c r="H609" s="82">
        <v>3.0</v>
      </c>
      <c r="I609" s="82">
        <v>3.0</v>
      </c>
      <c r="J609" s="82">
        <v>50.0</v>
      </c>
      <c r="K609" s="82">
        <v>16.66</v>
      </c>
      <c r="L609" s="82" t="s">
        <v>74</v>
      </c>
    </row>
    <row r="610" ht="15.0" customHeight="1">
      <c r="A610" s="82" t="s">
        <v>2536</v>
      </c>
      <c r="B610" s="82" t="s">
        <v>2537</v>
      </c>
      <c r="C610" s="82" t="s">
        <v>52</v>
      </c>
      <c r="D610" s="82" t="s">
        <v>2538</v>
      </c>
      <c r="E610" s="79" t="s">
        <v>2539</v>
      </c>
      <c r="F610" s="82" t="s">
        <v>890</v>
      </c>
      <c r="G610" s="82">
        <v>3.0</v>
      </c>
      <c r="H610" s="82">
        <v>3.0</v>
      </c>
      <c r="I610" s="82">
        <v>3.0</v>
      </c>
      <c r="J610" s="82">
        <v>50.0</v>
      </c>
      <c r="K610" s="82">
        <v>16.66</v>
      </c>
      <c r="L610" s="82" t="s">
        <v>74</v>
      </c>
    </row>
    <row r="611" ht="15.0" customHeight="1">
      <c r="A611" s="82" t="s">
        <v>2536</v>
      </c>
      <c r="B611" s="82" t="s">
        <v>2537</v>
      </c>
      <c r="C611" s="82" t="s">
        <v>52</v>
      </c>
      <c r="D611" s="82" t="s">
        <v>2540</v>
      </c>
      <c r="E611" s="87" t="s">
        <v>2541</v>
      </c>
      <c r="F611" s="82" t="s">
        <v>890</v>
      </c>
      <c r="G611" s="82">
        <v>3.0</v>
      </c>
      <c r="H611" s="82">
        <v>3.0</v>
      </c>
      <c r="I611" s="82">
        <v>3.0</v>
      </c>
      <c r="J611" s="82">
        <v>50.0</v>
      </c>
      <c r="K611" s="82">
        <v>16.66</v>
      </c>
      <c r="L611" s="82" t="s">
        <v>74</v>
      </c>
    </row>
    <row r="612" ht="15.0" customHeight="1">
      <c r="A612" s="82" t="s">
        <v>2536</v>
      </c>
      <c r="B612" s="82" t="s">
        <v>2537</v>
      </c>
      <c r="C612" s="82" t="s">
        <v>52</v>
      </c>
      <c r="D612" s="82" t="s">
        <v>2542</v>
      </c>
      <c r="E612" s="79" t="s">
        <v>2543</v>
      </c>
      <c r="F612" s="82" t="s">
        <v>2513</v>
      </c>
      <c r="G612" s="82">
        <v>3.0</v>
      </c>
      <c r="H612" s="82">
        <v>3.0</v>
      </c>
      <c r="I612" s="82">
        <v>3.0</v>
      </c>
      <c r="J612" s="82">
        <v>50.0</v>
      </c>
      <c r="K612" s="82">
        <v>16.66</v>
      </c>
      <c r="L612" s="82" t="s">
        <v>74</v>
      </c>
    </row>
    <row r="613" ht="15.0" customHeight="1">
      <c r="A613" s="82" t="s">
        <v>2536</v>
      </c>
      <c r="B613" s="82" t="s">
        <v>2537</v>
      </c>
      <c r="C613" s="82" t="s">
        <v>52</v>
      </c>
      <c r="D613" s="82" t="s">
        <v>2544</v>
      </c>
      <c r="E613" s="95" t="s">
        <v>2545</v>
      </c>
      <c r="F613" s="82" t="s">
        <v>890</v>
      </c>
      <c r="G613" s="82">
        <v>3.0</v>
      </c>
      <c r="H613" s="82">
        <v>3.0</v>
      </c>
      <c r="I613" s="82">
        <v>3.0</v>
      </c>
      <c r="J613" s="82">
        <v>50.0</v>
      </c>
      <c r="K613" s="82">
        <v>16.66</v>
      </c>
      <c r="L613" s="82" t="s">
        <v>74</v>
      </c>
    </row>
    <row r="614" ht="15.0" customHeight="1">
      <c r="A614" s="82" t="s">
        <v>2536</v>
      </c>
      <c r="B614" s="82" t="s">
        <v>2537</v>
      </c>
      <c r="C614" s="82" t="s">
        <v>52</v>
      </c>
      <c r="D614" s="82" t="s">
        <v>2546</v>
      </c>
      <c r="E614" s="79" t="s">
        <v>2547</v>
      </c>
      <c r="F614" s="82" t="s">
        <v>259</v>
      </c>
      <c r="G614" s="82">
        <v>3.0</v>
      </c>
      <c r="H614" s="82">
        <v>3.0</v>
      </c>
      <c r="I614" s="82">
        <v>3.0</v>
      </c>
      <c r="J614" s="82">
        <v>50.0</v>
      </c>
      <c r="K614" s="82">
        <v>16.66</v>
      </c>
      <c r="L614" s="82" t="s">
        <v>74</v>
      </c>
    </row>
    <row r="615" ht="15.0" customHeight="1">
      <c r="A615" s="82" t="s">
        <v>2536</v>
      </c>
      <c r="B615" s="82" t="s">
        <v>2537</v>
      </c>
      <c r="C615" s="82" t="s">
        <v>52</v>
      </c>
      <c r="D615" s="82" t="s">
        <v>2548</v>
      </c>
      <c r="E615" s="79" t="s">
        <v>2549</v>
      </c>
      <c r="F615" s="82" t="s">
        <v>890</v>
      </c>
      <c r="G615" s="82">
        <v>3.0</v>
      </c>
      <c r="H615" s="82">
        <v>3.0</v>
      </c>
      <c r="I615" s="82">
        <v>3.0</v>
      </c>
      <c r="J615" s="82">
        <v>50.0</v>
      </c>
      <c r="K615" s="82">
        <v>16.66</v>
      </c>
      <c r="L615" s="82" t="s">
        <v>74</v>
      </c>
    </row>
    <row r="616" ht="15.0" customHeight="1">
      <c r="A616" s="82" t="s">
        <v>2550</v>
      </c>
      <c r="B616" s="82" t="s">
        <v>2551</v>
      </c>
      <c r="C616" s="82" t="s">
        <v>52</v>
      </c>
      <c r="D616" s="82" t="s">
        <v>2552</v>
      </c>
      <c r="E616" s="79" t="s">
        <v>2553</v>
      </c>
      <c r="F616" s="86" t="s">
        <v>259</v>
      </c>
      <c r="G616" s="82">
        <v>2.0</v>
      </c>
      <c r="H616" s="82">
        <v>2.0</v>
      </c>
      <c r="I616" s="82">
        <v>2.0</v>
      </c>
      <c r="J616" s="152">
        <v>50.0</v>
      </c>
      <c r="K616" s="84">
        <v>25.0</v>
      </c>
      <c r="L616" s="82" t="s">
        <v>74</v>
      </c>
    </row>
    <row r="617" ht="15.0" customHeight="1">
      <c r="A617" s="86" t="s">
        <v>2554</v>
      </c>
      <c r="B617" s="170" t="s">
        <v>2555</v>
      </c>
      <c r="C617" s="86" t="s">
        <v>52</v>
      </c>
      <c r="D617" s="86" t="s">
        <v>2556</v>
      </c>
      <c r="E617" s="87" t="s">
        <v>2557</v>
      </c>
      <c r="F617" s="86" t="s">
        <v>259</v>
      </c>
      <c r="G617" s="86">
        <v>2.0</v>
      </c>
      <c r="H617" s="86">
        <v>2.0</v>
      </c>
      <c r="I617" s="86">
        <v>2.0</v>
      </c>
      <c r="J617" s="86">
        <v>50.0</v>
      </c>
      <c r="K617" s="86">
        <v>25.0</v>
      </c>
      <c r="L617" s="82" t="s">
        <v>74</v>
      </c>
    </row>
    <row r="618" ht="15.0" customHeight="1">
      <c r="A618" s="86" t="s">
        <v>2554</v>
      </c>
      <c r="B618" s="184" t="s">
        <v>2555</v>
      </c>
      <c r="C618" s="86" t="s">
        <v>52</v>
      </c>
      <c r="D618" s="86" t="s">
        <v>2558</v>
      </c>
      <c r="E618" s="95" t="s">
        <v>2559</v>
      </c>
      <c r="F618" s="86" t="s">
        <v>1833</v>
      </c>
      <c r="G618" s="86">
        <v>2.0</v>
      </c>
      <c r="H618" s="86">
        <v>2.0</v>
      </c>
      <c r="I618" s="86">
        <v>2.0</v>
      </c>
      <c r="J618" s="86">
        <v>50.0</v>
      </c>
      <c r="K618" s="86">
        <v>25.0</v>
      </c>
      <c r="L618" s="82" t="s">
        <v>74</v>
      </c>
    </row>
    <row r="619" ht="15.0" customHeight="1">
      <c r="A619" s="82" t="s">
        <v>2560</v>
      </c>
      <c r="B619" s="82" t="s">
        <v>2561</v>
      </c>
      <c r="C619" s="78" t="s">
        <v>52</v>
      </c>
      <c r="D619" s="82" t="s">
        <v>2562</v>
      </c>
      <c r="E619" s="79" t="s">
        <v>2563</v>
      </c>
      <c r="F619" s="82" t="s">
        <v>1264</v>
      </c>
      <c r="G619" s="82">
        <v>3.0</v>
      </c>
      <c r="H619" s="82">
        <v>3.0</v>
      </c>
      <c r="I619" s="82">
        <v>3.0</v>
      </c>
      <c r="J619" s="82">
        <v>50.0</v>
      </c>
      <c r="K619" s="82">
        <v>16.66</v>
      </c>
      <c r="L619" s="82" t="s">
        <v>65</v>
      </c>
    </row>
    <row r="620" ht="15.0" customHeight="1">
      <c r="A620" s="82" t="s">
        <v>2560</v>
      </c>
      <c r="B620" s="82" t="s">
        <v>2561</v>
      </c>
      <c r="C620" s="82" t="s">
        <v>52</v>
      </c>
      <c r="D620" s="82" t="s">
        <v>2564</v>
      </c>
      <c r="E620" s="79" t="s">
        <v>2565</v>
      </c>
      <c r="F620" s="82" t="s">
        <v>1264</v>
      </c>
      <c r="G620" s="99">
        <v>3.0</v>
      </c>
      <c r="H620" s="185">
        <v>3.0</v>
      </c>
      <c r="I620" s="82">
        <v>3.0</v>
      </c>
      <c r="J620" s="82">
        <v>50.0</v>
      </c>
      <c r="K620" s="82">
        <v>16.66</v>
      </c>
      <c r="L620" s="82" t="s">
        <v>65</v>
      </c>
    </row>
    <row r="621" ht="15.0" customHeight="1">
      <c r="A621" s="82" t="s">
        <v>2566</v>
      </c>
      <c r="B621" s="82" t="s">
        <v>2567</v>
      </c>
      <c r="C621" s="82" t="s">
        <v>52</v>
      </c>
      <c r="D621" s="82" t="s">
        <v>2568</v>
      </c>
      <c r="E621" s="79" t="s">
        <v>2569</v>
      </c>
      <c r="F621" s="82" t="s">
        <v>1264</v>
      </c>
      <c r="G621" s="82">
        <v>4.0</v>
      </c>
      <c r="H621" s="82">
        <v>4.0</v>
      </c>
      <c r="I621" s="82">
        <v>4.0</v>
      </c>
      <c r="J621" s="82">
        <v>50.0</v>
      </c>
      <c r="K621" s="82">
        <v>12.5</v>
      </c>
      <c r="L621" s="82" t="s">
        <v>65</v>
      </c>
    </row>
    <row r="622" ht="15.0" customHeight="1">
      <c r="A622" s="82" t="s">
        <v>2570</v>
      </c>
      <c r="B622" s="82" t="s">
        <v>2571</v>
      </c>
      <c r="C622" s="82" t="s">
        <v>52</v>
      </c>
      <c r="D622" s="82" t="s">
        <v>2572</v>
      </c>
      <c r="E622" s="79" t="s">
        <v>2573</v>
      </c>
      <c r="F622" s="86" t="s">
        <v>1264</v>
      </c>
      <c r="G622" s="82">
        <v>4.0</v>
      </c>
      <c r="H622" s="82">
        <v>4.0</v>
      </c>
      <c r="I622" s="82">
        <v>4.0</v>
      </c>
      <c r="J622" s="83">
        <v>50.0</v>
      </c>
      <c r="K622" s="84">
        <v>12.5</v>
      </c>
      <c r="L622" s="82" t="s">
        <v>65</v>
      </c>
    </row>
    <row r="623" ht="15.0" customHeight="1">
      <c r="A623" s="82" t="s">
        <v>2570</v>
      </c>
      <c r="B623" s="82" t="s">
        <v>2571</v>
      </c>
      <c r="C623" s="82" t="s">
        <v>52</v>
      </c>
      <c r="D623" s="82" t="s">
        <v>2574</v>
      </c>
      <c r="E623" s="79" t="s">
        <v>2575</v>
      </c>
      <c r="F623" s="86" t="s">
        <v>259</v>
      </c>
      <c r="G623" s="82">
        <v>4.0</v>
      </c>
      <c r="H623" s="82">
        <v>4.0</v>
      </c>
      <c r="I623" s="82">
        <v>4.0</v>
      </c>
      <c r="J623" s="83">
        <v>50.0</v>
      </c>
      <c r="K623" s="84">
        <v>12.5</v>
      </c>
      <c r="L623" s="82" t="s">
        <v>65</v>
      </c>
    </row>
    <row r="624" ht="15.0" customHeight="1">
      <c r="A624" s="82" t="s">
        <v>2576</v>
      </c>
      <c r="B624" s="82" t="s">
        <v>2577</v>
      </c>
      <c r="C624" s="82" t="s">
        <v>52</v>
      </c>
      <c r="D624" s="82" t="s">
        <v>2578</v>
      </c>
      <c r="E624" s="79" t="s">
        <v>2579</v>
      </c>
      <c r="F624" s="86" t="s">
        <v>1264</v>
      </c>
      <c r="G624" s="82">
        <v>3.0</v>
      </c>
      <c r="H624" s="82">
        <v>3.0</v>
      </c>
      <c r="I624" s="82">
        <v>3.0</v>
      </c>
      <c r="J624" s="83">
        <v>50.0</v>
      </c>
      <c r="K624" s="84">
        <v>16.66</v>
      </c>
      <c r="L624" s="82" t="s">
        <v>65</v>
      </c>
    </row>
    <row r="625" ht="15.0" customHeight="1">
      <c r="A625" s="82" t="s">
        <v>2576</v>
      </c>
      <c r="B625" s="82" t="s">
        <v>2577</v>
      </c>
      <c r="C625" s="82" t="s">
        <v>52</v>
      </c>
      <c r="D625" s="82" t="s">
        <v>2580</v>
      </c>
      <c r="E625" s="79" t="s">
        <v>2581</v>
      </c>
      <c r="F625" s="86" t="s">
        <v>1264</v>
      </c>
      <c r="G625" s="82">
        <v>3.0</v>
      </c>
      <c r="H625" s="82">
        <v>3.0</v>
      </c>
      <c r="I625" s="82">
        <v>3.0</v>
      </c>
      <c r="J625" s="83">
        <v>50.0</v>
      </c>
      <c r="K625" s="84">
        <v>16.66</v>
      </c>
      <c r="L625" s="82" t="s">
        <v>65</v>
      </c>
    </row>
    <row r="626" ht="15.0" customHeight="1">
      <c r="A626" s="82" t="s">
        <v>2576</v>
      </c>
      <c r="B626" s="82" t="s">
        <v>2577</v>
      </c>
      <c r="C626" s="82" t="s">
        <v>52</v>
      </c>
      <c r="D626" s="82" t="s">
        <v>2582</v>
      </c>
      <c r="E626" s="79" t="s">
        <v>2583</v>
      </c>
      <c r="F626" s="86" t="s">
        <v>1264</v>
      </c>
      <c r="G626" s="82">
        <v>3.0</v>
      </c>
      <c r="H626" s="82">
        <v>3.0</v>
      </c>
      <c r="I626" s="82">
        <v>3.0</v>
      </c>
      <c r="J626" s="83">
        <v>50.0</v>
      </c>
      <c r="K626" s="84">
        <v>16.66</v>
      </c>
      <c r="L626" s="82" t="s">
        <v>65</v>
      </c>
    </row>
    <row r="627" ht="15.0" customHeight="1">
      <c r="A627" s="82" t="s">
        <v>2576</v>
      </c>
      <c r="B627" s="82" t="s">
        <v>2577</v>
      </c>
      <c r="C627" s="82" t="s">
        <v>52</v>
      </c>
      <c r="D627" s="82" t="s">
        <v>2584</v>
      </c>
      <c r="E627" s="79" t="s">
        <v>2585</v>
      </c>
      <c r="F627" s="86" t="s">
        <v>2586</v>
      </c>
      <c r="G627" s="82">
        <v>3.0</v>
      </c>
      <c r="H627" s="82">
        <v>3.0</v>
      </c>
      <c r="I627" s="82">
        <v>3.0</v>
      </c>
      <c r="J627" s="83">
        <v>50.0</v>
      </c>
      <c r="K627" s="84">
        <v>16.66</v>
      </c>
      <c r="L627" s="82" t="s">
        <v>65</v>
      </c>
    </row>
    <row r="628" ht="15.0" customHeight="1">
      <c r="A628" s="82" t="s">
        <v>2576</v>
      </c>
      <c r="B628" s="82" t="s">
        <v>2577</v>
      </c>
      <c r="C628" s="82" t="s">
        <v>52</v>
      </c>
      <c r="D628" s="82" t="s">
        <v>2587</v>
      </c>
      <c r="E628" s="79" t="s">
        <v>2588</v>
      </c>
      <c r="F628" s="86" t="s">
        <v>1264</v>
      </c>
      <c r="G628" s="82">
        <v>3.0</v>
      </c>
      <c r="H628" s="82">
        <v>3.0</v>
      </c>
      <c r="I628" s="82">
        <v>3.0</v>
      </c>
      <c r="J628" s="83">
        <v>50.0</v>
      </c>
      <c r="K628" s="84">
        <v>16.66</v>
      </c>
      <c r="L628" s="82" t="s">
        <v>65</v>
      </c>
    </row>
    <row r="629" ht="15.0" customHeight="1">
      <c r="A629" s="82" t="s">
        <v>2576</v>
      </c>
      <c r="B629" s="82" t="s">
        <v>2577</v>
      </c>
      <c r="C629" s="82" t="s">
        <v>52</v>
      </c>
      <c r="D629" s="82" t="s">
        <v>2589</v>
      </c>
      <c r="E629" s="79" t="s">
        <v>2590</v>
      </c>
      <c r="F629" s="86" t="s">
        <v>259</v>
      </c>
      <c r="G629" s="82">
        <v>3.0</v>
      </c>
      <c r="H629" s="82">
        <v>3.0</v>
      </c>
      <c r="I629" s="82">
        <v>3.0</v>
      </c>
      <c r="J629" s="83">
        <v>50.0</v>
      </c>
      <c r="K629" s="84">
        <v>16.66</v>
      </c>
      <c r="L629" s="82" t="s">
        <v>65</v>
      </c>
    </row>
    <row r="630" ht="15.0" customHeight="1">
      <c r="A630" s="82" t="s">
        <v>2576</v>
      </c>
      <c r="B630" s="82" t="s">
        <v>2577</v>
      </c>
      <c r="C630" s="82" t="s">
        <v>52</v>
      </c>
      <c r="D630" s="82" t="s">
        <v>2591</v>
      </c>
      <c r="E630" s="87" t="s">
        <v>2592</v>
      </c>
      <c r="F630" s="86" t="s">
        <v>1264</v>
      </c>
      <c r="G630" s="82">
        <v>3.0</v>
      </c>
      <c r="H630" s="82">
        <v>3.0</v>
      </c>
      <c r="I630" s="82">
        <v>3.0</v>
      </c>
      <c r="J630" s="83">
        <v>50.0</v>
      </c>
      <c r="K630" s="84">
        <v>16.66</v>
      </c>
      <c r="L630" s="82" t="s">
        <v>65</v>
      </c>
    </row>
    <row r="631" ht="15.0" customHeight="1">
      <c r="A631" s="82" t="s">
        <v>2593</v>
      </c>
      <c r="B631" s="82" t="s">
        <v>2594</v>
      </c>
      <c r="C631" s="82" t="s">
        <v>52</v>
      </c>
      <c r="D631" s="82" t="s">
        <v>2595</v>
      </c>
      <c r="E631" s="79" t="s">
        <v>2596</v>
      </c>
      <c r="F631" s="86" t="s">
        <v>1264</v>
      </c>
      <c r="G631" s="82">
        <v>3.0</v>
      </c>
      <c r="H631" s="82">
        <v>3.0</v>
      </c>
      <c r="I631" s="82">
        <v>8.0</v>
      </c>
      <c r="J631" s="83">
        <v>50.0</v>
      </c>
      <c r="K631" s="84">
        <v>16.66</v>
      </c>
      <c r="L631" s="82" t="s">
        <v>65</v>
      </c>
    </row>
    <row r="632" ht="15.0" customHeight="1">
      <c r="A632" s="82" t="s">
        <v>2597</v>
      </c>
      <c r="B632" s="82" t="s">
        <v>2598</v>
      </c>
      <c r="C632" s="82" t="s">
        <v>52</v>
      </c>
      <c r="D632" s="82" t="s">
        <v>2599</v>
      </c>
      <c r="E632" s="79" t="s">
        <v>2600</v>
      </c>
      <c r="F632" s="86" t="s">
        <v>259</v>
      </c>
      <c r="G632" s="82">
        <v>2.0</v>
      </c>
      <c r="H632" s="82">
        <v>2.0</v>
      </c>
      <c r="I632" s="82">
        <v>4.0</v>
      </c>
      <c r="J632" s="152">
        <v>50.0</v>
      </c>
      <c r="K632" s="84">
        <v>16.66</v>
      </c>
      <c r="L632" s="82" t="s">
        <v>65</v>
      </c>
    </row>
    <row r="633" ht="15.0" customHeight="1">
      <c r="A633" s="82" t="s">
        <v>2601</v>
      </c>
      <c r="B633" s="82" t="s">
        <v>2246</v>
      </c>
      <c r="C633" s="82" t="s">
        <v>52</v>
      </c>
      <c r="D633" s="82" t="s">
        <v>2602</v>
      </c>
      <c r="E633" s="79" t="s">
        <v>2603</v>
      </c>
      <c r="F633" s="86" t="s">
        <v>1264</v>
      </c>
      <c r="G633" s="82">
        <v>12.0</v>
      </c>
      <c r="H633" s="82">
        <v>2.0</v>
      </c>
      <c r="I633" s="82">
        <v>12.0</v>
      </c>
      <c r="J633" s="156">
        <v>50.0</v>
      </c>
      <c r="K633" s="186">
        <v>4.17</v>
      </c>
      <c r="L633" s="82" t="s">
        <v>65</v>
      </c>
    </row>
    <row r="634" ht="15.0" customHeight="1">
      <c r="A634" s="82" t="s">
        <v>2604</v>
      </c>
      <c r="B634" s="78" t="s">
        <v>2605</v>
      </c>
      <c r="C634" s="82" t="s">
        <v>52</v>
      </c>
      <c r="D634" s="82" t="s">
        <v>2606</v>
      </c>
      <c r="E634" s="79" t="s">
        <v>2607</v>
      </c>
      <c r="F634" s="86" t="s">
        <v>259</v>
      </c>
      <c r="G634" s="82">
        <v>7.0</v>
      </c>
      <c r="H634" s="82">
        <v>4.0</v>
      </c>
      <c r="I634" s="82">
        <v>10.0</v>
      </c>
      <c r="J634" s="152">
        <v>50.0</v>
      </c>
      <c r="K634" s="84">
        <v>7.14</v>
      </c>
      <c r="L634" s="82" t="s">
        <v>65</v>
      </c>
    </row>
    <row r="635" ht="15.0" customHeight="1">
      <c r="A635" s="82" t="s">
        <v>2608</v>
      </c>
      <c r="B635" s="78" t="s">
        <v>2605</v>
      </c>
      <c r="C635" s="78" t="s">
        <v>52</v>
      </c>
      <c r="D635" s="82" t="s">
        <v>2609</v>
      </c>
      <c r="E635" s="79" t="s">
        <v>2610</v>
      </c>
      <c r="F635" s="86" t="s">
        <v>1264</v>
      </c>
      <c r="G635" s="82">
        <v>7.0</v>
      </c>
      <c r="H635" s="82">
        <v>4.0</v>
      </c>
      <c r="I635" s="82">
        <v>10.0</v>
      </c>
      <c r="J635" s="152">
        <v>50.0</v>
      </c>
      <c r="K635" s="84">
        <v>7.14</v>
      </c>
      <c r="L635" s="82" t="s">
        <v>65</v>
      </c>
    </row>
    <row r="636" ht="15.0" customHeight="1">
      <c r="A636" s="82" t="s">
        <v>2611</v>
      </c>
      <c r="B636" s="85" t="s">
        <v>2612</v>
      </c>
      <c r="C636" s="82" t="s">
        <v>52</v>
      </c>
      <c r="D636" s="82" t="s">
        <v>2613</v>
      </c>
      <c r="E636" s="79" t="s">
        <v>2614</v>
      </c>
      <c r="F636" s="86" t="s">
        <v>1264</v>
      </c>
      <c r="G636" s="99">
        <v>7.0</v>
      </c>
      <c r="H636" s="185">
        <v>2.0</v>
      </c>
      <c r="I636" s="82">
        <v>7.0</v>
      </c>
      <c r="J636" s="156">
        <v>50.0</v>
      </c>
      <c r="K636" s="186">
        <v>7.14</v>
      </c>
      <c r="L636" s="82" t="s">
        <v>65</v>
      </c>
    </row>
    <row r="637" ht="15.0" customHeight="1">
      <c r="A637" s="82" t="s">
        <v>2615</v>
      </c>
      <c r="B637" s="78" t="s">
        <v>2616</v>
      </c>
      <c r="C637" s="82" t="s">
        <v>182</v>
      </c>
      <c r="D637" s="82" t="s">
        <v>2617</v>
      </c>
      <c r="E637" s="82" t="s">
        <v>2618</v>
      </c>
      <c r="F637" s="82" t="s">
        <v>1264</v>
      </c>
      <c r="G637" s="82">
        <v>3.0</v>
      </c>
      <c r="H637" s="82">
        <v>3.0</v>
      </c>
      <c r="I637" s="82">
        <v>3.0</v>
      </c>
      <c r="J637" s="82">
        <v>50.0</v>
      </c>
      <c r="K637" s="82">
        <v>16.66</v>
      </c>
      <c r="L637" s="82" t="s">
        <v>566</v>
      </c>
    </row>
    <row r="638" ht="15.0" customHeight="1">
      <c r="A638" s="82" t="s">
        <v>2619</v>
      </c>
      <c r="B638" s="82" t="s">
        <v>2620</v>
      </c>
      <c r="C638" s="82" t="s">
        <v>182</v>
      </c>
      <c r="D638" s="82" t="s">
        <v>2621</v>
      </c>
      <c r="E638" s="82" t="s">
        <v>2622</v>
      </c>
      <c r="F638" s="86" t="s">
        <v>2513</v>
      </c>
      <c r="G638" s="82">
        <v>5.0</v>
      </c>
      <c r="H638" s="82">
        <v>2.0</v>
      </c>
      <c r="I638" s="82">
        <v>5.0</v>
      </c>
      <c r="J638" s="152">
        <v>50.0</v>
      </c>
      <c r="K638" s="84" t="s">
        <v>2623</v>
      </c>
      <c r="L638" s="82" t="s">
        <v>566</v>
      </c>
    </row>
    <row r="639" ht="15.0" customHeight="1">
      <c r="A639" s="82" t="s">
        <v>2619</v>
      </c>
      <c r="B639" s="82" t="s">
        <v>2624</v>
      </c>
      <c r="C639" s="82" t="s">
        <v>182</v>
      </c>
      <c r="D639" s="82" t="s">
        <v>2625</v>
      </c>
      <c r="E639" s="82" t="s">
        <v>2626</v>
      </c>
      <c r="F639" s="86" t="s">
        <v>2513</v>
      </c>
      <c r="G639" s="82">
        <v>5.0</v>
      </c>
      <c r="H639" s="82">
        <v>5.0</v>
      </c>
      <c r="I639" s="82">
        <v>5.0</v>
      </c>
      <c r="J639" s="152">
        <v>50.0</v>
      </c>
      <c r="K639" s="84">
        <v>10.0</v>
      </c>
      <c r="L639" s="82" t="s">
        <v>566</v>
      </c>
    </row>
    <row r="640" ht="15.0" customHeight="1">
      <c r="A640" s="78" t="s">
        <v>2619</v>
      </c>
      <c r="B640" s="82" t="s">
        <v>2620</v>
      </c>
      <c r="C640" s="82" t="s">
        <v>182</v>
      </c>
      <c r="D640" s="82" t="s">
        <v>2627</v>
      </c>
      <c r="E640" s="82" t="s">
        <v>2628</v>
      </c>
      <c r="F640" s="82" t="s">
        <v>2513</v>
      </c>
      <c r="G640" s="82">
        <v>5.0</v>
      </c>
      <c r="H640" s="82">
        <v>2.0</v>
      </c>
      <c r="I640" s="82">
        <v>5.0</v>
      </c>
      <c r="J640" s="82">
        <v>50.0</v>
      </c>
      <c r="K640" s="82">
        <v>10.0</v>
      </c>
      <c r="L640" s="82" t="s">
        <v>566</v>
      </c>
    </row>
    <row r="641" ht="15.0" customHeight="1">
      <c r="A641" s="82" t="s">
        <v>2629</v>
      </c>
      <c r="B641" s="78" t="s">
        <v>2630</v>
      </c>
      <c r="C641" s="82" t="s">
        <v>182</v>
      </c>
      <c r="D641" s="82" t="s">
        <v>2631</v>
      </c>
      <c r="E641" s="82" t="s">
        <v>2632</v>
      </c>
      <c r="F641" s="86" t="s">
        <v>2513</v>
      </c>
      <c r="G641" s="82">
        <v>5.0</v>
      </c>
      <c r="H641" s="82">
        <v>2.0</v>
      </c>
      <c r="I641" s="82">
        <v>5.0</v>
      </c>
      <c r="J641" s="152">
        <v>50.0</v>
      </c>
      <c r="K641" s="84">
        <v>10.0</v>
      </c>
      <c r="L641" s="82" t="s">
        <v>566</v>
      </c>
    </row>
    <row r="642" ht="15.0" customHeight="1">
      <c r="A642" s="82" t="s">
        <v>2633</v>
      </c>
      <c r="B642" s="82" t="s">
        <v>2634</v>
      </c>
      <c r="C642" s="82" t="s">
        <v>182</v>
      </c>
      <c r="D642" s="82" t="s">
        <v>2635</v>
      </c>
      <c r="E642" s="82" t="s">
        <v>2636</v>
      </c>
      <c r="F642" s="86" t="s">
        <v>890</v>
      </c>
      <c r="G642" s="82">
        <v>4.0</v>
      </c>
      <c r="H642" s="82">
        <v>2.0</v>
      </c>
      <c r="I642" s="82">
        <v>4.0</v>
      </c>
      <c r="J642" s="152">
        <v>50.0</v>
      </c>
      <c r="K642" s="84">
        <v>12.5</v>
      </c>
      <c r="L642" s="82" t="s">
        <v>566</v>
      </c>
    </row>
    <row r="643" ht="15.0" customHeight="1">
      <c r="A643" s="82" t="s">
        <v>2637</v>
      </c>
      <c r="B643" s="82" t="s">
        <v>2638</v>
      </c>
      <c r="C643" s="82" t="s">
        <v>182</v>
      </c>
      <c r="D643" s="82" t="s">
        <v>2639</v>
      </c>
      <c r="E643" s="82" t="s">
        <v>2640</v>
      </c>
      <c r="F643" s="86" t="s">
        <v>890</v>
      </c>
      <c r="G643" s="82">
        <v>4.0</v>
      </c>
      <c r="H643" s="82">
        <v>2.0</v>
      </c>
      <c r="I643" s="82">
        <v>4.0</v>
      </c>
      <c r="J643" s="152">
        <v>50.0</v>
      </c>
      <c r="K643" s="84">
        <v>12.5</v>
      </c>
      <c r="L643" s="82" t="s">
        <v>566</v>
      </c>
    </row>
    <row r="644" ht="15.0" customHeight="1">
      <c r="A644" s="82" t="s">
        <v>2641</v>
      </c>
      <c r="B644" s="82" t="s">
        <v>2642</v>
      </c>
      <c r="C644" s="82" t="s">
        <v>182</v>
      </c>
      <c r="D644" s="82" t="s">
        <v>2643</v>
      </c>
      <c r="E644" s="82" t="s">
        <v>2644</v>
      </c>
      <c r="F644" s="82" t="s">
        <v>1264</v>
      </c>
      <c r="G644" s="82">
        <v>2.0</v>
      </c>
      <c r="H644" s="82">
        <v>2.0</v>
      </c>
      <c r="I644" s="82">
        <v>2.0</v>
      </c>
      <c r="J644" s="82">
        <v>50.0</v>
      </c>
      <c r="K644" s="82">
        <v>25.0</v>
      </c>
      <c r="L644" s="82" t="s">
        <v>566</v>
      </c>
    </row>
    <row r="645" ht="15.0" customHeight="1">
      <c r="A645" s="82" t="s">
        <v>2645</v>
      </c>
      <c r="B645" s="78" t="s">
        <v>2646</v>
      </c>
      <c r="C645" s="78" t="s">
        <v>182</v>
      </c>
      <c r="D645" s="155" t="s">
        <v>2647</v>
      </c>
      <c r="E645" s="155" t="s">
        <v>2648</v>
      </c>
      <c r="F645" s="86" t="s">
        <v>259</v>
      </c>
      <c r="G645" s="82">
        <v>2.0</v>
      </c>
      <c r="H645" s="82">
        <v>2.0</v>
      </c>
      <c r="I645" s="82">
        <v>2.0</v>
      </c>
      <c r="J645" s="152">
        <v>50.0</v>
      </c>
      <c r="K645" s="84">
        <v>25.0</v>
      </c>
      <c r="L645" s="82" t="s">
        <v>566</v>
      </c>
    </row>
    <row r="646" ht="15.0" customHeight="1">
      <c r="A646" s="82" t="s">
        <v>2645</v>
      </c>
      <c r="B646" s="78" t="s">
        <v>2646</v>
      </c>
      <c r="C646" s="78" t="s">
        <v>182</v>
      </c>
      <c r="D646" s="155" t="s">
        <v>2649</v>
      </c>
      <c r="E646" s="155" t="s">
        <v>2650</v>
      </c>
      <c r="F646" s="86" t="s">
        <v>259</v>
      </c>
      <c r="G646" s="82">
        <v>2.0</v>
      </c>
      <c r="H646" s="82">
        <v>2.0</v>
      </c>
      <c r="I646" s="82">
        <v>2.0</v>
      </c>
      <c r="J646" s="152">
        <v>50.0</v>
      </c>
      <c r="K646" s="84">
        <v>25.0</v>
      </c>
      <c r="L646" s="82" t="s">
        <v>566</v>
      </c>
    </row>
    <row r="647" ht="15.0" customHeight="1">
      <c r="A647" s="82" t="s">
        <v>2651</v>
      </c>
      <c r="B647" s="187" t="s">
        <v>2652</v>
      </c>
      <c r="C647" s="78" t="s">
        <v>182</v>
      </c>
      <c r="D647" s="155" t="s">
        <v>2653</v>
      </c>
      <c r="E647" s="155" t="s">
        <v>2654</v>
      </c>
      <c r="F647" s="86" t="s">
        <v>259</v>
      </c>
      <c r="G647" s="82">
        <v>3.0</v>
      </c>
      <c r="H647" s="82">
        <v>2.0</v>
      </c>
      <c r="I647" s="82">
        <v>3.0</v>
      </c>
      <c r="J647" s="152">
        <v>50.0</v>
      </c>
      <c r="K647" s="84">
        <v>16.66</v>
      </c>
      <c r="L647" s="82" t="s">
        <v>566</v>
      </c>
    </row>
    <row r="648" ht="15.0" customHeight="1">
      <c r="A648" s="82" t="s">
        <v>2651</v>
      </c>
      <c r="B648" s="187" t="s">
        <v>2652</v>
      </c>
      <c r="C648" s="78" t="s">
        <v>182</v>
      </c>
      <c r="D648" s="155" t="s">
        <v>2655</v>
      </c>
      <c r="E648" s="159" t="s">
        <v>2656</v>
      </c>
      <c r="F648" s="86" t="s">
        <v>259</v>
      </c>
      <c r="G648" s="82">
        <v>3.0</v>
      </c>
      <c r="H648" s="82">
        <v>2.0</v>
      </c>
      <c r="I648" s="82">
        <v>3.0</v>
      </c>
      <c r="J648" s="152">
        <v>50.0</v>
      </c>
      <c r="K648" s="84">
        <v>16.66</v>
      </c>
      <c r="L648" s="82" t="s">
        <v>566</v>
      </c>
    </row>
    <row r="649" ht="15.0" customHeight="1">
      <c r="A649" s="82" t="s">
        <v>2657</v>
      </c>
      <c r="B649" s="78" t="s">
        <v>2658</v>
      </c>
      <c r="C649" s="78" t="s">
        <v>182</v>
      </c>
      <c r="D649" s="155" t="s">
        <v>2659</v>
      </c>
      <c r="E649" s="155" t="s">
        <v>2660</v>
      </c>
      <c r="F649" s="86" t="s">
        <v>259</v>
      </c>
      <c r="G649" s="82">
        <v>3.0</v>
      </c>
      <c r="H649" s="82">
        <v>3.0</v>
      </c>
      <c r="I649" s="82">
        <v>3.0</v>
      </c>
      <c r="J649" s="152">
        <v>50.0</v>
      </c>
      <c r="K649" s="84">
        <v>16.66</v>
      </c>
      <c r="L649" s="82" t="s">
        <v>566</v>
      </c>
    </row>
    <row r="650" ht="15.0" customHeight="1">
      <c r="A650" s="82" t="s">
        <v>2657</v>
      </c>
      <c r="B650" s="78" t="s">
        <v>2658</v>
      </c>
      <c r="C650" s="78" t="s">
        <v>182</v>
      </c>
      <c r="D650" s="82" t="s">
        <v>2661</v>
      </c>
      <c r="E650" s="79" t="s">
        <v>2662</v>
      </c>
      <c r="F650" s="86" t="s">
        <v>259</v>
      </c>
      <c r="G650" s="82">
        <v>3.0</v>
      </c>
      <c r="H650" s="82">
        <v>3.0</v>
      </c>
      <c r="I650" s="82">
        <v>3.0</v>
      </c>
      <c r="J650" s="152">
        <v>50.0</v>
      </c>
      <c r="K650" s="84">
        <v>16.66</v>
      </c>
      <c r="L650" s="82" t="s">
        <v>566</v>
      </c>
    </row>
    <row r="651" ht="15.0" customHeight="1">
      <c r="A651" s="82" t="s">
        <v>2657</v>
      </c>
      <c r="B651" s="78" t="s">
        <v>2658</v>
      </c>
      <c r="C651" s="78" t="s">
        <v>182</v>
      </c>
      <c r="D651" s="82" t="s">
        <v>2663</v>
      </c>
      <c r="E651" s="82" t="s">
        <v>2664</v>
      </c>
      <c r="F651" s="86" t="s">
        <v>259</v>
      </c>
      <c r="G651" s="82">
        <v>3.0</v>
      </c>
      <c r="H651" s="82">
        <v>3.0</v>
      </c>
      <c r="I651" s="82">
        <v>3.0</v>
      </c>
      <c r="J651" s="152">
        <v>50.0</v>
      </c>
      <c r="K651" s="84">
        <v>16.66</v>
      </c>
      <c r="L651" s="82" t="s">
        <v>566</v>
      </c>
    </row>
    <row r="652" ht="15.0" customHeight="1">
      <c r="A652" s="82" t="s">
        <v>2665</v>
      </c>
      <c r="B652" s="78" t="s">
        <v>2666</v>
      </c>
      <c r="C652" s="78" t="s">
        <v>182</v>
      </c>
      <c r="D652" s="177" t="s">
        <v>2667</v>
      </c>
      <c r="E652" s="82" t="s">
        <v>2668</v>
      </c>
      <c r="F652" s="86" t="s">
        <v>259</v>
      </c>
      <c r="G652" s="82">
        <v>3.0</v>
      </c>
      <c r="H652" s="82">
        <v>3.0</v>
      </c>
      <c r="I652" s="82">
        <v>3.0</v>
      </c>
      <c r="J652" s="152">
        <v>50.0</v>
      </c>
      <c r="K652" s="84">
        <v>16.66</v>
      </c>
      <c r="L652" s="82" t="s">
        <v>566</v>
      </c>
    </row>
    <row r="653" ht="15.0" customHeight="1">
      <c r="A653" s="82" t="s">
        <v>2665</v>
      </c>
      <c r="B653" s="78" t="s">
        <v>2666</v>
      </c>
      <c r="C653" s="78" t="s">
        <v>182</v>
      </c>
      <c r="D653" s="177" t="s">
        <v>2669</v>
      </c>
      <c r="E653" s="79" t="s">
        <v>2670</v>
      </c>
      <c r="F653" s="86" t="s">
        <v>1264</v>
      </c>
      <c r="G653" s="82">
        <v>3.0</v>
      </c>
      <c r="H653" s="82">
        <v>3.0</v>
      </c>
      <c r="I653" s="82">
        <v>3.0</v>
      </c>
      <c r="J653" s="152">
        <v>50.0</v>
      </c>
      <c r="K653" s="84">
        <v>16.66</v>
      </c>
      <c r="L653" s="82" t="s">
        <v>566</v>
      </c>
    </row>
    <row r="654" ht="15.0" customHeight="1">
      <c r="A654" s="82" t="s">
        <v>2665</v>
      </c>
      <c r="B654" s="78" t="s">
        <v>2666</v>
      </c>
      <c r="C654" s="78" t="s">
        <v>182</v>
      </c>
      <c r="D654" s="177" t="s">
        <v>2671</v>
      </c>
      <c r="E654" s="79" t="s">
        <v>2672</v>
      </c>
      <c r="F654" s="86" t="s">
        <v>1264</v>
      </c>
      <c r="G654" s="82">
        <v>3.0</v>
      </c>
      <c r="H654" s="82">
        <v>3.0</v>
      </c>
      <c r="I654" s="82">
        <v>3.0</v>
      </c>
      <c r="J654" s="152">
        <v>50.0</v>
      </c>
      <c r="K654" s="84">
        <v>16.66</v>
      </c>
      <c r="L654" s="82" t="s">
        <v>566</v>
      </c>
    </row>
    <row r="655" ht="15.0" customHeight="1">
      <c r="A655" s="82" t="s">
        <v>2665</v>
      </c>
      <c r="B655" s="78" t="s">
        <v>2666</v>
      </c>
      <c r="C655" s="78" t="s">
        <v>182</v>
      </c>
      <c r="D655" s="177" t="s">
        <v>2673</v>
      </c>
      <c r="E655" s="79" t="s">
        <v>2674</v>
      </c>
      <c r="F655" s="86" t="s">
        <v>1264</v>
      </c>
      <c r="G655" s="82">
        <v>3.0</v>
      </c>
      <c r="H655" s="82">
        <v>3.0</v>
      </c>
      <c r="I655" s="82">
        <v>3.0</v>
      </c>
      <c r="J655" s="152">
        <v>50.0</v>
      </c>
      <c r="K655" s="84">
        <v>16.66</v>
      </c>
      <c r="L655" s="82" t="s">
        <v>566</v>
      </c>
    </row>
    <row r="656" ht="15.0" customHeight="1">
      <c r="A656" s="82" t="s">
        <v>2675</v>
      </c>
      <c r="B656" s="82" t="s">
        <v>2676</v>
      </c>
      <c r="C656" s="82" t="s">
        <v>182</v>
      </c>
      <c r="D656" s="177" t="s">
        <v>2677</v>
      </c>
      <c r="E656" s="79" t="s">
        <v>2678</v>
      </c>
      <c r="F656" s="86" t="s">
        <v>1264</v>
      </c>
      <c r="G656" s="82">
        <v>3.0</v>
      </c>
      <c r="H656" s="82">
        <v>3.0</v>
      </c>
      <c r="I656" s="82">
        <v>3.0</v>
      </c>
      <c r="J656" s="152">
        <v>50.0</v>
      </c>
      <c r="K656" s="84">
        <v>16.66</v>
      </c>
      <c r="L656" s="82" t="s">
        <v>566</v>
      </c>
    </row>
    <row r="657" ht="15.0" customHeight="1">
      <c r="A657" s="82" t="s">
        <v>2679</v>
      </c>
      <c r="B657" s="78" t="s">
        <v>2680</v>
      </c>
      <c r="C657" s="78" t="s">
        <v>182</v>
      </c>
      <c r="D657" s="177" t="s">
        <v>2681</v>
      </c>
      <c r="E657" s="79" t="s">
        <v>2682</v>
      </c>
      <c r="F657" s="86" t="s">
        <v>1264</v>
      </c>
      <c r="G657" s="82">
        <v>3.0</v>
      </c>
      <c r="H657" s="82">
        <v>2.0</v>
      </c>
      <c r="I657" s="82">
        <v>3.0</v>
      </c>
      <c r="J657" s="152">
        <v>50.0</v>
      </c>
      <c r="K657" s="84">
        <v>16.66</v>
      </c>
      <c r="L657" s="82" t="s">
        <v>566</v>
      </c>
    </row>
    <row r="658" ht="15.0" customHeight="1">
      <c r="A658" s="82" t="s">
        <v>2679</v>
      </c>
      <c r="B658" s="78" t="s">
        <v>2680</v>
      </c>
      <c r="C658" s="78" t="s">
        <v>182</v>
      </c>
      <c r="D658" s="177" t="s">
        <v>2683</v>
      </c>
      <c r="E658" s="79" t="s">
        <v>2684</v>
      </c>
      <c r="F658" s="86" t="s">
        <v>1264</v>
      </c>
      <c r="G658" s="82">
        <v>3.0</v>
      </c>
      <c r="H658" s="82">
        <v>2.0</v>
      </c>
      <c r="I658" s="82">
        <v>3.0</v>
      </c>
      <c r="J658" s="152">
        <v>50.0</v>
      </c>
      <c r="K658" s="84">
        <v>16.66</v>
      </c>
      <c r="L658" s="82" t="s">
        <v>566</v>
      </c>
    </row>
    <row r="659" ht="15.0" customHeight="1">
      <c r="A659" s="82" t="s">
        <v>2685</v>
      </c>
      <c r="B659" s="82" t="s">
        <v>2686</v>
      </c>
      <c r="C659" s="82" t="s">
        <v>182</v>
      </c>
      <c r="D659" s="177" t="s">
        <v>2687</v>
      </c>
      <c r="E659" s="79" t="s">
        <v>2688</v>
      </c>
      <c r="F659" s="86" t="s">
        <v>314</v>
      </c>
      <c r="G659" s="82">
        <v>2.0</v>
      </c>
      <c r="H659" s="82">
        <v>2.0</v>
      </c>
      <c r="I659" s="82">
        <v>2.0</v>
      </c>
      <c r="J659" s="152">
        <v>50.0</v>
      </c>
      <c r="K659" s="84">
        <v>25.0</v>
      </c>
      <c r="L659" s="82" t="s">
        <v>566</v>
      </c>
    </row>
    <row r="660" ht="15.0" customHeight="1">
      <c r="A660" s="82" t="s">
        <v>2689</v>
      </c>
      <c r="B660" s="82" t="s">
        <v>2690</v>
      </c>
      <c r="C660" s="82" t="s">
        <v>182</v>
      </c>
      <c r="D660" s="177" t="s">
        <v>2691</v>
      </c>
      <c r="E660" s="79" t="s">
        <v>2692</v>
      </c>
      <c r="F660" s="86" t="s">
        <v>1264</v>
      </c>
      <c r="G660" s="82">
        <v>2.0</v>
      </c>
      <c r="H660" s="82">
        <v>2.0</v>
      </c>
      <c r="I660" s="82">
        <v>2.0</v>
      </c>
      <c r="J660" s="152">
        <v>50.0</v>
      </c>
      <c r="K660" s="84">
        <v>25.0</v>
      </c>
      <c r="L660" s="82" t="s">
        <v>566</v>
      </c>
    </row>
    <row r="661" ht="15.0" customHeight="1">
      <c r="A661" s="155" t="s">
        <v>2685</v>
      </c>
      <c r="B661" s="155" t="s">
        <v>2693</v>
      </c>
      <c r="C661" s="155" t="s">
        <v>182</v>
      </c>
      <c r="D661" s="155" t="s">
        <v>2694</v>
      </c>
      <c r="E661" s="159" t="s">
        <v>2695</v>
      </c>
      <c r="F661" s="86" t="s">
        <v>1264</v>
      </c>
      <c r="G661" s="82">
        <v>2.0</v>
      </c>
      <c r="H661" s="82">
        <v>2.0</v>
      </c>
      <c r="I661" s="82">
        <v>2.0</v>
      </c>
      <c r="J661" s="152">
        <v>50.0</v>
      </c>
      <c r="K661" s="84">
        <v>25.0</v>
      </c>
      <c r="L661" s="82" t="s">
        <v>566</v>
      </c>
    </row>
    <row r="662" ht="15.0" customHeight="1">
      <c r="A662" s="82" t="s">
        <v>2645</v>
      </c>
      <c r="B662" s="82" t="s">
        <v>2646</v>
      </c>
      <c r="C662" s="82" t="s">
        <v>182</v>
      </c>
      <c r="D662" s="82" t="s">
        <v>2696</v>
      </c>
      <c r="E662" s="82" t="s">
        <v>2697</v>
      </c>
      <c r="F662" s="86" t="s">
        <v>2698</v>
      </c>
      <c r="G662" s="82">
        <v>2.0</v>
      </c>
      <c r="H662" s="82">
        <v>2.0</v>
      </c>
      <c r="I662" s="82">
        <v>2.0</v>
      </c>
      <c r="J662" s="152">
        <v>50.0</v>
      </c>
      <c r="K662" s="84">
        <v>25.0</v>
      </c>
      <c r="L662" s="82" t="s">
        <v>566</v>
      </c>
    </row>
    <row r="663" ht="15.0" customHeight="1">
      <c r="A663" s="82" t="s">
        <v>2699</v>
      </c>
      <c r="B663" s="78" t="s">
        <v>2700</v>
      </c>
      <c r="C663" s="82" t="s">
        <v>94</v>
      </c>
      <c r="D663" s="82" t="s">
        <v>2701</v>
      </c>
      <c r="E663" s="79" t="s">
        <v>2702</v>
      </c>
      <c r="F663" s="82" t="s">
        <v>2703</v>
      </c>
      <c r="G663" s="82">
        <v>2.0</v>
      </c>
      <c r="H663" s="82">
        <v>2.0</v>
      </c>
      <c r="I663" s="82">
        <v>2.0</v>
      </c>
      <c r="J663" s="82">
        <v>50.0</v>
      </c>
      <c r="K663" s="82">
        <f>50/2</f>
        <v>25</v>
      </c>
      <c r="L663" s="82" t="s">
        <v>2704</v>
      </c>
    </row>
    <row r="664" ht="15.0" customHeight="1">
      <c r="A664" s="82" t="s">
        <v>2699</v>
      </c>
      <c r="B664" s="78" t="s">
        <v>2700</v>
      </c>
      <c r="C664" s="82" t="s">
        <v>94</v>
      </c>
      <c r="D664" s="82" t="s">
        <v>2705</v>
      </c>
      <c r="E664" s="79" t="s">
        <v>2706</v>
      </c>
      <c r="F664" s="86" t="s">
        <v>1833</v>
      </c>
      <c r="G664" s="82">
        <v>2.0</v>
      </c>
      <c r="H664" s="82">
        <v>2.0</v>
      </c>
      <c r="I664" s="82">
        <v>2.0</v>
      </c>
      <c r="J664" s="152">
        <v>50.0</v>
      </c>
      <c r="K664" s="84">
        <f t="shared" ref="K664:K665" si="18">J664/2</f>
        <v>25</v>
      </c>
      <c r="L664" s="82" t="s">
        <v>2704</v>
      </c>
    </row>
    <row r="665" ht="15.0" customHeight="1">
      <c r="A665" s="85" t="s">
        <v>2707</v>
      </c>
      <c r="B665" s="78" t="s">
        <v>2708</v>
      </c>
      <c r="C665" s="78" t="s">
        <v>94</v>
      </c>
      <c r="D665" s="82" t="s">
        <v>2709</v>
      </c>
      <c r="E665" s="82" t="s">
        <v>2710</v>
      </c>
      <c r="F665" s="86" t="s">
        <v>2711</v>
      </c>
      <c r="G665" s="82">
        <v>2.0</v>
      </c>
      <c r="H665" s="82">
        <v>2.0</v>
      </c>
      <c r="I665" s="82">
        <v>2.0</v>
      </c>
      <c r="J665" s="152">
        <v>50.0</v>
      </c>
      <c r="K665" s="84">
        <f t="shared" si="18"/>
        <v>25</v>
      </c>
      <c r="L665" s="82" t="s">
        <v>2704</v>
      </c>
    </row>
    <row r="666" ht="15.0" customHeight="1">
      <c r="A666" s="82" t="s">
        <v>2712</v>
      </c>
      <c r="B666" s="82" t="s">
        <v>2713</v>
      </c>
      <c r="C666" s="82" t="s">
        <v>94</v>
      </c>
      <c r="D666" s="82" t="s">
        <v>2714</v>
      </c>
      <c r="E666" s="79" t="s">
        <v>2715</v>
      </c>
      <c r="F666" s="86" t="s">
        <v>1833</v>
      </c>
      <c r="G666" s="82">
        <v>3.0</v>
      </c>
      <c r="H666" s="82">
        <v>3.0</v>
      </c>
      <c r="I666" s="82">
        <v>3.0</v>
      </c>
      <c r="J666" s="152">
        <v>50.0</v>
      </c>
      <c r="K666" s="84">
        <f t="shared" ref="K666:K676" si="19">J666/3</f>
        <v>16.66666667</v>
      </c>
      <c r="L666" s="82" t="s">
        <v>590</v>
      </c>
    </row>
    <row r="667" ht="15.0" customHeight="1">
      <c r="A667" s="82" t="s">
        <v>2712</v>
      </c>
      <c r="B667" s="82" t="s">
        <v>2713</v>
      </c>
      <c r="C667" s="82" t="s">
        <v>94</v>
      </c>
      <c r="D667" s="82" t="s">
        <v>2716</v>
      </c>
      <c r="E667" s="79" t="s">
        <v>2717</v>
      </c>
      <c r="F667" s="86" t="s">
        <v>1833</v>
      </c>
      <c r="G667" s="82">
        <v>3.0</v>
      </c>
      <c r="H667" s="82">
        <v>3.0</v>
      </c>
      <c r="I667" s="82">
        <v>3.0</v>
      </c>
      <c r="J667" s="152">
        <v>50.0</v>
      </c>
      <c r="K667" s="84">
        <f t="shared" si="19"/>
        <v>16.66666667</v>
      </c>
      <c r="L667" s="82" t="s">
        <v>590</v>
      </c>
    </row>
    <row r="668" ht="15.0" customHeight="1">
      <c r="A668" s="82" t="s">
        <v>2712</v>
      </c>
      <c r="B668" s="82" t="s">
        <v>2713</v>
      </c>
      <c r="C668" s="82" t="s">
        <v>94</v>
      </c>
      <c r="D668" s="82" t="s">
        <v>2718</v>
      </c>
      <c r="E668" s="79" t="s">
        <v>2719</v>
      </c>
      <c r="F668" s="86" t="s">
        <v>259</v>
      </c>
      <c r="G668" s="82">
        <v>3.0</v>
      </c>
      <c r="H668" s="82">
        <v>3.0</v>
      </c>
      <c r="I668" s="82">
        <v>3.0</v>
      </c>
      <c r="J668" s="152">
        <v>50.0</v>
      </c>
      <c r="K668" s="84">
        <f t="shared" si="19"/>
        <v>16.66666667</v>
      </c>
      <c r="L668" s="82" t="s">
        <v>590</v>
      </c>
    </row>
    <row r="669" ht="15.0" customHeight="1">
      <c r="A669" s="82" t="s">
        <v>2712</v>
      </c>
      <c r="B669" s="82" t="s">
        <v>2713</v>
      </c>
      <c r="C669" s="82" t="s">
        <v>94</v>
      </c>
      <c r="D669" s="82" t="s">
        <v>2720</v>
      </c>
      <c r="E669" s="79" t="s">
        <v>2719</v>
      </c>
      <c r="F669" s="86" t="s">
        <v>259</v>
      </c>
      <c r="G669" s="82">
        <v>3.0</v>
      </c>
      <c r="H669" s="82">
        <v>3.0</v>
      </c>
      <c r="I669" s="82">
        <v>3.0</v>
      </c>
      <c r="J669" s="152">
        <v>50.0</v>
      </c>
      <c r="K669" s="84">
        <f t="shared" si="19"/>
        <v>16.66666667</v>
      </c>
      <c r="L669" s="82" t="s">
        <v>590</v>
      </c>
    </row>
    <row r="670" ht="15.0" customHeight="1">
      <c r="A670" s="82" t="s">
        <v>2712</v>
      </c>
      <c r="B670" s="82" t="s">
        <v>2713</v>
      </c>
      <c r="C670" s="82" t="s">
        <v>94</v>
      </c>
      <c r="D670" s="82" t="s">
        <v>2721</v>
      </c>
      <c r="E670" s="79" t="s">
        <v>2719</v>
      </c>
      <c r="F670" s="86" t="s">
        <v>259</v>
      </c>
      <c r="G670" s="82">
        <v>3.0</v>
      </c>
      <c r="H670" s="82">
        <v>3.0</v>
      </c>
      <c r="I670" s="82">
        <v>3.0</v>
      </c>
      <c r="J670" s="152">
        <v>50.0</v>
      </c>
      <c r="K670" s="84">
        <f t="shared" si="19"/>
        <v>16.66666667</v>
      </c>
      <c r="L670" s="82" t="s">
        <v>590</v>
      </c>
    </row>
    <row r="671" ht="15.0" customHeight="1">
      <c r="A671" s="82" t="s">
        <v>2712</v>
      </c>
      <c r="B671" s="82" t="s">
        <v>2713</v>
      </c>
      <c r="C671" s="82" t="s">
        <v>94</v>
      </c>
      <c r="D671" s="82" t="s">
        <v>2722</v>
      </c>
      <c r="E671" s="79" t="s">
        <v>2723</v>
      </c>
      <c r="F671" s="86" t="s">
        <v>259</v>
      </c>
      <c r="G671" s="82">
        <v>3.0</v>
      </c>
      <c r="H671" s="82">
        <v>3.0</v>
      </c>
      <c r="I671" s="82">
        <v>3.0</v>
      </c>
      <c r="J671" s="152">
        <v>50.0</v>
      </c>
      <c r="K671" s="84">
        <f t="shared" si="19"/>
        <v>16.66666667</v>
      </c>
      <c r="L671" s="82" t="s">
        <v>590</v>
      </c>
    </row>
    <row r="672" ht="15.0" customHeight="1">
      <c r="A672" s="82" t="s">
        <v>2724</v>
      </c>
      <c r="B672" s="82" t="s">
        <v>600</v>
      </c>
      <c r="C672" s="82" t="s">
        <v>94</v>
      </c>
      <c r="D672" s="82" t="s">
        <v>2725</v>
      </c>
      <c r="E672" s="79" t="s">
        <v>2726</v>
      </c>
      <c r="F672" s="86" t="s">
        <v>1833</v>
      </c>
      <c r="G672" s="82">
        <v>3.0</v>
      </c>
      <c r="H672" s="82">
        <v>3.0</v>
      </c>
      <c r="I672" s="82">
        <v>3.0</v>
      </c>
      <c r="J672" s="152">
        <v>50.0</v>
      </c>
      <c r="K672" s="84">
        <f t="shared" si="19"/>
        <v>16.66666667</v>
      </c>
      <c r="L672" s="82" t="s">
        <v>590</v>
      </c>
    </row>
    <row r="673" ht="15.0" customHeight="1">
      <c r="A673" s="82" t="s">
        <v>2724</v>
      </c>
      <c r="B673" s="82" t="s">
        <v>600</v>
      </c>
      <c r="C673" s="82" t="s">
        <v>94</v>
      </c>
      <c r="D673" s="82" t="s">
        <v>2727</v>
      </c>
      <c r="E673" s="79" t="s">
        <v>2728</v>
      </c>
      <c r="F673" s="86" t="s">
        <v>1833</v>
      </c>
      <c r="G673" s="82">
        <v>3.0</v>
      </c>
      <c r="H673" s="82">
        <v>3.0</v>
      </c>
      <c r="I673" s="82">
        <v>3.0</v>
      </c>
      <c r="J673" s="152">
        <v>50.0</v>
      </c>
      <c r="K673" s="84">
        <f t="shared" si="19"/>
        <v>16.66666667</v>
      </c>
      <c r="L673" s="82" t="s">
        <v>590</v>
      </c>
    </row>
    <row r="674" ht="15.0" customHeight="1">
      <c r="A674" s="82" t="s">
        <v>2724</v>
      </c>
      <c r="B674" s="82" t="s">
        <v>600</v>
      </c>
      <c r="C674" s="82" t="s">
        <v>94</v>
      </c>
      <c r="D674" s="82" t="s">
        <v>2729</v>
      </c>
      <c r="E674" s="79" t="s">
        <v>2730</v>
      </c>
      <c r="F674" s="86" t="s">
        <v>259</v>
      </c>
      <c r="G674" s="82">
        <v>3.0</v>
      </c>
      <c r="H674" s="82">
        <v>3.0</v>
      </c>
      <c r="I674" s="82">
        <v>3.0</v>
      </c>
      <c r="J674" s="152">
        <v>50.0</v>
      </c>
      <c r="K674" s="84">
        <f t="shared" si="19"/>
        <v>16.66666667</v>
      </c>
      <c r="L674" s="82" t="s">
        <v>590</v>
      </c>
    </row>
    <row r="675" ht="15.0" customHeight="1">
      <c r="A675" s="82" t="s">
        <v>2731</v>
      </c>
      <c r="B675" s="82" t="s">
        <v>2732</v>
      </c>
      <c r="C675" s="82" t="s">
        <v>94</v>
      </c>
      <c r="D675" s="82" t="s">
        <v>2733</v>
      </c>
      <c r="E675" s="79" t="s">
        <v>2734</v>
      </c>
      <c r="F675" s="86" t="s">
        <v>1833</v>
      </c>
      <c r="G675" s="82">
        <v>3.0</v>
      </c>
      <c r="H675" s="82">
        <v>2.0</v>
      </c>
      <c r="I675" s="82">
        <v>4.0</v>
      </c>
      <c r="J675" s="152">
        <v>50.0</v>
      </c>
      <c r="K675" s="84">
        <f t="shared" si="19"/>
        <v>16.66666667</v>
      </c>
      <c r="L675" s="82" t="s">
        <v>590</v>
      </c>
    </row>
    <row r="676" ht="15.0" customHeight="1">
      <c r="A676" s="82" t="s">
        <v>2731</v>
      </c>
      <c r="B676" s="82" t="s">
        <v>2732</v>
      </c>
      <c r="C676" s="82" t="s">
        <v>94</v>
      </c>
      <c r="D676" s="82" t="s">
        <v>2735</v>
      </c>
      <c r="E676" s="79" t="s">
        <v>2736</v>
      </c>
      <c r="F676" s="86" t="s">
        <v>259</v>
      </c>
      <c r="G676" s="82">
        <v>3.0</v>
      </c>
      <c r="H676" s="82">
        <v>2.0</v>
      </c>
      <c r="I676" s="82">
        <v>4.0</v>
      </c>
      <c r="J676" s="152">
        <v>50.0</v>
      </c>
      <c r="K676" s="84">
        <f t="shared" si="19"/>
        <v>16.66666667</v>
      </c>
      <c r="L676" s="82" t="s">
        <v>590</v>
      </c>
    </row>
    <row r="677" ht="15.0" customHeight="1">
      <c r="A677" s="82" t="s">
        <v>2737</v>
      </c>
      <c r="B677" s="82" t="s">
        <v>2738</v>
      </c>
      <c r="C677" s="82" t="s">
        <v>94</v>
      </c>
      <c r="D677" s="82" t="s">
        <v>2739</v>
      </c>
      <c r="E677" s="79" t="s">
        <v>2740</v>
      </c>
      <c r="F677" s="86" t="s">
        <v>1833</v>
      </c>
      <c r="G677" s="82">
        <v>7.0</v>
      </c>
      <c r="H677" s="82">
        <v>7.0</v>
      </c>
      <c r="I677" s="82">
        <v>7.0</v>
      </c>
      <c r="J677" s="152">
        <v>50.0</v>
      </c>
      <c r="K677" s="84">
        <f t="shared" ref="K677:K680" si="20">J677/7</f>
        <v>7.142857143</v>
      </c>
      <c r="L677" s="82" t="s">
        <v>590</v>
      </c>
    </row>
    <row r="678" ht="15.0" customHeight="1">
      <c r="A678" s="82" t="s">
        <v>2737</v>
      </c>
      <c r="B678" s="82" t="s">
        <v>2738</v>
      </c>
      <c r="C678" s="82" t="s">
        <v>94</v>
      </c>
      <c r="D678" s="82" t="s">
        <v>2741</v>
      </c>
      <c r="E678" s="79" t="s">
        <v>2742</v>
      </c>
      <c r="F678" s="86" t="s">
        <v>1833</v>
      </c>
      <c r="G678" s="82">
        <v>7.0</v>
      </c>
      <c r="H678" s="82">
        <v>7.0</v>
      </c>
      <c r="I678" s="82">
        <v>7.0</v>
      </c>
      <c r="J678" s="152">
        <v>50.0</v>
      </c>
      <c r="K678" s="84">
        <f t="shared" si="20"/>
        <v>7.142857143</v>
      </c>
      <c r="L678" s="82" t="s">
        <v>590</v>
      </c>
    </row>
    <row r="679" ht="15.0" customHeight="1">
      <c r="A679" s="82" t="s">
        <v>2737</v>
      </c>
      <c r="B679" s="82" t="s">
        <v>2738</v>
      </c>
      <c r="C679" s="82" t="s">
        <v>94</v>
      </c>
      <c r="D679" s="82" t="s">
        <v>2743</v>
      </c>
      <c r="E679" s="79" t="s">
        <v>2744</v>
      </c>
      <c r="F679" s="86" t="s">
        <v>1833</v>
      </c>
      <c r="G679" s="82">
        <v>7.0</v>
      </c>
      <c r="H679" s="82">
        <v>7.0</v>
      </c>
      <c r="I679" s="82">
        <v>7.0</v>
      </c>
      <c r="J679" s="152">
        <v>50.0</v>
      </c>
      <c r="K679" s="84">
        <f t="shared" si="20"/>
        <v>7.142857143</v>
      </c>
      <c r="L679" s="82" t="s">
        <v>590</v>
      </c>
    </row>
    <row r="680" ht="15.0" customHeight="1">
      <c r="A680" s="82" t="s">
        <v>2737</v>
      </c>
      <c r="B680" s="82" t="s">
        <v>2738</v>
      </c>
      <c r="C680" s="82" t="s">
        <v>94</v>
      </c>
      <c r="D680" s="82" t="s">
        <v>2745</v>
      </c>
      <c r="E680" s="79" t="s">
        <v>2746</v>
      </c>
      <c r="F680" s="86" t="s">
        <v>259</v>
      </c>
      <c r="G680" s="82">
        <v>7.0</v>
      </c>
      <c r="H680" s="82">
        <v>7.0</v>
      </c>
      <c r="I680" s="82">
        <v>7.0</v>
      </c>
      <c r="J680" s="152">
        <v>50.0</v>
      </c>
      <c r="K680" s="84">
        <f t="shared" si="20"/>
        <v>7.142857143</v>
      </c>
      <c r="L680" s="82" t="s">
        <v>590</v>
      </c>
    </row>
    <row r="681" ht="15.0" customHeight="1">
      <c r="A681" s="82" t="s">
        <v>2747</v>
      </c>
      <c r="B681" s="82" t="s">
        <v>2748</v>
      </c>
      <c r="C681" s="82" t="s">
        <v>94</v>
      </c>
      <c r="D681" s="82" t="s">
        <v>2749</v>
      </c>
      <c r="E681" s="79" t="s">
        <v>2750</v>
      </c>
      <c r="F681" s="86" t="s">
        <v>1833</v>
      </c>
      <c r="G681" s="82">
        <v>5.0</v>
      </c>
      <c r="H681" s="82">
        <v>5.0</v>
      </c>
      <c r="I681" s="82">
        <v>7.0</v>
      </c>
      <c r="J681" s="152">
        <v>50.0</v>
      </c>
      <c r="K681" s="84">
        <v>10.0</v>
      </c>
      <c r="L681" s="82" t="s">
        <v>590</v>
      </c>
    </row>
    <row r="682" ht="15.0" customHeight="1">
      <c r="A682" s="82" t="s">
        <v>2747</v>
      </c>
      <c r="B682" s="82" t="s">
        <v>2748</v>
      </c>
      <c r="C682" s="82" t="s">
        <v>94</v>
      </c>
      <c r="D682" s="82" t="s">
        <v>2751</v>
      </c>
      <c r="E682" s="79" t="s">
        <v>2752</v>
      </c>
      <c r="F682" s="86" t="s">
        <v>1833</v>
      </c>
      <c r="G682" s="82">
        <v>5.0</v>
      </c>
      <c r="H682" s="82">
        <v>5.0</v>
      </c>
      <c r="I682" s="82">
        <v>7.0</v>
      </c>
      <c r="J682" s="152">
        <v>50.0</v>
      </c>
      <c r="K682" s="84">
        <v>10.0</v>
      </c>
      <c r="L682" s="82" t="s">
        <v>590</v>
      </c>
    </row>
    <row r="683" ht="15.0" customHeight="1">
      <c r="A683" s="82" t="s">
        <v>2747</v>
      </c>
      <c r="B683" s="82" t="s">
        <v>2748</v>
      </c>
      <c r="C683" s="82" t="s">
        <v>94</v>
      </c>
      <c r="D683" s="82" t="s">
        <v>2753</v>
      </c>
      <c r="E683" s="79" t="s">
        <v>2744</v>
      </c>
      <c r="F683" s="86" t="s">
        <v>1833</v>
      </c>
      <c r="G683" s="82">
        <v>5.0</v>
      </c>
      <c r="H683" s="82">
        <v>5.0</v>
      </c>
      <c r="I683" s="82">
        <v>7.0</v>
      </c>
      <c r="J683" s="152">
        <v>50.0</v>
      </c>
      <c r="K683" s="84">
        <v>10.0</v>
      </c>
      <c r="L683" s="82" t="s">
        <v>590</v>
      </c>
    </row>
    <row r="684" ht="15.0" customHeight="1">
      <c r="A684" s="82" t="s">
        <v>2747</v>
      </c>
      <c r="B684" s="82" t="s">
        <v>2748</v>
      </c>
      <c r="C684" s="82" t="s">
        <v>94</v>
      </c>
      <c r="D684" s="82" t="s">
        <v>2754</v>
      </c>
      <c r="E684" s="79" t="s">
        <v>2755</v>
      </c>
      <c r="F684" s="86" t="s">
        <v>1833</v>
      </c>
      <c r="G684" s="82">
        <v>5.0</v>
      </c>
      <c r="H684" s="82">
        <v>5.0</v>
      </c>
      <c r="I684" s="82">
        <v>7.0</v>
      </c>
      <c r="J684" s="152">
        <v>50.0</v>
      </c>
      <c r="K684" s="84">
        <v>10.0</v>
      </c>
      <c r="L684" s="82" t="s">
        <v>590</v>
      </c>
    </row>
    <row r="685" ht="15.0" customHeight="1">
      <c r="A685" s="82" t="s">
        <v>2747</v>
      </c>
      <c r="B685" s="82" t="s">
        <v>2748</v>
      </c>
      <c r="C685" s="82" t="s">
        <v>94</v>
      </c>
      <c r="D685" s="82" t="s">
        <v>2756</v>
      </c>
      <c r="E685" s="79" t="s">
        <v>2757</v>
      </c>
      <c r="F685" s="86" t="s">
        <v>259</v>
      </c>
      <c r="G685" s="82">
        <v>5.0</v>
      </c>
      <c r="H685" s="82">
        <v>5.0</v>
      </c>
      <c r="I685" s="82">
        <v>7.0</v>
      </c>
      <c r="J685" s="152">
        <v>50.0</v>
      </c>
      <c r="K685" s="84">
        <v>10.0</v>
      </c>
      <c r="L685" s="82" t="s">
        <v>590</v>
      </c>
    </row>
    <row r="686" ht="15.0" customHeight="1">
      <c r="A686" s="82" t="s">
        <v>2747</v>
      </c>
      <c r="B686" s="82" t="s">
        <v>2748</v>
      </c>
      <c r="C686" s="82" t="s">
        <v>94</v>
      </c>
      <c r="D686" s="82" t="s">
        <v>2758</v>
      </c>
      <c r="E686" s="79" t="s">
        <v>2757</v>
      </c>
      <c r="F686" s="86" t="s">
        <v>259</v>
      </c>
      <c r="G686" s="82">
        <v>5.0</v>
      </c>
      <c r="H686" s="82">
        <v>5.0</v>
      </c>
      <c r="I686" s="82">
        <v>7.0</v>
      </c>
      <c r="J686" s="152">
        <v>50.0</v>
      </c>
      <c r="K686" s="84">
        <v>10.0</v>
      </c>
      <c r="L686" s="82" t="s">
        <v>590</v>
      </c>
    </row>
    <row r="687" ht="15.0" customHeight="1">
      <c r="A687" s="82" t="s">
        <v>2747</v>
      </c>
      <c r="B687" s="82" t="s">
        <v>2748</v>
      </c>
      <c r="C687" s="82" t="s">
        <v>94</v>
      </c>
      <c r="D687" s="82" t="s">
        <v>2759</v>
      </c>
      <c r="E687" s="79" t="s">
        <v>2757</v>
      </c>
      <c r="F687" s="86" t="s">
        <v>259</v>
      </c>
      <c r="G687" s="82">
        <v>5.0</v>
      </c>
      <c r="H687" s="82">
        <v>5.0</v>
      </c>
      <c r="I687" s="82">
        <v>7.0</v>
      </c>
      <c r="J687" s="152">
        <v>50.0</v>
      </c>
      <c r="K687" s="84">
        <v>10.0</v>
      </c>
      <c r="L687" s="82" t="s">
        <v>590</v>
      </c>
    </row>
    <row r="688" ht="15.0" customHeight="1">
      <c r="A688" s="82" t="s">
        <v>2747</v>
      </c>
      <c r="B688" s="82" t="s">
        <v>2748</v>
      </c>
      <c r="C688" s="82" t="s">
        <v>94</v>
      </c>
      <c r="D688" s="82" t="s">
        <v>2760</v>
      </c>
      <c r="E688" s="79" t="s">
        <v>2757</v>
      </c>
      <c r="F688" s="86" t="s">
        <v>259</v>
      </c>
      <c r="G688" s="82">
        <v>5.0</v>
      </c>
      <c r="H688" s="82">
        <v>5.0</v>
      </c>
      <c r="I688" s="82">
        <v>7.0</v>
      </c>
      <c r="J688" s="152">
        <v>50.0</v>
      </c>
      <c r="K688" s="84">
        <v>10.0</v>
      </c>
      <c r="L688" s="82" t="s">
        <v>590</v>
      </c>
    </row>
    <row r="689" ht="15.0" customHeight="1">
      <c r="A689" s="82" t="s">
        <v>2761</v>
      </c>
      <c r="B689" s="82" t="s">
        <v>2762</v>
      </c>
      <c r="C689" s="82" t="s">
        <v>94</v>
      </c>
      <c r="D689" s="82" t="s">
        <v>2763</v>
      </c>
      <c r="E689" s="79" t="s">
        <v>2764</v>
      </c>
      <c r="F689" s="86" t="s">
        <v>1833</v>
      </c>
      <c r="G689" s="82">
        <v>4.0</v>
      </c>
      <c r="H689" s="82">
        <v>4.0</v>
      </c>
      <c r="I689" s="82">
        <v>4.0</v>
      </c>
      <c r="J689" s="152">
        <v>50.0</v>
      </c>
      <c r="K689" s="84">
        <f>J689/4</f>
        <v>12.5</v>
      </c>
      <c r="L689" s="82" t="s">
        <v>590</v>
      </c>
    </row>
    <row r="690" ht="15.0" customHeight="1">
      <c r="A690" s="82" t="s">
        <v>2765</v>
      </c>
      <c r="B690" s="82" t="s">
        <v>2766</v>
      </c>
      <c r="C690" s="82" t="s">
        <v>94</v>
      </c>
      <c r="D690" s="82" t="s">
        <v>2767</v>
      </c>
      <c r="E690" s="79" t="s">
        <v>2768</v>
      </c>
      <c r="F690" s="86" t="s">
        <v>1833</v>
      </c>
      <c r="G690" s="82">
        <v>2.0</v>
      </c>
      <c r="H690" s="82">
        <v>2.0</v>
      </c>
      <c r="I690" s="82">
        <v>2.0</v>
      </c>
      <c r="J690" s="152">
        <v>50.0</v>
      </c>
      <c r="K690" s="84">
        <v>25.0</v>
      </c>
      <c r="L690" s="82" t="s">
        <v>590</v>
      </c>
    </row>
    <row r="691" ht="15.0" customHeight="1">
      <c r="A691" s="82" t="s">
        <v>2769</v>
      </c>
      <c r="B691" s="82" t="s">
        <v>584</v>
      </c>
      <c r="C691" s="82"/>
      <c r="D691" s="82" t="s">
        <v>2770</v>
      </c>
      <c r="E691" s="79" t="s">
        <v>2771</v>
      </c>
      <c r="F691" s="86" t="s">
        <v>1833</v>
      </c>
      <c r="G691" s="82">
        <v>2.0</v>
      </c>
      <c r="H691" s="82">
        <v>2.0</v>
      </c>
      <c r="I691" s="82">
        <v>2.0</v>
      </c>
      <c r="J691" s="152">
        <v>50.0</v>
      </c>
      <c r="K691" s="84">
        <v>25.0</v>
      </c>
      <c r="L691" s="82" t="s">
        <v>590</v>
      </c>
    </row>
    <row r="692" ht="15.0" customHeight="1">
      <c r="A692" s="82" t="s">
        <v>2772</v>
      </c>
      <c r="B692" s="82" t="s">
        <v>2773</v>
      </c>
      <c r="C692" s="82" t="s">
        <v>94</v>
      </c>
      <c r="D692" s="82" t="s">
        <v>2774</v>
      </c>
      <c r="E692" s="79" t="s">
        <v>2775</v>
      </c>
      <c r="F692" s="86" t="s">
        <v>1833</v>
      </c>
      <c r="G692" s="82">
        <v>2.0</v>
      </c>
      <c r="H692" s="82">
        <v>2.0</v>
      </c>
      <c r="I692" s="82">
        <v>2.0</v>
      </c>
      <c r="J692" s="152">
        <v>50.0</v>
      </c>
      <c r="K692" s="84">
        <v>25.0</v>
      </c>
      <c r="L692" s="82" t="s">
        <v>590</v>
      </c>
    </row>
    <row r="693" ht="15.0" customHeight="1">
      <c r="A693" s="82" t="s">
        <v>2776</v>
      </c>
      <c r="B693" s="82" t="s">
        <v>2777</v>
      </c>
      <c r="C693" s="82" t="s">
        <v>94</v>
      </c>
      <c r="D693" s="82" t="s">
        <v>2778</v>
      </c>
      <c r="E693" s="79" t="s">
        <v>2779</v>
      </c>
      <c r="F693" s="86" t="s">
        <v>1833</v>
      </c>
      <c r="G693" s="82">
        <v>2.0</v>
      </c>
      <c r="H693" s="82">
        <v>2.0</v>
      </c>
      <c r="I693" s="82">
        <v>4.0</v>
      </c>
      <c r="J693" s="152">
        <v>50.0</v>
      </c>
      <c r="K693" s="84">
        <v>25.0</v>
      </c>
      <c r="L693" s="82" t="s">
        <v>590</v>
      </c>
    </row>
    <row r="694" ht="15.0" customHeight="1">
      <c r="A694" s="82" t="s">
        <v>2776</v>
      </c>
      <c r="B694" s="82" t="s">
        <v>2777</v>
      </c>
      <c r="C694" s="82" t="s">
        <v>94</v>
      </c>
      <c r="D694" s="82" t="s">
        <v>2780</v>
      </c>
      <c r="E694" s="79" t="s">
        <v>2781</v>
      </c>
      <c r="F694" s="86" t="s">
        <v>1833</v>
      </c>
      <c r="G694" s="82">
        <v>2.0</v>
      </c>
      <c r="H694" s="82">
        <v>2.0</v>
      </c>
      <c r="I694" s="82">
        <v>4.0</v>
      </c>
      <c r="J694" s="152">
        <v>50.0</v>
      </c>
      <c r="K694" s="84">
        <v>25.0</v>
      </c>
      <c r="L694" s="82" t="s">
        <v>590</v>
      </c>
    </row>
    <row r="695" ht="15.0" customHeight="1">
      <c r="A695" s="82" t="s">
        <v>2776</v>
      </c>
      <c r="B695" s="82" t="s">
        <v>2777</v>
      </c>
      <c r="C695" s="82" t="s">
        <v>94</v>
      </c>
      <c r="D695" s="82" t="s">
        <v>2782</v>
      </c>
      <c r="E695" s="79" t="s">
        <v>2783</v>
      </c>
      <c r="F695" s="86" t="s">
        <v>1833</v>
      </c>
      <c r="G695" s="82">
        <v>2.0</v>
      </c>
      <c r="H695" s="82">
        <v>2.0</v>
      </c>
      <c r="I695" s="82">
        <v>4.0</v>
      </c>
      <c r="J695" s="152">
        <v>50.0</v>
      </c>
      <c r="K695" s="84">
        <v>25.0</v>
      </c>
      <c r="L695" s="82" t="s">
        <v>590</v>
      </c>
    </row>
    <row r="696" ht="15.0" customHeight="1">
      <c r="A696" s="82" t="s">
        <v>2776</v>
      </c>
      <c r="B696" s="82" t="s">
        <v>2784</v>
      </c>
      <c r="C696" s="82" t="s">
        <v>94</v>
      </c>
      <c r="D696" s="82" t="s">
        <v>2785</v>
      </c>
      <c r="E696" s="79" t="s">
        <v>2786</v>
      </c>
      <c r="F696" s="86" t="s">
        <v>1833</v>
      </c>
      <c r="G696" s="82">
        <v>2.0</v>
      </c>
      <c r="H696" s="82">
        <v>2.0</v>
      </c>
      <c r="I696" s="82">
        <v>2.0</v>
      </c>
      <c r="J696" s="152">
        <v>50.0</v>
      </c>
      <c r="K696" s="84">
        <v>25.0</v>
      </c>
      <c r="L696" s="82" t="s">
        <v>590</v>
      </c>
    </row>
    <row r="697" ht="15.0" customHeight="1">
      <c r="A697" s="82" t="s">
        <v>2776</v>
      </c>
      <c r="B697" s="82" t="s">
        <v>2784</v>
      </c>
      <c r="C697" s="82" t="s">
        <v>94</v>
      </c>
      <c r="D697" s="82" t="s">
        <v>2787</v>
      </c>
      <c r="E697" s="79" t="s">
        <v>2786</v>
      </c>
      <c r="F697" s="86" t="s">
        <v>1833</v>
      </c>
      <c r="G697" s="82">
        <v>2.0</v>
      </c>
      <c r="H697" s="82">
        <v>2.0</v>
      </c>
      <c r="I697" s="82">
        <v>2.0</v>
      </c>
      <c r="J697" s="152">
        <v>50.0</v>
      </c>
      <c r="K697" s="84">
        <v>25.0</v>
      </c>
      <c r="L697" s="82" t="s">
        <v>590</v>
      </c>
    </row>
    <row r="698" ht="15.0" customHeight="1">
      <c r="A698" s="82" t="s">
        <v>2788</v>
      </c>
      <c r="B698" s="82" t="s">
        <v>2789</v>
      </c>
      <c r="C698" s="82" t="s">
        <v>94</v>
      </c>
      <c r="D698" s="82" t="s">
        <v>2790</v>
      </c>
      <c r="E698" s="79" t="s">
        <v>2791</v>
      </c>
      <c r="F698" s="86" t="s">
        <v>1833</v>
      </c>
      <c r="G698" s="82">
        <v>2.0</v>
      </c>
      <c r="H698" s="82">
        <v>2.0</v>
      </c>
      <c r="I698" s="82">
        <v>2.0</v>
      </c>
      <c r="J698" s="152">
        <v>50.0</v>
      </c>
      <c r="K698" s="84">
        <v>25.0</v>
      </c>
      <c r="L698" s="82" t="s">
        <v>590</v>
      </c>
    </row>
    <row r="699" ht="15.0" customHeight="1">
      <c r="A699" s="82" t="s">
        <v>2792</v>
      </c>
      <c r="B699" s="82" t="s">
        <v>2793</v>
      </c>
      <c r="C699" s="82" t="s">
        <v>94</v>
      </c>
      <c r="D699" s="82" t="s">
        <v>2794</v>
      </c>
      <c r="E699" s="79" t="s">
        <v>2795</v>
      </c>
      <c r="F699" s="86" t="s">
        <v>2513</v>
      </c>
      <c r="G699" s="82">
        <v>3.0</v>
      </c>
      <c r="H699" s="82">
        <v>3.0</v>
      </c>
      <c r="I699" s="82">
        <v>3.0</v>
      </c>
      <c r="J699" s="152">
        <v>50.0</v>
      </c>
      <c r="K699" s="84">
        <v>16.67</v>
      </c>
      <c r="L699" s="82" t="s">
        <v>590</v>
      </c>
    </row>
    <row r="700" ht="15.0" customHeight="1">
      <c r="A700" s="82" t="s">
        <v>2792</v>
      </c>
      <c r="B700" s="82" t="s">
        <v>2793</v>
      </c>
      <c r="C700" s="82" t="s">
        <v>94</v>
      </c>
      <c r="D700" s="82" t="s">
        <v>2796</v>
      </c>
      <c r="E700" s="79" t="s">
        <v>2797</v>
      </c>
      <c r="F700" s="86" t="s">
        <v>259</v>
      </c>
      <c r="G700" s="82">
        <v>3.0</v>
      </c>
      <c r="H700" s="82">
        <v>3.0</v>
      </c>
      <c r="I700" s="82">
        <v>3.0</v>
      </c>
      <c r="J700" s="152">
        <v>50.0</v>
      </c>
      <c r="K700" s="84">
        <v>16.67</v>
      </c>
      <c r="L700" s="82" t="s">
        <v>590</v>
      </c>
    </row>
    <row r="701" ht="15.0" customHeight="1">
      <c r="A701" s="82" t="s">
        <v>2792</v>
      </c>
      <c r="B701" s="82" t="s">
        <v>2798</v>
      </c>
      <c r="C701" s="82" t="s">
        <v>94</v>
      </c>
      <c r="D701" s="82" t="s">
        <v>2799</v>
      </c>
      <c r="E701" s="79" t="s">
        <v>2800</v>
      </c>
      <c r="F701" s="86" t="s">
        <v>2513</v>
      </c>
      <c r="G701" s="82">
        <v>1.0</v>
      </c>
      <c r="H701" s="82">
        <v>1.0</v>
      </c>
      <c r="I701" s="82">
        <v>2.0</v>
      </c>
      <c r="J701" s="152">
        <v>50.0</v>
      </c>
      <c r="K701" s="84">
        <v>50.0</v>
      </c>
      <c r="L701" s="82" t="s">
        <v>590</v>
      </c>
    </row>
    <row r="702" ht="15.0" customHeight="1">
      <c r="A702" s="82" t="s">
        <v>2792</v>
      </c>
      <c r="B702" s="82" t="s">
        <v>2798</v>
      </c>
      <c r="C702" s="82" t="s">
        <v>94</v>
      </c>
      <c r="D702" s="82" t="s">
        <v>2801</v>
      </c>
      <c r="E702" s="79" t="s">
        <v>2802</v>
      </c>
      <c r="F702" s="86" t="s">
        <v>259</v>
      </c>
      <c r="G702" s="82">
        <v>1.0</v>
      </c>
      <c r="H702" s="82">
        <v>1.0</v>
      </c>
      <c r="I702" s="82">
        <v>2.0</v>
      </c>
      <c r="J702" s="152">
        <v>50.0</v>
      </c>
      <c r="K702" s="84">
        <v>50.0</v>
      </c>
      <c r="L702" s="82" t="s">
        <v>590</v>
      </c>
    </row>
    <row r="703" ht="15.0" customHeight="1">
      <c r="A703" s="82" t="s">
        <v>2792</v>
      </c>
      <c r="B703" s="82" t="s">
        <v>2798</v>
      </c>
      <c r="C703" s="82" t="s">
        <v>94</v>
      </c>
      <c r="D703" s="82" t="s">
        <v>2803</v>
      </c>
      <c r="E703" s="79" t="s">
        <v>2802</v>
      </c>
      <c r="F703" s="86" t="s">
        <v>259</v>
      </c>
      <c r="G703" s="82">
        <v>1.0</v>
      </c>
      <c r="H703" s="82">
        <v>1.0</v>
      </c>
      <c r="I703" s="82">
        <v>2.0</v>
      </c>
      <c r="J703" s="152">
        <v>50.0</v>
      </c>
      <c r="K703" s="84">
        <v>50.0</v>
      </c>
      <c r="L703" s="82" t="s">
        <v>590</v>
      </c>
    </row>
    <row r="704" ht="15.0" customHeight="1">
      <c r="A704" s="82" t="s">
        <v>2792</v>
      </c>
      <c r="B704" s="82" t="s">
        <v>2798</v>
      </c>
      <c r="C704" s="82" t="s">
        <v>94</v>
      </c>
      <c r="D704" s="82" t="s">
        <v>2804</v>
      </c>
      <c r="E704" s="79" t="s">
        <v>2802</v>
      </c>
      <c r="F704" s="86" t="s">
        <v>259</v>
      </c>
      <c r="G704" s="82">
        <v>1.0</v>
      </c>
      <c r="H704" s="82">
        <v>1.0</v>
      </c>
      <c r="I704" s="82">
        <v>2.0</v>
      </c>
      <c r="J704" s="152">
        <v>50.0</v>
      </c>
      <c r="K704" s="84">
        <v>50.0</v>
      </c>
      <c r="L704" s="82" t="s">
        <v>590</v>
      </c>
    </row>
    <row r="705" ht="15.0" customHeight="1">
      <c r="A705" s="82" t="s">
        <v>2805</v>
      </c>
      <c r="B705" s="82" t="s">
        <v>2806</v>
      </c>
      <c r="C705" s="82" t="s">
        <v>94</v>
      </c>
      <c r="D705" s="82" t="s">
        <v>2807</v>
      </c>
      <c r="E705" s="79" t="s">
        <v>2808</v>
      </c>
      <c r="F705" s="86" t="s">
        <v>259</v>
      </c>
      <c r="G705" s="82">
        <v>1.0</v>
      </c>
      <c r="H705" s="82">
        <v>1.0</v>
      </c>
      <c r="I705" s="82">
        <v>4.0</v>
      </c>
      <c r="J705" s="152">
        <v>50.0</v>
      </c>
      <c r="K705" s="84">
        <v>50.0</v>
      </c>
      <c r="L705" s="82" t="s">
        <v>590</v>
      </c>
    </row>
    <row r="706" ht="15.0" customHeight="1">
      <c r="A706" s="82" t="s">
        <v>2809</v>
      </c>
      <c r="B706" s="82" t="s">
        <v>2810</v>
      </c>
      <c r="C706" s="82" t="s">
        <v>94</v>
      </c>
      <c r="D706" s="82" t="s">
        <v>2811</v>
      </c>
      <c r="E706" s="79" t="s">
        <v>2812</v>
      </c>
      <c r="F706" s="86" t="s">
        <v>259</v>
      </c>
      <c r="G706" s="82">
        <v>3.0</v>
      </c>
      <c r="H706" s="82">
        <v>3.0</v>
      </c>
      <c r="I706" s="82">
        <v>3.0</v>
      </c>
      <c r="J706" s="152">
        <v>50.0</v>
      </c>
      <c r="K706" s="84">
        <v>16.67</v>
      </c>
      <c r="L706" s="82" t="s">
        <v>590</v>
      </c>
    </row>
    <row r="707" ht="15.0" customHeight="1">
      <c r="A707" s="82" t="s">
        <v>2809</v>
      </c>
      <c r="B707" s="82" t="s">
        <v>2813</v>
      </c>
      <c r="C707" s="82" t="s">
        <v>94</v>
      </c>
      <c r="D707" s="82" t="s">
        <v>2814</v>
      </c>
      <c r="E707" s="79" t="s">
        <v>2815</v>
      </c>
      <c r="F707" s="86" t="s">
        <v>259</v>
      </c>
      <c r="G707" s="82">
        <v>3.0</v>
      </c>
      <c r="H707" s="82">
        <v>3.0</v>
      </c>
      <c r="I707" s="82">
        <v>3.0</v>
      </c>
      <c r="J707" s="152">
        <v>50.0</v>
      </c>
      <c r="K707" s="84">
        <v>16.67</v>
      </c>
      <c r="L707" s="82" t="s">
        <v>590</v>
      </c>
    </row>
    <row r="708" ht="15.0" customHeight="1">
      <c r="A708" s="82" t="s">
        <v>2816</v>
      </c>
      <c r="B708" s="82" t="s">
        <v>2817</v>
      </c>
      <c r="C708" s="82" t="s">
        <v>94</v>
      </c>
      <c r="D708" s="82" t="s">
        <v>2818</v>
      </c>
      <c r="E708" s="79" t="s">
        <v>2819</v>
      </c>
      <c r="F708" s="86" t="s">
        <v>2513</v>
      </c>
      <c r="G708" s="82">
        <v>2.0</v>
      </c>
      <c r="H708" s="82">
        <v>2.0</v>
      </c>
      <c r="I708" s="82">
        <v>2.0</v>
      </c>
      <c r="J708" s="152">
        <v>50.0</v>
      </c>
      <c r="K708" s="84">
        <v>25.0</v>
      </c>
      <c r="L708" s="82" t="s">
        <v>590</v>
      </c>
    </row>
    <row r="709" ht="15.0" customHeight="1">
      <c r="A709" s="82" t="s">
        <v>2820</v>
      </c>
      <c r="B709" s="82" t="s">
        <v>2821</v>
      </c>
      <c r="C709" s="82"/>
      <c r="D709" s="82" t="s">
        <v>2822</v>
      </c>
      <c r="E709" s="79" t="s">
        <v>2823</v>
      </c>
      <c r="F709" s="86" t="s">
        <v>259</v>
      </c>
      <c r="G709" s="82">
        <v>4.0</v>
      </c>
      <c r="H709" s="82">
        <v>4.0</v>
      </c>
      <c r="I709" s="82">
        <v>4.0</v>
      </c>
      <c r="J709" s="152">
        <v>50.0</v>
      </c>
      <c r="K709" s="84">
        <v>12.5</v>
      </c>
      <c r="L709" s="82" t="s">
        <v>590</v>
      </c>
    </row>
    <row r="710" ht="15.0" customHeight="1">
      <c r="A710" s="82" t="s">
        <v>2824</v>
      </c>
      <c r="B710" s="82" t="s">
        <v>2825</v>
      </c>
      <c r="C710" s="82"/>
      <c r="D710" s="82" t="s">
        <v>2826</v>
      </c>
      <c r="E710" s="79" t="s">
        <v>2827</v>
      </c>
      <c r="F710" s="86" t="s">
        <v>259</v>
      </c>
      <c r="G710" s="82">
        <v>3.0</v>
      </c>
      <c r="H710" s="82">
        <v>3.0</v>
      </c>
      <c r="I710" s="82">
        <v>3.0</v>
      </c>
      <c r="J710" s="152">
        <v>50.0</v>
      </c>
      <c r="K710" s="84">
        <v>16.67</v>
      </c>
      <c r="L710" s="82" t="s">
        <v>590</v>
      </c>
    </row>
    <row r="711" ht="15.0" customHeight="1">
      <c r="A711" s="82" t="s">
        <v>2828</v>
      </c>
      <c r="B711" s="82" t="s">
        <v>2829</v>
      </c>
      <c r="C711" s="82" t="s">
        <v>94</v>
      </c>
      <c r="D711" s="82" t="s">
        <v>2830</v>
      </c>
      <c r="E711" s="79" t="s">
        <v>2831</v>
      </c>
      <c r="F711" s="86" t="s">
        <v>2513</v>
      </c>
      <c r="G711" s="82">
        <v>2.0</v>
      </c>
      <c r="H711" s="82">
        <v>2.0</v>
      </c>
      <c r="I711" s="82">
        <v>3.0</v>
      </c>
      <c r="J711" s="152">
        <v>50.0</v>
      </c>
      <c r="K711" s="84">
        <v>25.0</v>
      </c>
      <c r="L711" s="82" t="s">
        <v>590</v>
      </c>
    </row>
    <row r="712" ht="15.0" customHeight="1">
      <c r="A712" s="82" t="s">
        <v>2832</v>
      </c>
      <c r="B712" s="82" t="s">
        <v>2833</v>
      </c>
      <c r="C712" s="82" t="s">
        <v>94</v>
      </c>
      <c r="D712" s="82" t="s">
        <v>2834</v>
      </c>
      <c r="E712" s="79" t="s">
        <v>2835</v>
      </c>
      <c r="F712" s="86" t="s">
        <v>259</v>
      </c>
      <c r="G712" s="82">
        <v>2.0</v>
      </c>
      <c r="H712" s="82">
        <v>2.0</v>
      </c>
      <c r="I712" s="82">
        <v>2.0</v>
      </c>
      <c r="J712" s="152">
        <v>50.0</v>
      </c>
      <c r="K712" s="84">
        <v>25.0</v>
      </c>
      <c r="L712" s="82" t="s">
        <v>590</v>
      </c>
    </row>
    <row r="713" ht="15.0" customHeight="1">
      <c r="A713" s="82" t="s">
        <v>2832</v>
      </c>
      <c r="B713" s="82" t="s">
        <v>2833</v>
      </c>
      <c r="C713" s="82" t="s">
        <v>94</v>
      </c>
      <c r="D713" s="82" t="s">
        <v>2836</v>
      </c>
      <c r="E713" s="79" t="s">
        <v>2837</v>
      </c>
      <c r="F713" s="86" t="s">
        <v>259</v>
      </c>
      <c r="G713" s="82">
        <v>2.0</v>
      </c>
      <c r="H713" s="82">
        <v>2.0</v>
      </c>
      <c r="I713" s="82">
        <v>2.0</v>
      </c>
      <c r="J713" s="152">
        <v>50.0</v>
      </c>
      <c r="K713" s="84">
        <v>25.0</v>
      </c>
      <c r="L713" s="82" t="s">
        <v>590</v>
      </c>
    </row>
    <row r="714" ht="15.0" customHeight="1">
      <c r="A714" s="82" t="s">
        <v>2832</v>
      </c>
      <c r="B714" s="82" t="s">
        <v>2833</v>
      </c>
      <c r="C714" s="82" t="s">
        <v>94</v>
      </c>
      <c r="D714" s="82" t="s">
        <v>2838</v>
      </c>
      <c r="E714" s="79" t="s">
        <v>2839</v>
      </c>
      <c r="F714" s="86" t="s">
        <v>259</v>
      </c>
      <c r="G714" s="82">
        <v>2.0</v>
      </c>
      <c r="H714" s="82">
        <v>2.0</v>
      </c>
      <c r="I714" s="82">
        <v>2.0</v>
      </c>
      <c r="J714" s="152">
        <v>50.0</v>
      </c>
      <c r="K714" s="84">
        <v>25.0</v>
      </c>
      <c r="L714" s="82" t="s">
        <v>590</v>
      </c>
    </row>
    <row r="715" ht="15.0" customHeight="1">
      <c r="A715" s="78" t="s">
        <v>617</v>
      </c>
      <c r="B715" s="78" t="s">
        <v>600</v>
      </c>
      <c r="C715" s="78" t="s">
        <v>94</v>
      </c>
      <c r="D715" s="82" t="s">
        <v>2840</v>
      </c>
      <c r="E715" s="79" t="s">
        <v>2841</v>
      </c>
      <c r="F715" s="86" t="s">
        <v>1264</v>
      </c>
      <c r="G715" s="82">
        <v>3.0</v>
      </c>
      <c r="H715" s="82">
        <v>3.0</v>
      </c>
      <c r="I715" s="82">
        <v>3.0</v>
      </c>
      <c r="J715" s="152">
        <v>50.0</v>
      </c>
      <c r="K715" s="83">
        <f t="shared" ref="K715:K719" si="21">J715/H715</f>
        <v>16.66666667</v>
      </c>
      <c r="L715" s="82" t="s">
        <v>616</v>
      </c>
    </row>
    <row r="716" ht="15.0" customHeight="1">
      <c r="A716" s="78" t="s">
        <v>617</v>
      </c>
      <c r="B716" s="78" t="s">
        <v>600</v>
      </c>
      <c r="C716" s="78" t="s">
        <v>94</v>
      </c>
      <c r="D716" s="82" t="s">
        <v>2842</v>
      </c>
      <c r="E716" s="79" t="s">
        <v>2843</v>
      </c>
      <c r="F716" s="86" t="s">
        <v>1264</v>
      </c>
      <c r="G716" s="82">
        <v>3.0</v>
      </c>
      <c r="H716" s="82">
        <v>3.0</v>
      </c>
      <c r="I716" s="82">
        <v>3.0</v>
      </c>
      <c r="J716" s="152">
        <v>50.0</v>
      </c>
      <c r="K716" s="83">
        <f t="shared" si="21"/>
        <v>16.66666667</v>
      </c>
      <c r="L716" s="82" t="s">
        <v>616</v>
      </c>
    </row>
    <row r="717" ht="15.0" customHeight="1">
      <c r="A717" s="78" t="s">
        <v>617</v>
      </c>
      <c r="B717" s="78" t="s">
        <v>600</v>
      </c>
      <c r="C717" s="78" t="s">
        <v>94</v>
      </c>
      <c r="D717" s="82" t="s">
        <v>2844</v>
      </c>
      <c r="E717" s="87" t="s">
        <v>2845</v>
      </c>
      <c r="F717" s="86" t="s">
        <v>314</v>
      </c>
      <c r="G717" s="82">
        <v>3.0</v>
      </c>
      <c r="H717" s="82">
        <v>3.0</v>
      </c>
      <c r="I717" s="82">
        <v>3.0</v>
      </c>
      <c r="J717" s="152">
        <v>50.0</v>
      </c>
      <c r="K717" s="83">
        <f t="shared" si="21"/>
        <v>16.66666667</v>
      </c>
      <c r="L717" s="82" t="s">
        <v>616</v>
      </c>
    </row>
    <row r="718" ht="15.0" customHeight="1">
      <c r="A718" s="78" t="s">
        <v>617</v>
      </c>
      <c r="B718" s="78" t="s">
        <v>600</v>
      </c>
      <c r="C718" s="78" t="s">
        <v>94</v>
      </c>
      <c r="D718" s="82" t="s">
        <v>2846</v>
      </c>
      <c r="E718" s="79" t="s">
        <v>2847</v>
      </c>
      <c r="F718" s="86" t="s">
        <v>314</v>
      </c>
      <c r="G718" s="82">
        <v>3.0</v>
      </c>
      <c r="H718" s="82">
        <v>3.0</v>
      </c>
      <c r="I718" s="82">
        <v>3.0</v>
      </c>
      <c r="J718" s="152">
        <v>50.0</v>
      </c>
      <c r="K718" s="83">
        <f t="shared" si="21"/>
        <v>16.66666667</v>
      </c>
      <c r="L718" s="82" t="s">
        <v>616</v>
      </c>
    </row>
    <row r="719" ht="15.0" customHeight="1">
      <c r="A719" s="78" t="s">
        <v>617</v>
      </c>
      <c r="B719" s="78" t="s">
        <v>600</v>
      </c>
      <c r="C719" s="78" t="s">
        <v>94</v>
      </c>
      <c r="D719" s="82" t="s">
        <v>2848</v>
      </c>
      <c r="E719" s="87" t="s">
        <v>2849</v>
      </c>
      <c r="F719" s="86" t="s">
        <v>314</v>
      </c>
      <c r="G719" s="82">
        <v>3.0</v>
      </c>
      <c r="H719" s="82">
        <v>3.0</v>
      </c>
      <c r="I719" s="82">
        <v>3.0</v>
      </c>
      <c r="J719" s="152">
        <v>50.0</v>
      </c>
      <c r="K719" s="83">
        <f t="shared" si="21"/>
        <v>16.66666667</v>
      </c>
      <c r="L719" s="82" t="s">
        <v>616</v>
      </c>
    </row>
    <row r="720" ht="15.0" customHeight="1">
      <c r="A720" s="82" t="s">
        <v>2850</v>
      </c>
      <c r="B720" s="82" t="s">
        <v>1898</v>
      </c>
      <c r="C720" s="82" t="s">
        <v>94</v>
      </c>
      <c r="D720" s="87" t="s">
        <v>2851</v>
      </c>
      <c r="E720" s="82" t="s">
        <v>2852</v>
      </c>
      <c r="F720" s="86" t="s">
        <v>1264</v>
      </c>
      <c r="G720" s="82"/>
      <c r="H720" s="82">
        <v>6.0</v>
      </c>
      <c r="I720" s="82">
        <v>6.0</v>
      </c>
      <c r="J720" s="152">
        <v>50.0</v>
      </c>
      <c r="K720" s="84">
        <v>8.33</v>
      </c>
      <c r="L720" s="82" t="s">
        <v>2853</v>
      </c>
    </row>
    <row r="721" ht="15.0" customHeight="1">
      <c r="A721" s="82" t="s">
        <v>2850</v>
      </c>
      <c r="B721" s="82" t="s">
        <v>1898</v>
      </c>
      <c r="C721" s="82" t="s">
        <v>94</v>
      </c>
      <c r="D721" s="85" t="s">
        <v>2854</v>
      </c>
      <c r="E721" s="82" t="s">
        <v>2855</v>
      </c>
      <c r="F721" s="86" t="s">
        <v>1264</v>
      </c>
      <c r="G721" s="82"/>
      <c r="H721" s="82">
        <v>6.0</v>
      </c>
      <c r="I721" s="82">
        <v>6.0</v>
      </c>
      <c r="J721" s="152">
        <v>50.0</v>
      </c>
      <c r="K721" s="84">
        <v>8.33</v>
      </c>
      <c r="L721" s="82" t="s">
        <v>2853</v>
      </c>
    </row>
    <row r="722" ht="15.0" customHeight="1">
      <c r="A722" s="82" t="s">
        <v>2856</v>
      </c>
      <c r="B722" s="87" t="s">
        <v>2857</v>
      </c>
      <c r="C722" s="82" t="s">
        <v>94</v>
      </c>
      <c r="D722" s="85" t="s">
        <v>2858</v>
      </c>
      <c r="E722" s="82" t="s">
        <v>2859</v>
      </c>
      <c r="F722" s="86" t="s">
        <v>1264</v>
      </c>
      <c r="G722" s="82"/>
      <c r="H722" s="82">
        <v>7.0</v>
      </c>
      <c r="I722" s="82">
        <v>7.0</v>
      </c>
      <c r="J722" s="152">
        <v>50.0</v>
      </c>
      <c r="K722" s="84">
        <v>7.14</v>
      </c>
      <c r="L722" s="82" t="s">
        <v>2853</v>
      </c>
    </row>
    <row r="723" ht="15.0" customHeight="1">
      <c r="A723" s="82" t="s">
        <v>2860</v>
      </c>
      <c r="B723" s="82" t="s">
        <v>2861</v>
      </c>
      <c r="C723" s="82" t="s">
        <v>94</v>
      </c>
      <c r="D723" s="85" t="s">
        <v>2862</v>
      </c>
      <c r="E723" s="82" t="s">
        <v>2863</v>
      </c>
      <c r="F723" s="86" t="s">
        <v>314</v>
      </c>
      <c r="G723" s="82"/>
      <c r="H723" s="82">
        <v>1.0</v>
      </c>
      <c r="I723" s="82">
        <v>1.0</v>
      </c>
      <c r="J723" s="152">
        <v>50.0</v>
      </c>
      <c r="K723" s="84">
        <v>50.0</v>
      </c>
      <c r="L723" s="82" t="s">
        <v>2853</v>
      </c>
    </row>
    <row r="724" ht="15.0" customHeight="1">
      <c r="A724" s="82" t="s">
        <v>2860</v>
      </c>
      <c r="B724" s="82" t="s">
        <v>2864</v>
      </c>
      <c r="C724" s="82" t="s">
        <v>94</v>
      </c>
      <c r="D724" s="85" t="s">
        <v>2865</v>
      </c>
      <c r="E724" s="82" t="s">
        <v>2866</v>
      </c>
      <c r="F724" s="86" t="s">
        <v>1264</v>
      </c>
      <c r="G724" s="82"/>
      <c r="H724" s="82">
        <v>1.0</v>
      </c>
      <c r="I724" s="82">
        <v>1.0</v>
      </c>
      <c r="J724" s="152">
        <v>50.0</v>
      </c>
      <c r="K724" s="84">
        <v>50.0</v>
      </c>
      <c r="L724" s="82" t="s">
        <v>2853</v>
      </c>
    </row>
    <row r="725" ht="15.0" customHeight="1">
      <c r="A725" s="82" t="s">
        <v>2867</v>
      </c>
      <c r="B725" s="82" t="s">
        <v>2868</v>
      </c>
      <c r="C725" s="82" t="s">
        <v>94</v>
      </c>
      <c r="D725" s="188" t="s">
        <v>2869</v>
      </c>
      <c r="E725" s="82" t="s">
        <v>2870</v>
      </c>
      <c r="F725" s="86" t="s">
        <v>314</v>
      </c>
      <c r="G725" s="82"/>
      <c r="H725" s="82">
        <v>3.0</v>
      </c>
      <c r="I725" s="82">
        <v>3.0</v>
      </c>
      <c r="J725" s="152">
        <v>50.0</v>
      </c>
      <c r="K725" s="84">
        <v>16.67</v>
      </c>
      <c r="L725" s="82" t="s">
        <v>2853</v>
      </c>
    </row>
    <row r="726" ht="15.0" customHeight="1">
      <c r="A726" s="82" t="s">
        <v>2860</v>
      </c>
      <c r="B726" s="82" t="s">
        <v>2871</v>
      </c>
      <c r="C726" s="82" t="s">
        <v>94</v>
      </c>
      <c r="D726" s="87" t="s">
        <v>2872</v>
      </c>
      <c r="E726" s="82" t="s">
        <v>2873</v>
      </c>
      <c r="F726" s="86" t="s">
        <v>314</v>
      </c>
      <c r="G726" s="82"/>
      <c r="H726" s="82">
        <v>1.0</v>
      </c>
      <c r="I726" s="82">
        <v>1.0</v>
      </c>
      <c r="J726" s="152">
        <v>50.0</v>
      </c>
      <c r="K726" s="84">
        <v>50.0</v>
      </c>
      <c r="L726" s="82" t="s">
        <v>2853</v>
      </c>
    </row>
    <row r="727" ht="15.0" customHeight="1">
      <c r="A727" s="82" t="s">
        <v>2874</v>
      </c>
      <c r="B727" s="82" t="s">
        <v>2875</v>
      </c>
      <c r="C727" s="85" t="s">
        <v>94</v>
      </c>
      <c r="D727" s="87" t="s">
        <v>2876</v>
      </c>
      <c r="E727" s="82" t="s">
        <v>2877</v>
      </c>
      <c r="F727" s="86" t="s">
        <v>1264</v>
      </c>
      <c r="G727" s="82"/>
      <c r="H727" s="82">
        <v>2.0</v>
      </c>
      <c r="I727" s="82">
        <v>2.0</v>
      </c>
      <c r="J727" s="152">
        <v>50.0</v>
      </c>
      <c r="K727" s="84">
        <v>25.0</v>
      </c>
      <c r="L727" s="82" t="s">
        <v>2853</v>
      </c>
    </row>
    <row r="728" ht="15.0" customHeight="1">
      <c r="A728" s="82" t="s">
        <v>2874</v>
      </c>
      <c r="B728" s="82" t="s">
        <v>2875</v>
      </c>
      <c r="C728" s="85" t="s">
        <v>94</v>
      </c>
      <c r="D728" s="85" t="s">
        <v>2878</v>
      </c>
      <c r="E728" s="82" t="s">
        <v>2879</v>
      </c>
      <c r="F728" s="86" t="s">
        <v>314</v>
      </c>
      <c r="G728" s="82"/>
      <c r="H728" s="82">
        <v>2.0</v>
      </c>
      <c r="I728" s="82">
        <v>2.0</v>
      </c>
      <c r="J728" s="152">
        <v>50.0</v>
      </c>
      <c r="K728" s="84">
        <v>25.0</v>
      </c>
      <c r="L728" s="82" t="s">
        <v>2853</v>
      </c>
    </row>
    <row r="729" ht="15.0" customHeight="1">
      <c r="A729" s="82" t="s">
        <v>2874</v>
      </c>
      <c r="B729" s="82" t="s">
        <v>2875</v>
      </c>
      <c r="C729" s="85" t="s">
        <v>94</v>
      </c>
      <c r="D729" s="188" t="s">
        <v>2880</v>
      </c>
      <c r="E729" s="82" t="s">
        <v>2881</v>
      </c>
      <c r="F729" s="86" t="s">
        <v>314</v>
      </c>
      <c r="G729" s="82"/>
      <c r="H729" s="82">
        <v>2.0</v>
      </c>
      <c r="I729" s="82">
        <v>2.0</v>
      </c>
      <c r="J729" s="152">
        <v>50.0</v>
      </c>
      <c r="K729" s="84">
        <v>25.0</v>
      </c>
      <c r="L729" s="82" t="s">
        <v>2853</v>
      </c>
    </row>
    <row r="730" ht="15.0" customHeight="1">
      <c r="A730" s="82" t="s">
        <v>2874</v>
      </c>
      <c r="B730" s="82" t="s">
        <v>2875</v>
      </c>
      <c r="C730" s="85" t="s">
        <v>94</v>
      </c>
      <c r="D730" s="178" t="s">
        <v>2882</v>
      </c>
      <c r="E730" s="82" t="s">
        <v>2883</v>
      </c>
      <c r="F730" s="86" t="s">
        <v>314</v>
      </c>
      <c r="G730" s="82"/>
      <c r="H730" s="82">
        <v>2.0</v>
      </c>
      <c r="I730" s="82">
        <v>2.0</v>
      </c>
      <c r="J730" s="152">
        <v>50.0</v>
      </c>
      <c r="K730" s="84">
        <v>25.0</v>
      </c>
      <c r="L730" s="82" t="s">
        <v>2853</v>
      </c>
    </row>
    <row r="731" ht="15.0" customHeight="1">
      <c r="A731" s="82" t="s">
        <v>2737</v>
      </c>
      <c r="B731" s="82" t="s">
        <v>2738</v>
      </c>
      <c r="C731" s="82" t="s">
        <v>94</v>
      </c>
      <c r="D731" s="82" t="s">
        <v>2884</v>
      </c>
      <c r="E731" s="95" t="s">
        <v>2885</v>
      </c>
      <c r="F731" s="86" t="s">
        <v>1833</v>
      </c>
      <c r="G731" s="82">
        <v>7.0</v>
      </c>
      <c r="H731" s="82">
        <v>7.0</v>
      </c>
      <c r="I731" s="82">
        <v>7.0</v>
      </c>
      <c r="J731" s="152">
        <v>50.0</v>
      </c>
      <c r="K731" s="84">
        <f t="shared" ref="K731:K751" si="22">J731/G731</f>
        <v>7.142857143</v>
      </c>
      <c r="L731" s="82" t="s">
        <v>626</v>
      </c>
    </row>
    <row r="732" ht="15.0" customHeight="1">
      <c r="A732" s="82" t="s">
        <v>2737</v>
      </c>
      <c r="B732" s="82" t="s">
        <v>2738</v>
      </c>
      <c r="C732" s="82" t="s">
        <v>94</v>
      </c>
      <c r="D732" s="82" t="s">
        <v>2886</v>
      </c>
      <c r="E732" s="95" t="s">
        <v>2887</v>
      </c>
      <c r="F732" s="86" t="s">
        <v>1833</v>
      </c>
      <c r="G732" s="82">
        <v>7.0</v>
      </c>
      <c r="H732" s="82">
        <v>7.0</v>
      </c>
      <c r="I732" s="82">
        <v>7.0</v>
      </c>
      <c r="J732" s="152">
        <v>50.0</v>
      </c>
      <c r="K732" s="84">
        <f t="shared" si="22"/>
        <v>7.142857143</v>
      </c>
      <c r="L732" s="82" t="s">
        <v>626</v>
      </c>
    </row>
    <row r="733" ht="15.0" customHeight="1">
      <c r="A733" s="82" t="s">
        <v>2737</v>
      </c>
      <c r="B733" s="82" t="s">
        <v>2738</v>
      </c>
      <c r="C733" s="82" t="s">
        <v>94</v>
      </c>
      <c r="D733" s="82" t="s">
        <v>2888</v>
      </c>
      <c r="E733" s="79" t="s">
        <v>2889</v>
      </c>
      <c r="F733" s="86" t="s">
        <v>1833</v>
      </c>
      <c r="G733" s="82">
        <v>7.0</v>
      </c>
      <c r="H733" s="82">
        <v>7.0</v>
      </c>
      <c r="I733" s="82">
        <v>7.0</v>
      </c>
      <c r="J733" s="152">
        <v>50.0</v>
      </c>
      <c r="K733" s="84">
        <f t="shared" si="22"/>
        <v>7.142857143</v>
      </c>
      <c r="L733" s="82" t="s">
        <v>626</v>
      </c>
    </row>
    <row r="734" ht="15.0" customHeight="1">
      <c r="A734" s="82" t="s">
        <v>2737</v>
      </c>
      <c r="B734" s="82" t="s">
        <v>2738</v>
      </c>
      <c r="C734" s="82" t="s">
        <v>94</v>
      </c>
      <c r="D734" s="82" t="s">
        <v>2890</v>
      </c>
      <c r="E734" s="79" t="s">
        <v>2891</v>
      </c>
      <c r="F734" s="86" t="s">
        <v>314</v>
      </c>
      <c r="G734" s="82">
        <v>7.0</v>
      </c>
      <c r="H734" s="82">
        <v>7.0</v>
      </c>
      <c r="I734" s="82">
        <v>7.0</v>
      </c>
      <c r="J734" s="152">
        <v>50.0</v>
      </c>
      <c r="K734" s="84">
        <f t="shared" si="22"/>
        <v>7.142857143</v>
      </c>
      <c r="L734" s="82" t="s">
        <v>626</v>
      </c>
    </row>
    <row r="735" ht="15.0" customHeight="1">
      <c r="A735" s="82" t="s">
        <v>2892</v>
      </c>
      <c r="B735" s="82" t="s">
        <v>2893</v>
      </c>
      <c r="C735" s="82" t="s">
        <v>94</v>
      </c>
      <c r="D735" s="82" t="s">
        <v>2894</v>
      </c>
      <c r="E735" s="79" t="s">
        <v>2895</v>
      </c>
      <c r="F735" s="86" t="s">
        <v>1833</v>
      </c>
      <c r="G735" s="82">
        <v>4.0</v>
      </c>
      <c r="H735" s="82">
        <v>3.0</v>
      </c>
      <c r="I735" s="82">
        <v>4.0</v>
      </c>
      <c r="J735" s="152">
        <v>50.0</v>
      </c>
      <c r="K735" s="84">
        <f t="shared" si="22"/>
        <v>12.5</v>
      </c>
      <c r="L735" s="82" t="s">
        <v>626</v>
      </c>
    </row>
    <row r="736" ht="15.0" customHeight="1">
      <c r="A736" s="82" t="s">
        <v>2892</v>
      </c>
      <c r="B736" s="82" t="s">
        <v>2893</v>
      </c>
      <c r="C736" s="82" t="s">
        <v>94</v>
      </c>
      <c r="D736" s="82" t="s">
        <v>2896</v>
      </c>
      <c r="E736" s="79" t="s">
        <v>2897</v>
      </c>
      <c r="F736" s="86" t="s">
        <v>1833</v>
      </c>
      <c r="G736" s="82">
        <v>4.0</v>
      </c>
      <c r="H736" s="82">
        <v>3.0</v>
      </c>
      <c r="I736" s="82">
        <v>4.0</v>
      </c>
      <c r="J736" s="152">
        <v>50.0</v>
      </c>
      <c r="K736" s="84">
        <f t="shared" si="22"/>
        <v>12.5</v>
      </c>
      <c r="L736" s="82" t="s">
        <v>626</v>
      </c>
    </row>
    <row r="737" ht="15.0" customHeight="1">
      <c r="A737" s="82" t="s">
        <v>2892</v>
      </c>
      <c r="B737" s="82" t="s">
        <v>2893</v>
      </c>
      <c r="C737" s="82" t="s">
        <v>94</v>
      </c>
      <c r="D737" s="82" t="s">
        <v>2898</v>
      </c>
      <c r="E737" s="79" t="s">
        <v>2899</v>
      </c>
      <c r="F737" s="86" t="s">
        <v>314</v>
      </c>
      <c r="G737" s="82">
        <v>4.0</v>
      </c>
      <c r="H737" s="82">
        <v>3.0</v>
      </c>
      <c r="I737" s="82">
        <v>4.0</v>
      </c>
      <c r="J737" s="152">
        <v>50.0</v>
      </c>
      <c r="K737" s="84">
        <f t="shared" si="22"/>
        <v>12.5</v>
      </c>
      <c r="L737" s="82" t="s">
        <v>626</v>
      </c>
    </row>
    <row r="738" ht="15.0" customHeight="1">
      <c r="A738" s="82" t="s">
        <v>2892</v>
      </c>
      <c r="B738" s="82" t="s">
        <v>2893</v>
      </c>
      <c r="C738" s="82" t="s">
        <v>94</v>
      </c>
      <c r="D738" s="82" t="s">
        <v>2900</v>
      </c>
      <c r="E738" s="79" t="s">
        <v>2901</v>
      </c>
      <c r="F738" s="86" t="s">
        <v>314</v>
      </c>
      <c r="G738" s="82">
        <v>4.0</v>
      </c>
      <c r="H738" s="82">
        <v>3.0</v>
      </c>
      <c r="I738" s="82">
        <v>4.0</v>
      </c>
      <c r="J738" s="152">
        <v>50.0</v>
      </c>
      <c r="K738" s="84">
        <f t="shared" si="22"/>
        <v>12.5</v>
      </c>
      <c r="L738" s="82" t="s">
        <v>626</v>
      </c>
    </row>
    <row r="739" ht="15.0" customHeight="1">
      <c r="A739" s="82" t="s">
        <v>2902</v>
      </c>
      <c r="B739" s="82" t="s">
        <v>2903</v>
      </c>
      <c r="C739" s="82" t="s">
        <v>94</v>
      </c>
      <c r="D739" s="82" t="s">
        <v>2904</v>
      </c>
      <c r="E739" s="79" t="s">
        <v>2905</v>
      </c>
      <c r="F739" s="86" t="s">
        <v>1833</v>
      </c>
      <c r="G739" s="82">
        <v>1.0</v>
      </c>
      <c r="H739" s="82">
        <v>1.0</v>
      </c>
      <c r="I739" s="82">
        <v>2.0</v>
      </c>
      <c r="J739" s="152">
        <v>50.0</v>
      </c>
      <c r="K739" s="84">
        <f t="shared" si="22"/>
        <v>50</v>
      </c>
      <c r="L739" s="82" t="s">
        <v>626</v>
      </c>
    </row>
    <row r="740" ht="15.0" customHeight="1">
      <c r="A740" s="82" t="s">
        <v>2731</v>
      </c>
      <c r="B740" s="82" t="s">
        <v>2732</v>
      </c>
      <c r="C740" s="82" t="s">
        <v>94</v>
      </c>
      <c r="D740" s="82" t="s">
        <v>2906</v>
      </c>
      <c r="E740" s="79" t="s">
        <v>2907</v>
      </c>
      <c r="F740" s="86" t="s">
        <v>1833</v>
      </c>
      <c r="G740" s="82">
        <v>3.0</v>
      </c>
      <c r="H740" s="82">
        <v>2.0</v>
      </c>
      <c r="I740" s="82">
        <v>4.0</v>
      </c>
      <c r="J740" s="152">
        <v>50.0</v>
      </c>
      <c r="K740" s="84">
        <f t="shared" si="22"/>
        <v>16.66666667</v>
      </c>
      <c r="L740" s="82" t="s">
        <v>626</v>
      </c>
    </row>
    <row r="741" ht="15.0" customHeight="1">
      <c r="A741" s="82" t="s">
        <v>2731</v>
      </c>
      <c r="B741" s="82" t="s">
        <v>2732</v>
      </c>
      <c r="C741" s="82" t="s">
        <v>94</v>
      </c>
      <c r="D741" s="82" t="s">
        <v>2908</v>
      </c>
      <c r="E741" s="79" t="s">
        <v>2909</v>
      </c>
      <c r="F741" s="86" t="s">
        <v>314</v>
      </c>
      <c r="G741" s="82">
        <v>3.0</v>
      </c>
      <c r="H741" s="82">
        <v>2.0</v>
      </c>
      <c r="I741" s="82">
        <v>4.0</v>
      </c>
      <c r="J741" s="152">
        <v>50.0</v>
      </c>
      <c r="K741" s="84">
        <f t="shared" si="22"/>
        <v>16.66666667</v>
      </c>
      <c r="L741" s="82" t="s">
        <v>626</v>
      </c>
    </row>
    <row r="742" ht="15.0" customHeight="1">
      <c r="A742" s="82" t="s">
        <v>2712</v>
      </c>
      <c r="B742" s="82" t="s">
        <v>2713</v>
      </c>
      <c r="C742" s="82" t="s">
        <v>94</v>
      </c>
      <c r="D742" s="82" t="s">
        <v>2910</v>
      </c>
      <c r="E742" s="79" t="s">
        <v>2911</v>
      </c>
      <c r="F742" s="86" t="s">
        <v>314</v>
      </c>
      <c r="G742" s="82">
        <v>3.0</v>
      </c>
      <c r="H742" s="82">
        <v>3.0</v>
      </c>
      <c r="I742" s="82">
        <v>3.0</v>
      </c>
      <c r="J742" s="152">
        <v>50.0</v>
      </c>
      <c r="K742" s="84">
        <f t="shared" si="22"/>
        <v>16.66666667</v>
      </c>
      <c r="L742" s="82" t="s">
        <v>626</v>
      </c>
    </row>
    <row r="743" ht="15.0" customHeight="1">
      <c r="A743" s="82" t="s">
        <v>2712</v>
      </c>
      <c r="B743" s="82" t="s">
        <v>2713</v>
      </c>
      <c r="C743" s="82" t="s">
        <v>94</v>
      </c>
      <c r="D743" s="82" t="s">
        <v>2912</v>
      </c>
      <c r="E743" s="79" t="s">
        <v>2913</v>
      </c>
      <c r="F743" s="86" t="s">
        <v>1833</v>
      </c>
      <c r="G743" s="82">
        <v>3.0</v>
      </c>
      <c r="H743" s="82">
        <v>3.0</v>
      </c>
      <c r="I743" s="82">
        <v>3.0</v>
      </c>
      <c r="J743" s="152">
        <v>50.0</v>
      </c>
      <c r="K743" s="84">
        <f t="shared" si="22"/>
        <v>16.66666667</v>
      </c>
      <c r="L743" s="82" t="s">
        <v>626</v>
      </c>
    </row>
    <row r="744" ht="15.0" customHeight="1">
      <c r="A744" s="82" t="s">
        <v>2712</v>
      </c>
      <c r="B744" s="82" t="s">
        <v>2713</v>
      </c>
      <c r="C744" s="82" t="s">
        <v>94</v>
      </c>
      <c r="D744" s="82" t="s">
        <v>2914</v>
      </c>
      <c r="E744" s="79" t="s">
        <v>2915</v>
      </c>
      <c r="F744" s="86" t="s">
        <v>1833</v>
      </c>
      <c r="G744" s="82">
        <v>3.0</v>
      </c>
      <c r="H744" s="82">
        <v>3.0</v>
      </c>
      <c r="I744" s="82">
        <v>3.0</v>
      </c>
      <c r="J744" s="152">
        <v>50.0</v>
      </c>
      <c r="K744" s="84">
        <f t="shared" si="22"/>
        <v>16.66666667</v>
      </c>
      <c r="L744" s="82" t="s">
        <v>626</v>
      </c>
    </row>
    <row r="745" ht="15.0" customHeight="1">
      <c r="A745" s="82" t="s">
        <v>2712</v>
      </c>
      <c r="B745" s="82" t="s">
        <v>2713</v>
      </c>
      <c r="C745" s="82" t="s">
        <v>94</v>
      </c>
      <c r="D745" s="82" t="s">
        <v>2916</v>
      </c>
      <c r="E745" s="79" t="s">
        <v>2917</v>
      </c>
      <c r="F745" s="86" t="s">
        <v>314</v>
      </c>
      <c r="G745" s="82">
        <v>3.0</v>
      </c>
      <c r="H745" s="82">
        <v>3.0</v>
      </c>
      <c r="I745" s="82">
        <v>3.0</v>
      </c>
      <c r="J745" s="152">
        <v>50.0</v>
      </c>
      <c r="K745" s="84">
        <f t="shared" si="22"/>
        <v>16.66666667</v>
      </c>
      <c r="L745" s="82" t="s">
        <v>626</v>
      </c>
    </row>
    <row r="746" ht="15.0" customHeight="1">
      <c r="A746" s="82" t="s">
        <v>2712</v>
      </c>
      <c r="B746" s="82" t="s">
        <v>2713</v>
      </c>
      <c r="C746" s="82" t="s">
        <v>94</v>
      </c>
      <c r="D746" s="82" t="s">
        <v>2918</v>
      </c>
      <c r="E746" s="79" t="s">
        <v>2919</v>
      </c>
      <c r="F746" s="86" t="s">
        <v>314</v>
      </c>
      <c r="G746" s="82">
        <v>3.0</v>
      </c>
      <c r="H746" s="82">
        <v>3.0</v>
      </c>
      <c r="I746" s="82">
        <v>3.0</v>
      </c>
      <c r="J746" s="152">
        <v>50.0</v>
      </c>
      <c r="K746" s="84">
        <f t="shared" si="22"/>
        <v>16.66666667</v>
      </c>
      <c r="L746" s="82" t="s">
        <v>626</v>
      </c>
    </row>
    <row r="747" ht="15.0" customHeight="1">
      <c r="A747" s="82" t="s">
        <v>2712</v>
      </c>
      <c r="B747" s="82" t="s">
        <v>2713</v>
      </c>
      <c r="C747" s="82" t="s">
        <v>94</v>
      </c>
      <c r="D747" s="82" t="s">
        <v>2920</v>
      </c>
      <c r="E747" s="79" t="s">
        <v>2921</v>
      </c>
      <c r="F747" s="86" t="s">
        <v>314</v>
      </c>
      <c r="G747" s="82">
        <v>3.0</v>
      </c>
      <c r="H747" s="82">
        <v>3.0</v>
      </c>
      <c r="I747" s="82">
        <v>3.0</v>
      </c>
      <c r="J747" s="152">
        <v>50.0</v>
      </c>
      <c r="K747" s="84">
        <f t="shared" si="22"/>
        <v>16.66666667</v>
      </c>
      <c r="L747" s="82" t="s">
        <v>626</v>
      </c>
    </row>
    <row r="748" ht="15.0" customHeight="1">
      <c r="A748" s="82" t="s">
        <v>2761</v>
      </c>
      <c r="B748" s="82" t="s">
        <v>2762</v>
      </c>
      <c r="C748" s="82" t="s">
        <v>94</v>
      </c>
      <c r="D748" s="82" t="s">
        <v>2922</v>
      </c>
      <c r="E748" s="79" t="s">
        <v>2923</v>
      </c>
      <c r="F748" s="86" t="s">
        <v>1833</v>
      </c>
      <c r="G748" s="82">
        <v>4.0</v>
      </c>
      <c r="H748" s="82">
        <v>4.0</v>
      </c>
      <c r="I748" s="82">
        <v>4.0</v>
      </c>
      <c r="J748" s="152">
        <v>50.0</v>
      </c>
      <c r="K748" s="84">
        <f t="shared" si="22"/>
        <v>12.5</v>
      </c>
      <c r="L748" s="82" t="s">
        <v>626</v>
      </c>
    </row>
    <row r="749" ht="15.0" customHeight="1">
      <c r="A749" s="82" t="s">
        <v>2924</v>
      </c>
      <c r="B749" s="82" t="s">
        <v>2925</v>
      </c>
      <c r="C749" s="82" t="s">
        <v>94</v>
      </c>
      <c r="D749" s="82" t="s">
        <v>2926</v>
      </c>
      <c r="E749" s="79" t="s">
        <v>2927</v>
      </c>
      <c r="F749" s="86" t="s">
        <v>314</v>
      </c>
      <c r="G749" s="82">
        <v>2.0</v>
      </c>
      <c r="H749" s="82">
        <v>2.0</v>
      </c>
      <c r="I749" s="82">
        <v>2.0</v>
      </c>
      <c r="J749" s="152">
        <v>50.0</v>
      </c>
      <c r="K749" s="84">
        <f t="shared" si="22"/>
        <v>25</v>
      </c>
      <c r="L749" s="82" t="s">
        <v>626</v>
      </c>
    </row>
    <row r="750" ht="15.0" customHeight="1">
      <c r="A750" s="82" t="s">
        <v>2928</v>
      </c>
      <c r="B750" s="82" t="s">
        <v>2929</v>
      </c>
      <c r="C750" s="82" t="s">
        <v>94</v>
      </c>
      <c r="D750" s="82" t="s">
        <v>2930</v>
      </c>
      <c r="E750" s="79" t="s">
        <v>2931</v>
      </c>
      <c r="F750" s="86" t="s">
        <v>314</v>
      </c>
      <c r="G750" s="82">
        <v>1.0</v>
      </c>
      <c r="H750" s="82">
        <v>1.0</v>
      </c>
      <c r="I750" s="82">
        <v>2.0</v>
      </c>
      <c r="J750" s="152">
        <v>50.0</v>
      </c>
      <c r="K750" s="84">
        <f t="shared" si="22"/>
        <v>50</v>
      </c>
      <c r="L750" s="82" t="s">
        <v>626</v>
      </c>
    </row>
    <row r="751" ht="15.0" customHeight="1">
      <c r="A751" s="82" t="s">
        <v>2761</v>
      </c>
      <c r="B751" s="82" t="s">
        <v>2762</v>
      </c>
      <c r="C751" s="82" t="s">
        <v>94</v>
      </c>
      <c r="D751" s="82" t="s">
        <v>2932</v>
      </c>
      <c r="E751" s="87" t="s">
        <v>2933</v>
      </c>
      <c r="F751" s="86" t="s">
        <v>314</v>
      </c>
      <c r="G751" s="82">
        <v>4.0</v>
      </c>
      <c r="H751" s="82">
        <v>4.0</v>
      </c>
      <c r="I751" s="82">
        <v>4.0</v>
      </c>
      <c r="J751" s="152">
        <v>50.0</v>
      </c>
      <c r="K751" s="84">
        <f t="shared" si="22"/>
        <v>12.5</v>
      </c>
      <c r="L751" s="82" t="s">
        <v>626</v>
      </c>
    </row>
    <row r="752" ht="15.0" customHeight="1">
      <c r="A752" s="82" t="s">
        <v>2934</v>
      </c>
      <c r="B752" s="78" t="s">
        <v>2935</v>
      </c>
      <c r="C752" s="82" t="s">
        <v>94</v>
      </c>
      <c r="D752" s="82" t="s">
        <v>2936</v>
      </c>
      <c r="E752" s="79" t="s">
        <v>2937</v>
      </c>
      <c r="F752" s="82" t="s">
        <v>1833</v>
      </c>
      <c r="G752" s="82">
        <v>5.0</v>
      </c>
      <c r="H752" s="82">
        <v>5.0</v>
      </c>
      <c r="I752" s="82">
        <v>5.0</v>
      </c>
      <c r="J752" s="82">
        <v>50.0</v>
      </c>
      <c r="K752" s="82">
        <v>10.0</v>
      </c>
      <c r="L752" s="82" t="s">
        <v>646</v>
      </c>
    </row>
    <row r="753" ht="15.0" customHeight="1">
      <c r="A753" s="82" t="s">
        <v>2934</v>
      </c>
      <c r="B753" s="78" t="s">
        <v>2935</v>
      </c>
      <c r="C753" s="82" t="s">
        <v>94</v>
      </c>
      <c r="D753" s="82" t="s">
        <v>2938</v>
      </c>
      <c r="E753" s="79" t="s">
        <v>2939</v>
      </c>
      <c r="F753" s="86" t="s">
        <v>1264</v>
      </c>
      <c r="G753" s="82">
        <v>5.0</v>
      </c>
      <c r="H753" s="82">
        <v>5.0</v>
      </c>
      <c r="I753" s="82">
        <v>5.0</v>
      </c>
      <c r="J753" s="152">
        <v>50.0</v>
      </c>
      <c r="K753" s="84">
        <v>10.0</v>
      </c>
      <c r="L753" s="82" t="s">
        <v>646</v>
      </c>
    </row>
    <row r="754" ht="15.0" customHeight="1">
      <c r="A754" s="82" t="s">
        <v>2934</v>
      </c>
      <c r="B754" s="78" t="s">
        <v>2935</v>
      </c>
      <c r="C754" s="82" t="s">
        <v>94</v>
      </c>
      <c r="D754" s="82" t="s">
        <v>2940</v>
      </c>
      <c r="E754" s="95" t="s">
        <v>1682</v>
      </c>
      <c r="F754" s="86" t="s">
        <v>1264</v>
      </c>
      <c r="G754" s="82">
        <v>5.0</v>
      </c>
      <c r="H754" s="82">
        <v>5.0</v>
      </c>
      <c r="I754" s="82">
        <v>5.0</v>
      </c>
      <c r="J754" s="152">
        <v>50.0</v>
      </c>
      <c r="K754" s="84">
        <v>10.0</v>
      </c>
      <c r="L754" s="82" t="s">
        <v>646</v>
      </c>
    </row>
    <row r="755" ht="15.0" customHeight="1">
      <c r="A755" s="82" t="s">
        <v>2934</v>
      </c>
      <c r="B755" s="78" t="s">
        <v>2935</v>
      </c>
      <c r="C755" s="82" t="s">
        <v>94</v>
      </c>
      <c r="D755" s="82" t="s">
        <v>2941</v>
      </c>
      <c r="E755" s="79" t="s">
        <v>2942</v>
      </c>
      <c r="F755" s="86" t="s">
        <v>1264</v>
      </c>
      <c r="G755" s="82">
        <v>5.0</v>
      </c>
      <c r="H755" s="82">
        <v>5.0</v>
      </c>
      <c r="I755" s="82">
        <v>5.0</v>
      </c>
      <c r="J755" s="152">
        <v>50.0</v>
      </c>
      <c r="K755" s="84">
        <v>10.0</v>
      </c>
      <c r="L755" s="82" t="s">
        <v>646</v>
      </c>
    </row>
    <row r="756" ht="15.0" customHeight="1">
      <c r="A756" s="78" t="s">
        <v>2943</v>
      </c>
      <c r="B756" s="82" t="s">
        <v>2944</v>
      </c>
      <c r="C756" s="82" t="s">
        <v>94</v>
      </c>
      <c r="D756" s="82" t="s">
        <v>2945</v>
      </c>
      <c r="E756" s="79" t="s">
        <v>2946</v>
      </c>
      <c r="F756" s="86" t="s">
        <v>1264</v>
      </c>
      <c r="G756" s="82">
        <v>7.0</v>
      </c>
      <c r="H756" s="82">
        <v>7.0</v>
      </c>
      <c r="I756" s="82">
        <v>8.0</v>
      </c>
      <c r="J756" s="152">
        <v>50.0</v>
      </c>
      <c r="K756" s="84">
        <f t="shared" ref="K756:K767" si="23">J756/G756</f>
        <v>7.142857143</v>
      </c>
      <c r="L756" s="82" t="s">
        <v>646</v>
      </c>
    </row>
    <row r="757" ht="15.0" customHeight="1">
      <c r="A757" s="82" t="s">
        <v>2947</v>
      </c>
      <c r="B757" s="82" t="s">
        <v>2948</v>
      </c>
      <c r="C757" s="82" t="s">
        <v>94</v>
      </c>
      <c r="D757" s="82" t="s">
        <v>2949</v>
      </c>
      <c r="E757" s="82" t="s">
        <v>2946</v>
      </c>
      <c r="F757" s="86" t="s">
        <v>1264</v>
      </c>
      <c r="G757" s="82">
        <v>7.0</v>
      </c>
      <c r="H757" s="82">
        <v>7.0</v>
      </c>
      <c r="I757" s="82">
        <v>7.0</v>
      </c>
      <c r="J757" s="152">
        <v>50.0</v>
      </c>
      <c r="K757" s="84">
        <f t="shared" si="23"/>
        <v>7.142857143</v>
      </c>
      <c r="L757" s="82" t="s">
        <v>646</v>
      </c>
    </row>
    <row r="758" ht="15.0" customHeight="1">
      <c r="A758" s="82" t="s">
        <v>2950</v>
      </c>
      <c r="B758" s="82" t="s">
        <v>2951</v>
      </c>
      <c r="C758" s="82" t="s">
        <v>94</v>
      </c>
      <c r="D758" s="82" t="s">
        <v>2952</v>
      </c>
      <c r="E758" s="79" t="s">
        <v>2953</v>
      </c>
      <c r="F758" s="86" t="s">
        <v>259</v>
      </c>
      <c r="G758" s="82">
        <v>4.0</v>
      </c>
      <c r="H758" s="82">
        <v>4.0</v>
      </c>
      <c r="I758" s="82">
        <v>4.0</v>
      </c>
      <c r="J758" s="152">
        <v>50.0</v>
      </c>
      <c r="K758" s="84">
        <f t="shared" si="23"/>
        <v>12.5</v>
      </c>
      <c r="L758" s="82" t="s">
        <v>646</v>
      </c>
    </row>
    <row r="759" ht="15.0" customHeight="1">
      <c r="A759" s="82" t="s">
        <v>2954</v>
      </c>
      <c r="B759" s="78" t="s">
        <v>2955</v>
      </c>
      <c r="C759" s="82" t="s">
        <v>94</v>
      </c>
      <c r="D759" s="82" t="s">
        <v>2956</v>
      </c>
      <c r="E759" s="82" t="s">
        <v>2040</v>
      </c>
      <c r="F759" s="86" t="s">
        <v>1264</v>
      </c>
      <c r="G759" s="82">
        <v>4.0</v>
      </c>
      <c r="H759" s="82">
        <v>4.0</v>
      </c>
      <c r="I759" s="82">
        <v>4.0</v>
      </c>
      <c r="J759" s="152">
        <v>50.0</v>
      </c>
      <c r="K759" s="84">
        <f t="shared" si="23"/>
        <v>12.5</v>
      </c>
      <c r="L759" s="82" t="s">
        <v>646</v>
      </c>
    </row>
    <row r="760" ht="15.0" customHeight="1">
      <c r="A760" s="82" t="s">
        <v>2954</v>
      </c>
      <c r="B760" s="78" t="s">
        <v>2955</v>
      </c>
      <c r="C760" s="82" t="s">
        <v>94</v>
      </c>
      <c r="D760" s="82" t="s">
        <v>2957</v>
      </c>
      <c r="E760" s="82" t="s">
        <v>2044</v>
      </c>
      <c r="F760" s="86" t="s">
        <v>1264</v>
      </c>
      <c r="G760" s="82">
        <v>4.0</v>
      </c>
      <c r="H760" s="82">
        <v>4.0</v>
      </c>
      <c r="I760" s="82">
        <v>4.0</v>
      </c>
      <c r="J760" s="152">
        <v>50.0</v>
      </c>
      <c r="K760" s="84">
        <f t="shared" si="23"/>
        <v>12.5</v>
      </c>
      <c r="L760" s="82" t="s">
        <v>646</v>
      </c>
    </row>
    <row r="761" ht="15.0" customHeight="1">
      <c r="A761" s="82" t="s">
        <v>2954</v>
      </c>
      <c r="B761" s="78" t="s">
        <v>2955</v>
      </c>
      <c r="C761" s="82" t="s">
        <v>94</v>
      </c>
      <c r="D761" s="155" t="s">
        <v>2958</v>
      </c>
      <c r="E761" s="79" t="s">
        <v>2042</v>
      </c>
      <c r="F761" s="86" t="s">
        <v>1264</v>
      </c>
      <c r="G761" s="82">
        <v>4.0</v>
      </c>
      <c r="H761" s="82">
        <v>4.0</v>
      </c>
      <c r="I761" s="82">
        <v>4.0</v>
      </c>
      <c r="J761" s="152">
        <v>50.0</v>
      </c>
      <c r="K761" s="84">
        <f t="shared" si="23"/>
        <v>12.5</v>
      </c>
      <c r="L761" s="82" t="s">
        <v>646</v>
      </c>
    </row>
    <row r="762" ht="15.0" customHeight="1">
      <c r="A762" s="82" t="s">
        <v>2954</v>
      </c>
      <c r="B762" s="78" t="s">
        <v>2955</v>
      </c>
      <c r="C762" s="82" t="s">
        <v>94</v>
      </c>
      <c r="D762" s="82" t="s">
        <v>2959</v>
      </c>
      <c r="E762" s="82" t="s">
        <v>2960</v>
      </c>
      <c r="F762" s="86" t="s">
        <v>259</v>
      </c>
      <c r="G762" s="82">
        <v>4.0</v>
      </c>
      <c r="H762" s="82">
        <v>4.0</v>
      </c>
      <c r="I762" s="82">
        <v>4.0</v>
      </c>
      <c r="J762" s="152">
        <v>50.0</v>
      </c>
      <c r="K762" s="84">
        <f t="shared" si="23"/>
        <v>12.5</v>
      </c>
      <c r="L762" s="82" t="s">
        <v>646</v>
      </c>
    </row>
    <row r="763" ht="15.0" customHeight="1">
      <c r="A763" s="82" t="s">
        <v>2954</v>
      </c>
      <c r="B763" s="78" t="s">
        <v>2955</v>
      </c>
      <c r="C763" s="82" t="s">
        <v>94</v>
      </c>
      <c r="D763" s="82" t="s">
        <v>2961</v>
      </c>
      <c r="E763" s="82" t="s">
        <v>2962</v>
      </c>
      <c r="F763" s="86" t="s">
        <v>1264</v>
      </c>
      <c r="G763" s="82">
        <v>4.0</v>
      </c>
      <c r="H763" s="82">
        <v>4.0</v>
      </c>
      <c r="I763" s="82">
        <v>4.0</v>
      </c>
      <c r="J763" s="152">
        <v>50.0</v>
      </c>
      <c r="K763" s="84">
        <f t="shared" si="23"/>
        <v>12.5</v>
      </c>
      <c r="L763" s="82" t="s">
        <v>646</v>
      </c>
    </row>
    <row r="764" ht="15.0" customHeight="1">
      <c r="A764" s="82" t="s">
        <v>2954</v>
      </c>
      <c r="B764" s="78" t="s">
        <v>2955</v>
      </c>
      <c r="C764" s="82" t="s">
        <v>94</v>
      </c>
      <c r="D764" s="82" t="s">
        <v>2963</v>
      </c>
      <c r="E764" s="87" t="s">
        <v>2964</v>
      </c>
      <c r="F764" s="86" t="s">
        <v>1264</v>
      </c>
      <c r="G764" s="82">
        <v>4.0</v>
      </c>
      <c r="H764" s="82">
        <v>4.0</v>
      </c>
      <c r="I764" s="82">
        <v>4.0</v>
      </c>
      <c r="J764" s="152">
        <v>50.0</v>
      </c>
      <c r="K764" s="84">
        <f t="shared" si="23"/>
        <v>12.5</v>
      </c>
      <c r="L764" s="82" t="s">
        <v>646</v>
      </c>
    </row>
    <row r="765" ht="15.0" customHeight="1">
      <c r="A765" s="82" t="s">
        <v>2954</v>
      </c>
      <c r="B765" s="78" t="s">
        <v>2955</v>
      </c>
      <c r="C765" s="82" t="s">
        <v>94</v>
      </c>
      <c r="D765" s="82" t="s">
        <v>2965</v>
      </c>
      <c r="E765" s="82" t="s">
        <v>2966</v>
      </c>
      <c r="F765" s="86" t="s">
        <v>1264</v>
      </c>
      <c r="G765" s="82">
        <v>4.0</v>
      </c>
      <c r="H765" s="82">
        <v>4.0</v>
      </c>
      <c r="I765" s="82">
        <v>4.0</v>
      </c>
      <c r="J765" s="152">
        <v>50.0</v>
      </c>
      <c r="K765" s="84">
        <f t="shared" si="23"/>
        <v>12.5</v>
      </c>
      <c r="L765" s="82" t="s">
        <v>646</v>
      </c>
    </row>
    <row r="766" ht="15.0" customHeight="1">
      <c r="A766" s="82" t="s">
        <v>2967</v>
      </c>
      <c r="B766" s="78" t="s">
        <v>2968</v>
      </c>
      <c r="C766" s="82" t="s">
        <v>94</v>
      </c>
      <c r="D766" s="82" t="s">
        <v>2969</v>
      </c>
      <c r="E766" s="82" t="s">
        <v>2970</v>
      </c>
      <c r="F766" s="86" t="s">
        <v>1264</v>
      </c>
      <c r="G766" s="82">
        <v>8.0</v>
      </c>
      <c r="H766" s="82">
        <v>8.0</v>
      </c>
      <c r="I766" s="82">
        <v>8.0</v>
      </c>
      <c r="J766" s="152">
        <v>50.0</v>
      </c>
      <c r="K766" s="84">
        <f t="shared" si="23"/>
        <v>6.25</v>
      </c>
      <c r="L766" s="82" t="s">
        <v>646</v>
      </c>
    </row>
    <row r="767" ht="15.0" customHeight="1">
      <c r="A767" s="82" t="s">
        <v>2971</v>
      </c>
      <c r="B767" s="78" t="s">
        <v>2972</v>
      </c>
      <c r="C767" s="82" t="s">
        <v>94</v>
      </c>
      <c r="D767" s="82" t="s">
        <v>2973</v>
      </c>
      <c r="E767" s="79" t="s">
        <v>2974</v>
      </c>
      <c r="F767" s="86" t="s">
        <v>1264</v>
      </c>
      <c r="G767" s="82">
        <v>1.0</v>
      </c>
      <c r="H767" s="82">
        <v>1.0</v>
      </c>
      <c r="I767" s="82">
        <v>7.0</v>
      </c>
      <c r="J767" s="152">
        <v>50.0</v>
      </c>
      <c r="K767" s="84">
        <f t="shared" si="23"/>
        <v>50</v>
      </c>
      <c r="L767" s="82" t="s">
        <v>646</v>
      </c>
    </row>
    <row r="768" ht="15.0" customHeight="1">
      <c r="A768" s="82" t="s">
        <v>2975</v>
      </c>
      <c r="B768" s="78" t="s">
        <v>2976</v>
      </c>
      <c r="C768" s="82" t="s">
        <v>94</v>
      </c>
      <c r="D768" s="82" t="s">
        <v>2977</v>
      </c>
      <c r="E768" s="79" t="s">
        <v>2978</v>
      </c>
      <c r="F768" s="82" t="s">
        <v>314</v>
      </c>
      <c r="G768" s="82">
        <v>3.0</v>
      </c>
      <c r="H768" s="82">
        <v>2.0</v>
      </c>
      <c r="I768" s="82">
        <v>3.0</v>
      </c>
      <c r="J768" s="82">
        <v>50.0</v>
      </c>
      <c r="K768" s="82">
        <v>16.66</v>
      </c>
      <c r="L768" s="82" t="s">
        <v>655</v>
      </c>
    </row>
    <row r="769" ht="15.0" customHeight="1">
      <c r="A769" s="78" t="s">
        <v>2979</v>
      </c>
      <c r="B769" s="82" t="s">
        <v>2980</v>
      </c>
      <c r="C769" s="78" t="s">
        <v>94</v>
      </c>
      <c r="D769" s="82" t="s">
        <v>2981</v>
      </c>
      <c r="E769" s="79" t="s">
        <v>2982</v>
      </c>
      <c r="F769" s="86" t="s">
        <v>314</v>
      </c>
      <c r="G769" s="82">
        <v>4.0</v>
      </c>
      <c r="H769" s="82">
        <v>1.0</v>
      </c>
      <c r="I769" s="82">
        <v>5.0</v>
      </c>
      <c r="J769" s="152">
        <v>50.0</v>
      </c>
      <c r="K769" s="84">
        <v>12.5</v>
      </c>
      <c r="L769" s="82" t="s">
        <v>655</v>
      </c>
    </row>
    <row r="770" ht="15.0" customHeight="1">
      <c r="A770" s="78" t="s">
        <v>2979</v>
      </c>
      <c r="B770" s="82" t="s">
        <v>2980</v>
      </c>
      <c r="C770" s="78" t="s">
        <v>94</v>
      </c>
      <c r="D770" s="82" t="s">
        <v>2983</v>
      </c>
      <c r="E770" s="79" t="s">
        <v>2984</v>
      </c>
      <c r="F770" s="86" t="s">
        <v>314</v>
      </c>
      <c r="G770" s="82">
        <v>4.0</v>
      </c>
      <c r="H770" s="82">
        <v>1.0</v>
      </c>
      <c r="I770" s="82">
        <v>5.0</v>
      </c>
      <c r="J770" s="152">
        <v>50.0</v>
      </c>
      <c r="K770" s="84">
        <v>12.5</v>
      </c>
      <c r="L770" s="82" t="s">
        <v>655</v>
      </c>
    </row>
    <row r="771" ht="15.0" customHeight="1">
      <c r="A771" s="78" t="s">
        <v>2979</v>
      </c>
      <c r="B771" s="82" t="s">
        <v>2980</v>
      </c>
      <c r="C771" s="78" t="s">
        <v>94</v>
      </c>
      <c r="D771" s="82" t="s">
        <v>2985</v>
      </c>
      <c r="E771" s="79" t="s">
        <v>2986</v>
      </c>
      <c r="F771" s="86" t="s">
        <v>314</v>
      </c>
      <c r="G771" s="82">
        <v>4.0</v>
      </c>
      <c r="H771" s="82">
        <v>1.0</v>
      </c>
      <c r="I771" s="82">
        <v>5.0</v>
      </c>
      <c r="J771" s="152">
        <v>50.0</v>
      </c>
      <c r="K771" s="84">
        <v>12.5</v>
      </c>
      <c r="L771" s="82" t="s">
        <v>655</v>
      </c>
    </row>
    <row r="772" ht="15.0" customHeight="1">
      <c r="A772" s="82" t="s">
        <v>2987</v>
      </c>
      <c r="B772" s="82" t="s">
        <v>2988</v>
      </c>
      <c r="C772" s="82" t="s">
        <v>94</v>
      </c>
      <c r="D772" s="82" t="s">
        <v>2989</v>
      </c>
      <c r="E772" s="79" t="s">
        <v>2990</v>
      </c>
      <c r="F772" s="86" t="s">
        <v>314</v>
      </c>
      <c r="G772" s="82">
        <v>3.0</v>
      </c>
      <c r="H772" s="82">
        <v>2.0</v>
      </c>
      <c r="I772" s="82">
        <v>3.0</v>
      </c>
      <c r="J772" s="152">
        <v>50.0</v>
      </c>
      <c r="K772" s="84">
        <v>16.66</v>
      </c>
      <c r="L772" s="82" t="s">
        <v>655</v>
      </c>
    </row>
    <row r="773" ht="15.0" customHeight="1">
      <c r="A773" s="82" t="s">
        <v>2991</v>
      </c>
      <c r="B773" s="82" t="s">
        <v>2992</v>
      </c>
      <c r="C773" s="82" t="s">
        <v>94</v>
      </c>
      <c r="D773" s="82" t="s">
        <v>2993</v>
      </c>
      <c r="E773" s="79" t="s">
        <v>2994</v>
      </c>
      <c r="F773" s="86" t="s">
        <v>314</v>
      </c>
      <c r="G773" s="82">
        <v>2.0</v>
      </c>
      <c r="H773" s="82">
        <v>2.0</v>
      </c>
      <c r="I773" s="82">
        <v>2.0</v>
      </c>
      <c r="J773" s="152">
        <v>50.0</v>
      </c>
      <c r="K773" s="84">
        <v>25.0</v>
      </c>
      <c r="L773" s="82" t="s">
        <v>655</v>
      </c>
    </row>
    <row r="774" ht="15.0" customHeight="1">
      <c r="A774" s="82" t="s">
        <v>2995</v>
      </c>
      <c r="B774" s="82" t="s">
        <v>2996</v>
      </c>
      <c r="C774" s="82" t="s">
        <v>94</v>
      </c>
      <c r="D774" s="82" t="s">
        <v>2997</v>
      </c>
      <c r="E774" s="79" t="s">
        <v>2998</v>
      </c>
      <c r="F774" s="86" t="s">
        <v>314</v>
      </c>
      <c r="G774" s="82">
        <v>3.0</v>
      </c>
      <c r="H774" s="82">
        <v>2.0</v>
      </c>
      <c r="I774" s="82">
        <v>3.0</v>
      </c>
      <c r="J774" s="152">
        <v>50.0</v>
      </c>
      <c r="K774" s="84">
        <v>16.66</v>
      </c>
      <c r="L774" s="82" t="s">
        <v>655</v>
      </c>
    </row>
    <row r="775" ht="15.0" customHeight="1">
      <c r="A775" s="82" t="s">
        <v>2999</v>
      </c>
      <c r="B775" s="82" t="s">
        <v>3000</v>
      </c>
      <c r="C775" s="82" t="s">
        <v>94</v>
      </c>
      <c r="D775" s="82" t="s">
        <v>3001</v>
      </c>
      <c r="E775" s="79" t="s">
        <v>3002</v>
      </c>
      <c r="F775" s="86" t="s">
        <v>314</v>
      </c>
      <c r="G775" s="82">
        <v>3.0</v>
      </c>
      <c r="H775" s="82">
        <v>3.0</v>
      </c>
      <c r="I775" s="82">
        <v>3.0</v>
      </c>
      <c r="J775" s="152">
        <v>50.0</v>
      </c>
      <c r="K775" s="84">
        <v>16.66</v>
      </c>
      <c r="L775" s="82" t="s">
        <v>655</v>
      </c>
    </row>
    <row r="776" ht="15.0" customHeight="1">
      <c r="A776" s="82" t="s">
        <v>3003</v>
      </c>
      <c r="B776" s="78" t="s">
        <v>3004</v>
      </c>
      <c r="C776" s="82" t="s">
        <v>94</v>
      </c>
      <c r="D776" s="82" t="s">
        <v>3005</v>
      </c>
      <c r="E776" s="79" t="s">
        <v>3006</v>
      </c>
      <c r="F776" s="87" t="s">
        <v>3007</v>
      </c>
      <c r="G776" s="82">
        <v>2.0</v>
      </c>
      <c r="H776" s="82">
        <v>2.0</v>
      </c>
      <c r="I776" s="82">
        <v>4.0</v>
      </c>
      <c r="J776" s="82">
        <v>50.0</v>
      </c>
      <c r="K776" s="82">
        <v>25.0</v>
      </c>
      <c r="L776" s="82" t="s">
        <v>3008</v>
      </c>
    </row>
    <row r="777" ht="15.0" customHeight="1">
      <c r="A777" s="82" t="s">
        <v>3003</v>
      </c>
      <c r="B777" s="82" t="s">
        <v>3004</v>
      </c>
      <c r="C777" s="82" t="s">
        <v>94</v>
      </c>
      <c r="D777" s="82" t="s">
        <v>3009</v>
      </c>
      <c r="E777" s="79" t="s">
        <v>3010</v>
      </c>
      <c r="F777" s="82" t="s">
        <v>3011</v>
      </c>
      <c r="G777" s="82">
        <v>2.0</v>
      </c>
      <c r="H777" s="82">
        <v>2.0</v>
      </c>
      <c r="I777" s="82">
        <v>4.0</v>
      </c>
      <c r="J777" s="152">
        <v>50.0</v>
      </c>
      <c r="K777" s="82">
        <v>25.0</v>
      </c>
      <c r="L777" s="82" t="s">
        <v>3008</v>
      </c>
    </row>
    <row r="778" ht="15.0" customHeight="1">
      <c r="A778" s="82" t="s">
        <v>3003</v>
      </c>
      <c r="B778" s="78" t="s">
        <v>3004</v>
      </c>
      <c r="C778" s="82" t="s">
        <v>94</v>
      </c>
      <c r="D778" s="82" t="s">
        <v>3012</v>
      </c>
      <c r="E778" s="79" t="s">
        <v>3013</v>
      </c>
      <c r="F778" s="87" t="s">
        <v>3014</v>
      </c>
      <c r="G778" s="82">
        <v>2.0</v>
      </c>
      <c r="H778" s="82">
        <v>2.0</v>
      </c>
      <c r="I778" s="82">
        <v>4.0</v>
      </c>
      <c r="J778" s="152">
        <v>50.0</v>
      </c>
      <c r="K778" s="82">
        <v>25.0</v>
      </c>
      <c r="L778" s="82" t="s">
        <v>3008</v>
      </c>
    </row>
    <row r="779" ht="15.0" customHeight="1">
      <c r="A779" s="78" t="s">
        <v>3003</v>
      </c>
      <c r="B779" s="78" t="s">
        <v>3004</v>
      </c>
      <c r="C779" s="78" t="s">
        <v>94</v>
      </c>
      <c r="D779" s="78" t="s">
        <v>3015</v>
      </c>
      <c r="E779" s="90" t="s">
        <v>3016</v>
      </c>
      <c r="F779" s="153" t="s">
        <v>3017</v>
      </c>
      <c r="G779" s="78">
        <v>2.0</v>
      </c>
      <c r="H779" s="78">
        <v>2.0</v>
      </c>
      <c r="I779" s="78">
        <v>4.0</v>
      </c>
      <c r="J779" s="78">
        <v>50.0</v>
      </c>
      <c r="K779" s="82">
        <v>25.0</v>
      </c>
      <c r="L779" s="82" t="s">
        <v>3018</v>
      </c>
    </row>
    <row r="780" ht="15.0" customHeight="1">
      <c r="A780" s="78" t="s">
        <v>3003</v>
      </c>
      <c r="B780" s="78" t="s">
        <v>3004</v>
      </c>
      <c r="C780" s="78" t="s">
        <v>94</v>
      </c>
      <c r="D780" s="78" t="s">
        <v>3019</v>
      </c>
      <c r="E780" s="90" t="s">
        <v>3020</v>
      </c>
      <c r="F780" s="78" t="s">
        <v>3021</v>
      </c>
      <c r="G780" s="78">
        <v>2.0</v>
      </c>
      <c r="H780" s="78">
        <v>2.0</v>
      </c>
      <c r="I780" s="78">
        <v>4.0</v>
      </c>
      <c r="J780" s="78">
        <v>50.0</v>
      </c>
      <c r="K780" s="82">
        <v>25.0</v>
      </c>
      <c r="L780" s="82" t="s">
        <v>3018</v>
      </c>
    </row>
    <row r="781" ht="15.0" customHeight="1">
      <c r="A781" s="82" t="s">
        <v>3003</v>
      </c>
      <c r="B781" s="78" t="s">
        <v>3022</v>
      </c>
      <c r="C781" s="82" t="s">
        <v>94</v>
      </c>
      <c r="D781" s="78" t="s">
        <v>3023</v>
      </c>
      <c r="E781" s="90" t="s">
        <v>3024</v>
      </c>
      <c r="F781" s="95" t="s">
        <v>3025</v>
      </c>
      <c r="G781" s="82">
        <v>2.0</v>
      </c>
      <c r="H781" s="82">
        <v>2.0</v>
      </c>
      <c r="I781" s="82">
        <v>4.0</v>
      </c>
      <c r="J781" s="82">
        <v>50.0</v>
      </c>
      <c r="K781" s="82">
        <v>25.0</v>
      </c>
      <c r="L781" s="82" t="s">
        <v>3018</v>
      </c>
    </row>
    <row r="782" ht="15.0" customHeight="1">
      <c r="A782" s="82" t="s">
        <v>3026</v>
      </c>
      <c r="B782" s="82" t="s">
        <v>3027</v>
      </c>
      <c r="C782" s="82" t="s">
        <v>94</v>
      </c>
      <c r="D782" s="82" t="s">
        <v>3028</v>
      </c>
      <c r="E782" s="95" t="s">
        <v>3029</v>
      </c>
      <c r="F782" s="95" t="s">
        <v>3030</v>
      </c>
      <c r="G782" s="82">
        <v>3.0</v>
      </c>
      <c r="H782" s="82">
        <v>3.0</v>
      </c>
      <c r="I782" s="82">
        <v>4.0</v>
      </c>
      <c r="J782" s="152">
        <v>50.0</v>
      </c>
      <c r="K782" s="84">
        <v>16.67</v>
      </c>
      <c r="L782" s="82" t="s">
        <v>3018</v>
      </c>
    </row>
    <row r="783" ht="15.0" customHeight="1">
      <c r="A783" s="82" t="s">
        <v>3031</v>
      </c>
      <c r="B783" s="82" t="s">
        <v>3032</v>
      </c>
      <c r="C783" s="82" t="s">
        <v>94</v>
      </c>
      <c r="D783" s="82" t="s">
        <v>3033</v>
      </c>
      <c r="E783" s="95" t="s">
        <v>3034</v>
      </c>
      <c r="F783" s="95" t="s">
        <v>3035</v>
      </c>
      <c r="G783" s="82">
        <v>1.0</v>
      </c>
      <c r="H783" s="82">
        <v>1.0</v>
      </c>
      <c r="I783" s="82">
        <v>3.0</v>
      </c>
      <c r="J783" s="152">
        <v>50.0</v>
      </c>
      <c r="K783" s="84">
        <v>50.0</v>
      </c>
      <c r="L783" s="82" t="s">
        <v>3018</v>
      </c>
    </row>
    <row r="784" ht="15.0" customHeight="1">
      <c r="A784" s="82" t="s">
        <v>3036</v>
      </c>
      <c r="B784" s="82" t="s">
        <v>3037</v>
      </c>
      <c r="C784" s="85" t="s">
        <v>94</v>
      </c>
      <c r="D784" s="82" t="s">
        <v>3038</v>
      </c>
      <c r="E784" s="79" t="s">
        <v>3039</v>
      </c>
      <c r="F784" s="95" t="s">
        <v>3040</v>
      </c>
      <c r="G784" s="82">
        <v>1.0</v>
      </c>
      <c r="H784" s="82">
        <v>1.0</v>
      </c>
      <c r="I784" s="82">
        <v>5.0</v>
      </c>
      <c r="J784" s="152">
        <v>50.0</v>
      </c>
      <c r="K784" s="84">
        <v>50.0</v>
      </c>
      <c r="L784" s="82" t="s">
        <v>3018</v>
      </c>
    </row>
    <row r="785" ht="15.0" customHeight="1">
      <c r="A785" s="82" t="s">
        <v>3041</v>
      </c>
      <c r="B785" s="95" t="s">
        <v>3042</v>
      </c>
      <c r="C785" s="82" t="s">
        <v>94</v>
      </c>
      <c r="D785" s="82" t="s">
        <v>3043</v>
      </c>
      <c r="E785" s="79" t="s">
        <v>3044</v>
      </c>
      <c r="F785" s="95" t="s">
        <v>3045</v>
      </c>
      <c r="G785" s="82">
        <v>1.0</v>
      </c>
      <c r="H785" s="82">
        <v>1.0</v>
      </c>
      <c r="I785" s="82">
        <v>2.0</v>
      </c>
      <c r="J785" s="152">
        <v>50.0</v>
      </c>
      <c r="K785" s="84">
        <v>50.0</v>
      </c>
      <c r="L785" s="82" t="s">
        <v>3018</v>
      </c>
    </row>
    <row r="786" ht="15.0" customHeight="1">
      <c r="A786" s="82" t="s">
        <v>3046</v>
      </c>
      <c r="B786" s="78" t="s">
        <v>3047</v>
      </c>
      <c r="C786" s="82" t="s">
        <v>94</v>
      </c>
      <c r="D786" s="82" t="s">
        <v>3048</v>
      </c>
      <c r="E786" s="82" t="s">
        <v>3049</v>
      </c>
      <c r="F786" s="82" t="s">
        <v>259</v>
      </c>
      <c r="G786" s="82">
        <v>2.0</v>
      </c>
      <c r="H786" s="82">
        <v>2.0</v>
      </c>
      <c r="I786" s="82">
        <v>2.0</v>
      </c>
      <c r="J786" s="82">
        <v>50.0</v>
      </c>
      <c r="K786" s="82">
        <f t="shared" ref="K786:K795" si="24">J786/I786</f>
        <v>25</v>
      </c>
      <c r="L786" s="82" t="s">
        <v>3050</v>
      </c>
    </row>
    <row r="787" ht="15.0" customHeight="1">
      <c r="A787" s="82" t="s">
        <v>3046</v>
      </c>
      <c r="B787" s="78" t="s">
        <v>3047</v>
      </c>
      <c r="C787" s="82" t="s">
        <v>94</v>
      </c>
      <c r="D787" s="82" t="s">
        <v>3051</v>
      </c>
      <c r="E787" s="82" t="s">
        <v>3052</v>
      </c>
      <c r="F787" s="82" t="s">
        <v>259</v>
      </c>
      <c r="G787" s="82">
        <v>2.0</v>
      </c>
      <c r="H787" s="82">
        <v>2.0</v>
      </c>
      <c r="I787" s="82">
        <v>2.0</v>
      </c>
      <c r="J787" s="82">
        <v>50.0</v>
      </c>
      <c r="K787" s="82">
        <f t="shared" si="24"/>
        <v>25</v>
      </c>
      <c r="L787" s="82" t="s">
        <v>3050</v>
      </c>
    </row>
    <row r="788" ht="15.0" customHeight="1">
      <c r="A788" s="82" t="s">
        <v>3053</v>
      </c>
      <c r="B788" s="78" t="s">
        <v>3054</v>
      </c>
      <c r="C788" s="82" t="s">
        <v>94</v>
      </c>
      <c r="D788" s="82" t="s">
        <v>3055</v>
      </c>
      <c r="E788" s="82" t="s">
        <v>3056</v>
      </c>
      <c r="F788" s="86" t="s">
        <v>1437</v>
      </c>
      <c r="G788" s="82">
        <v>6.0</v>
      </c>
      <c r="H788" s="82">
        <v>6.0</v>
      </c>
      <c r="I788" s="82">
        <v>6.0</v>
      </c>
      <c r="J788" s="152">
        <v>50.0</v>
      </c>
      <c r="K788" s="84">
        <f t="shared" si="24"/>
        <v>8.333333333</v>
      </c>
      <c r="L788" s="82" t="s">
        <v>3050</v>
      </c>
    </row>
    <row r="789" ht="15.0" customHeight="1">
      <c r="A789" s="82" t="s">
        <v>3053</v>
      </c>
      <c r="B789" s="78" t="s">
        <v>3054</v>
      </c>
      <c r="C789" s="82" t="s">
        <v>94</v>
      </c>
      <c r="D789" s="82" t="s">
        <v>3057</v>
      </c>
      <c r="E789" s="82" t="s">
        <v>3058</v>
      </c>
      <c r="F789" s="86" t="s">
        <v>3059</v>
      </c>
      <c r="G789" s="82">
        <v>6.0</v>
      </c>
      <c r="H789" s="82">
        <v>6.0</v>
      </c>
      <c r="I789" s="82">
        <v>6.0</v>
      </c>
      <c r="J789" s="152">
        <v>50.0</v>
      </c>
      <c r="K789" s="84">
        <f t="shared" si="24"/>
        <v>8.333333333</v>
      </c>
      <c r="L789" s="82" t="s">
        <v>3050</v>
      </c>
    </row>
    <row r="790" ht="15.0" customHeight="1">
      <c r="A790" s="82" t="s">
        <v>3053</v>
      </c>
      <c r="B790" s="78" t="s">
        <v>3054</v>
      </c>
      <c r="C790" s="82" t="s">
        <v>94</v>
      </c>
      <c r="D790" s="82" t="s">
        <v>3060</v>
      </c>
      <c r="E790" s="79" t="s">
        <v>3061</v>
      </c>
      <c r="F790" s="86" t="s">
        <v>259</v>
      </c>
      <c r="G790" s="82">
        <v>6.0</v>
      </c>
      <c r="H790" s="82">
        <v>6.0</v>
      </c>
      <c r="I790" s="82">
        <v>6.0</v>
      </c>
      <c r="J790" s="152">
        <v>50.0</v>
      </c>
      <c r="K790" s="84">
        <f t="shared" si="24"/>
        <v>8.333333333</v>
      </c>
      <c r="L790" s="82" t="s">
        <v>3050</v>
      </c>
    </row>
    <row r="791" ht="15.0" customHeight="1">
      <c r="A791" s="82" t="s">
        <v>3053</v>
      </c>
      <c r="B791" s="78" t="s">
        <v>3054</v>
      </c>
      <c r="C791" s="82" t="s">
        <v>94</v>
      </c>
      <c r="D791" s="82" t="s">
        <v>3062</v>
      </c>
      <c r="E791" s="79" t="s">
        <v>3063</v>
      </c>
      <c r="F791" s="86" t="s">
        <v>259</v>
      </c>
      <c r="G791" s="82">
        <v>6.0</v>
      </c>
      <c r="H791" s="82">
        <v>6.0</v>
      </c>
      <c r="I791" s="82">
        <v>6.0</v>
      </c>
      <c r="J791" s="152">
        <v>50.0</v>
      </c>
      <c r="K791" s="84">
        <f t="shared" si="24"/>
        <v>8.333333333</v>
      </c>
      <c r="L791" s="82" t="s">
        <v>3050</v>
      </c>
    </row>
    <row r="792" ht="15.0" customHeight="1">
      <c r="A792" s="82" t="s">
        <v>3053</v>
      </c>
      <c r="B792" s="78" t="s">
        <v>3054</v>
      </c>
      <c r="C792" s="82" t="s">
        <v>94</v>
      </c>
      <c r="D792" s="82" t="s">
        <v>3064</v>
      </c>
      <c r="E792" s="79" t="s">
        <v>3065</v>
      </c>
      <c r="F792" s="86" t="s">
        <v>2469</v>
      </c>
      <c r="G792" s="82">
        <v>6.0</v>
      </c>
      <c r="H792" s="82">
        <v>6.0</v>
      </c>
      <c r="I792" s="82">
        <v>6.0</v>
      </c>
      <c r="J792" s="152">
        <v>50.0</v>
      </c>
      <c r="K792" s="84">
        <f t="shared" si="24"/>
        <v>8.333333333</v>
      </c>
      <c r="L792" s="82" t="s">
        <v>3050</v>
      </c>
    </row>
    <row r="793" ht="15.0" customHeight="1">
      <c r="A793" s="82" t="s">
        <v>3066</v>
      </c>
      <c r="B793" s="78" t="s">
        <v>3067</v>
      </c>
      <c r="C793" s="82" t="s">
        <v>94</v>
      </c>
      <c r="D793" s="82" t="s">
        <v>3068</v>
      </c>
      <c r="E793" s="82" t="s">
        <v>3069</v>
      </c>
      <c r="F793" s="86" t="s">
        <v>1417</v>
      </c>
      <c r="G793" s="82">
        <v>6.0</v>
      </c>
      <c r="H793" s="82">
        <v>6.0</v>
      </c>
      <c r="I793" s="82">
        <v>6.0</v>
      </c>
      <c r="J793" s="152">
        <v>50.0</v>
      </c>
      <c r="K793" s="84">
        <f t="shared" si="24"/>
        <v>8.333333333</v>
      </c>
      <c r="L793" s="82" t="s">
        <v>3050</v>
      </c>
    </row>
    <row r="794" ht="15.0" customHeight="1">
      <c r="A794" s="82" t="s">
        <v>3066</v>
      </c>
      <c r="B794" s="78" t="s">
        <v>3067</v>
      </c>
      <c r="C794" s="82" t="s">
        <v>94</v>
      </c>
      <c r="D794" s="82" t="s">
        <v>3070</v>
      </c>
      <c r="E794" s="79" t="s">
        <v>3071</v>
      </c>
      <c r="F794" s="86" t="s">
        <v>1417</v>
      </c>
      <c r="G794" s="82">
        <v>6.0</v>
      </c>
      <c r="H794" s="82">
        <v>6.0</v>
      </c>
      <c r="I794" s="82">
        <v>6.0</v>
      </c>
      <c r="J794" s="152">
        <v>50.0</v>
      </c>
      <c r="K794" s="84">
        <f t="shared" si="24"/>
        <v>8.333333333</v>
      </c>
      <c r="L794" s="82" t="s">
        <v>3050</v>
      </c>
    </row>
    <row r="795" ht="15.0" customHeight="1">
      <c r="A795" s="82" t="s">
        <v>3066</v>
      </c>
      <c r="B795" s="78" t="s">
        <v>3067</v>
      </c>
      <c r="C795" s="82" t="s">
        <v>94</v>
      </c>
      <c r="D795" s="82" t="s">
        <v>3072</v>
      </c>
      <c r="E795" s="79" t="s">
        <v>3073</v>
      </c>
      <c r="F795" s="86" t="s">
        <v>259</v>
      </c>
      <c r="G795" s="82">
        <v>6.0</v>
      </c>
      <c r="H795" s="82">
        <v>6.0</v>
      </c>
      <c r="I795" s="82">
        <v>6.0</v>
      </c>
      <c r="J795" s="152">
        <v>50.0</v>
      </c>
      <c r="K795" s="84">
        <f t="shared" si="24"/>
        <v>8.333333333</v>
      </c>
      <c r="L795" s="82" t="s">
        <v>3050</v>
      </c>
    </row>
    <row r="796" ht="15.0" customHeight="1">
      <c r="A796" s="82" t="s">
        <v>3074</v>
      </c>
      <c r="B796" s="78" t="s">
        <v>3075</v>
      </c>
      <c r="C796" s="82" t="s">
        <v>94</v>
      </c>
      <c r="D796" s="82" t="s">
        <v>3076</v>
      </c>
      <c r="E796" s="79" t="s">
        <v>2710</v>
      </c>
      <c r="F796" s="82" t="s">
        <v>3077</v>
      </c>
      <c r="G796" s="82">
        <v>2.0</v>
      </c>
      <c r="H796" s="82">
        <v>2.0</v>
      </c>
      <c r="I796" s="82">
        <v>2.0</v>
      </c>
      <c r="J796" s="82">
        <v>50.0</v>
      </c>
      <c r="K796" s="82">
        <f t="shared" ref="K796:K798" si="25">J796/2</f>
        <v>25</v>
      </c>
      <c r="L796" s="82" t="s">
        <v>3078</v>
      </c>
    </row>
    <row r="797" ht="15.0" customHeight="1">
      <c r="A797" s="82" t="s">
        <v>3074</v>
      </c>
      <c r="B797" s="85" t="s">
        <v>3079</v>
      </c>
      <c r="C797" s="82" t="s">
        <v>94</v>
      </c>
      <c r="D797" s="82" t="s">
        <v>3080</v>
      </c>
      <c r="E797" s="79" t="s">
        <v>3081</v>
      </c>
      <c r="F797" s="82" t="s">
        <v>3082</v>
      </c>
      <c r="G797" s="82">
        <v>2.0</v>
      </c>
      <c r="H797" s="82">
        <v>2.0</v>
      </c>
      <c r="I797" s="82">
        <v>2.0</v>
      </c>
      <c r="J797" s="82">
        <v>50.0</v>
      </c>
      <c r="K797" s="82">
        <f t="shared" si="25"/>
        <v>25</v>
      </c>
      <c r="L797" s="82" t="s">
        <v>3078</v>
      </c>
    </row>
    <row r="798" ht="15.0" customHeight="1">
      <c r="A798" s="82" t="s">
        <v>3074</v>
      </c>
      <c r="B798" s="85" t="s">
        <v>3079</v>
      </c>
      <c r="C798" s="82" t="s">
        <v>94</v>
      </c>
      <c r="D798" s="82" t="s">
        <v>3083</v>
      </c>
      <c r="E798" s="79" t="s">
        <v>2706</v>
      </c>
      <c r="F798" s="86" t="s">
        <v>3084</v>
      </c>
      <c r="G798" s="82">
        <v>2.0</v>
      </c>
      <c r="H798" s="82">
        <v>2.0</v>
      </c>
      <c r="I798" s="82">
        <v>2.0</v>
      </c>
      <c r="J798" s="82">
        <v>50.0</v>
      </c>
      <c r="K798" s="82">
        <f t="shared" si="25"/>
        <v>25</v>
      </c>
      <c r="L798" s="82" t="s">
        <v>3078</v>
      </c>
    </row>
    <row r="799" ht="15.0" customHeight="1">
      <c r="A799" s="82" t="s">
        <v>3085</v>
      </c>
      <c r="B799" s="78" t="s">
        <v>3086</v>
      </c>
      <c r="C799" s="82" t="s">
        <v>94</v>
      </c>
      <c r="D799" s="82" t="s">
        <v>3087</v>
      </c>
      <c r="E799" s="79" t="s">
        <v>3088</v>
      </c>
      <c r="F799" s="82" t="s">
        <v>314</v>
      </c>
      <c r="G799" s="82">
        <v>2.0</v>
      </c>
      <c r="H799" s="82">
        <v>2.0</v>
      </c>
      <c r="I799" s="82">
        <v>2.0</v>
      </c>
      <c r="J799" s="82">
        <v>50.0</v>
      </c>
      <c r="K799" s="92">
        <v>25.0</v>
      </c>
      <c r="L799" s="82" t="s">
        <v>661</v>
      </c>
    </row>
    <row r="800" ht="15.0" customHeight="1">
      <c r="A800" s="82" t="s">
        <v>3085</v>
      </c>
      <c r="B800" s="78" t="s">
        <v>3086</v>
      </c>
      <c r="C800" s="82" t="s">
        <v>94</v>
      </c>
      <c r="D800" s="82" t="s">
        <v>3089</v>
      </c>
      <c r="E800" s="79" t="s">
        <v>3090</v>
      </c>
      <c r="F800" s="82" t="s">
        <v>314</v>
      </c>
      <c r="G800" s="82">
        <v>2.0</v>
      </c>
      <c r="H800" s="82">
        <v>2.0</v>
      </c>
      <c r="I800" s="82">
        <v>2.0</v>
      </c>
      <c r="J800" s="82">
        <v>50.0</v>
      </c>
      <c r="K800" s="92">
        <v>25.0</v>
      </c>
      <c r="L800" s="82" t="s">
        <v>661</v>
      </c>
    </row>
    <row r="801" ht="15.0" customHeight="1">
      <c r="A801" s="82" t="s">
        <v>3085</v>
      </c>
      <c r="B801" s="78" t="s">
        <v>3086</v>
      </c>
      <c r="C801" s="82" t="s">
        <v>94</v>
      </c>
      <c r="D801" s="82" t="s">
        <v>3091</v>
      </c>
      <c r="E801" s="79" t="s">
        <v>3092</v>
      </c>
      <c r="F801" s="82" t="s">
        <v>314</v>
      </c>
      <c r="G801" s="82">
        <v>2.0</v>
      </c>
      <c r="H801" s="82">
        <v>2.0</v>
      </c>
      <c r="I801" s="82">
        <v>2.0</v>
      </c>
      <c r="J801" s="82">
        <v>50.0</v>
      </c>
      <c r="K801" s="92">
        <v>25.0</v>
      </c>
      <c r="L801" s="82" t="s">
        <v>661</v>
      </c>
    </row>
    <row r="802" ht="15.0" customHeight="1">
      <c r="A802" s="82" t="s">
        <v>3085</v>
      </c>
      <c r="B802" s="78" t="s">
        <v>3086</v>
      </c>
      <c r="C802" s="82" t="s">
        <v>94</v>
      </c>
      <c r="D802" s="82" t="s">
        <v>3093</v>
      </c>
      <c r="E802" s="79" t="s">
        <v>3094</v>
      </c>
      <c r="F802" s="82" t="s">
        <v>314</v>
      </c>
      <c r="G802" s="82">
        <v>2.0</v>
      </c>
      <c r="H802" s="82">
        <v>2.0</v>
      </c>
      <c r="I802" s="82">
        <v>2.0</v>
      </c>
      <c r="J802" s="82">
        <v>50.0</v>
      </c>
      <c r="K802" s="92">
        <v>25.0</v>
      </c>
      <c r="L802" s="82" t="s">
        <v>661</v>
      </c>
    </row>
    <row r="803" ht="15.0" customHeight="1">
      <c r="A803" s="82" t="s">
        <v>3095</v>
      </c>
      <c r="B803" s="82" t="s">
        <v>3096</v>
      </c>
      <c r="C803" s="82" t="s">
        <v>94</v>
      </c>
      <c r="D803" s="82" t="s">
        <v>3097</v>
      </c>
      <c r="E803" s="79" t="s">
        <v>3098</v>
      </c>
      <c r="F803" s="86" t="s">
        <v>314</v>
      </c>
      <c r="G803" s="82">
        <v>5.0</v>
      </c>
      <c r="H803" s="82">
        <v>5.0</v>
      </c>
      <c r="I803" s="82">
        <v>5.0</v>
      </c>
      <c r="J803" s="152">
        <v>50.0</v>
      </c>
      <c r="K803" s="84">
        <v>10.0</v>
      </c>
      <c r="L803" s="82" t="s">
        <v>661</v>
      </c>
    </row>
    <row r="804" ht="15.0" customHeight="1">
      <c r="A804" s="82" t="s">
        <v>3099</v>
      </c>
      <c r="B804" s="82" t="s">
        <v>3100</v>
      </c>
      <c r="C804" s="82" t="s">
        <v>94</v>
      </c>
      <c r="D804" s="82" t="s">
        <v>3097</v>
      </c>
      <c r="E804" s="79" t="s">
        <v>3098</v>
      </c>
      <c r="F804" s="86" t="s">
        <v>314</v>
      </c>
      <c r="G804" s="82">
        <v>3.0</v>
      </c>
      <c r="H804" s="82">
        <v>3.0</v>
      </c>
      <c r="I804" s="82">
        <v>3.0</v>
      </c>
      <c r="J804" s="152">
        <v>50.0</v>
      </c>
      <c r="K804" s="84">
        <f>50/3</f>
        <v>16.66666667</v>
      </c>
      <c r="L804" s="82" t="s">
        <v>661</v>
      </c>
    </row>
    <row r="805" ht="15.0" customHeight="1">
      <c r="A805" s="82" t="s">
        <v>3101</v>
      </c>
      <c r="B805" s="78" t="s">
        <v>3102</v>
      </c>
      <c r="C805" s="82" t="s">
        <v>94</v>
      </c>
      <c r="D805" s="82" t="s">
        <v>3089</v>
      </c>
      <c r="E805" s="79" t="s">
        <v>3090</v>
      </c>
      <c r="F805" s="82" t="s">
        <v>314</v>
      </c>
      <c r="G805" s="82">
        <v>2.0</v>
      </c>
      <c r="H805" s="82">
        <v>2.0</v>
      </c>
      <c r="I805" s="82">
        <v>2.0</v>
      </c>
      <c r="J805" s="82">
        <v>50.0</v>
      </c>
      <c r="K805" s="92">
        <v>25.0</v>
      </c>
      <c r="L805" s="82" t="s">
        <v>661</v>
      </c>
    </row>
    <row r="806" ht="15.0" customHeight="1">
      <c r="A806" s="82" t="s">
        <v>3101</v>
      </c>
      <c r="B806" s="78" t="s">
        <v>3102</v>
      </c>
      <c r="C806" s="82" t="s">
        <v>94</v>
      </c>
      <c r="D806" s="82" t="s">
        <v>3103</v>
      </c>
      <c r="E806" s="79" t="s">
        <v>3104</v>
      </c>
      <c r="F806" s="82" t="s">
        <v>314</v>
      </c>
      <c r="G806" s="82">
        <v>2.0</v>
      </c>
      <c r="H806" s="82">
        <v>2.0</v>
      </c>
      <c r="I806" s="82">
        <v>2.0</v>
      </c>
      <c r="J806" s="82">
        <v>50.0</v>
      </c>
      <c r="K806" s="92">
        <v>25.0</v>
      </c>
      <c r="L806" s="82" t="s">
        <v>661</v>
      </c>
    </row>
    <row r="807" ht="15.0" customHeight="1">
      <c r="A807" s="82" t="s">
        <v>3101</v>
      </c>
      <c r="B807" s="78" t="s">
        <v>3102</v>
      </c>
      <c r="C807" s="82" t="s">
        <v>94</v>
      </c>
      <c r="D807" s="82" t="s">
        <v>3105</v>
      </c>
      <c r="E807" s="79" t="s">
        <v>3106</v>
      </c>
      <c r="F807" s="82" t="s">
        <v>314</v>
      </c>
      <c r="G807" s="82">
        <v>2.0</v>
      </c>
      <c r="H807" s="82">
        <v>2.0</v>
      </c>
      <c r="I807" s="82">
        <v>2.0</v>
      </c>
      <c r="J807" s="82">
        <v>50.0</v>
      </c>
      <c r="K807" s="92">
        <v>25.0</v>
      </c>
      <c r="L807" s="82" t="s">
        <v>661</v>
      </c>
    </row>
    <row r="808" ht="15.0" customHeight="1">
      <c r="A808" s="82" t="s">
        <v>3101</v>
      </c>
      <c r="B808" s="78" t="s">
        <v>3102</v>
      </c>
      <c r="C808" s="82" t="s">
        <v>94</v>
      </c>
      <c r="D808" s="82" t="s">
        <v>3093</v>
      </c>
      <c r="E808" s="79" t="s">
        <v>3094</v>
      </c>
      <c r="F808" s="82" t="s">
        <v>314</v>
      </c>
      <c r="G808" s="82">
        <v>2.0</v>
      </c>
      <c r="H808" s="82">
        <v>2.0</v>
      </c>
      <c r="I808" s="82">
        <v>2.0</v>
      </c>
      <c r="J808" s="82">
        <v>50.0</v>
      </c>
      <c r="K808" s="92">
        <v>25.0</v>
      </c>
      <c r="L808" s="82" t="s">
        <v>661</v>
      </c>
    </row>
    <row r="809" ht="15.0" customHeight="1">
      <c r="A809" s="85" t="s">
        <v>3085</v>
      </c>
      <c r="B809" s="85" t="s">
        <v>3086</v>
      </c>
      <c r="C809" s="82" t="s">
        <v>94</v>
      </c>
      <c r="D809" s="82" t="s">
        <v>3107</v>
      </c>
      <c r="E809" s="79" t="s">
        <v>3108</v>
      </c>
      <c r="F809" s="86" t="s">
        <v>314</v>
      </c>
      <c r="G809" s="82">
        <v>2.0</v>
      </c>
      <c r="H809" s="82">
        <v>2.0</v>
      </c>
      <c r="I809" s="82">
        <v>2.0</v>
      </c>
      <c r="J809" s="152">
        <v>50.0</v>
      </c>
      <c r="K809" s="84">
        <v>25.0</v>
      </c>
      <c r="L809" s="82" t="s">
        <v>661</v>
      </c>
    </row>
    <row r="810" ht="15.0" customHeight="1">
      <c r="A810" s="82" t="s">
        <v>3109</v>
      </c>
      <c r="B810" s="82" t="s">
        <v>3110</v>
      </c>
      <c r="C810" s="82" t="s">
        <v>182</v>
      </c>
      <c r="D810" s="82" t="s">
        <v>3111</v>
      </c>
      <c r="E810" s="79" t="s">
        <v>3112</v>
      </c>
      <c r="F810" s="82" t="s">
        <v>2513</v>
      </c>
      <c r="G810" s="82">
        <v>2.0</v>
      </c>
      <c r="H810" s="82">
        <v>2.0</v>
      </c>
      <c r="I810" s="82">
        <v>9.0</v>
      </c>
      <c r="J810" s="82">
        <v>50.0</v>
      </c>
      <c r="K810" s="82">
        <v>25.0</v>
      </c>
      <c r="L810" s="82" t="s">
        <v>671</v>
      </c>
    </row>
    <row r="811" ht="15.0" customHeight="1">
      <c r="A811" s="82" t="s">
        <v>3109</v>
      </c>
      <c r="B811" s="82" t="s">
        <v>3110</v>
      </c>
      <c r="C811" s="82" t="s">
        <v>182</v>
      </c>
      <c r="D811" s="82" t="s">
        <v>3113</v>
      </c>
      <c r="E811" s="79" t="s">
        <v>3114</v>
      </c>
      <c r="F811" s="82" t="s">
        <v>2513</v>
      </c>
      <c r="G811" s="82">
        <v>2.0</v>
      </c>
      <c r="H811" s="82">
        <v>2.0</v>
      </c>
      <c r="I811" s="82">
        <v>9.0</v>
      </c>
      <c r="J811" s="82">
        <v>50.0</v>
      </c>
      <c r="K811" s="82">
        <v>25.0</v>
      </c>
      <c r="L811" s="82" t="s">
        <v>671</v>
      </c>
    </row>
    <row r="812" ht="15.0" customHeight="1">
      <c r="A812" s="82" t="s">
        <v>3109</v>
      </c>
      <c r="B812" s="82" t="s">
        <v>3110</v>
      </c>
      <c r="C812" s="82" t="s">
        <v>182</v>
      </c>
      <c r="D812" s="82" t="s">
        <v>3115</v>
      </c>
      <c r="E812" s="79" t="s">
        <v>3116</v>
      </c>
      <c r="F812" s="82" t="s">
        <v>890</v>
      </c>
      <c r="G812" s="82">
        <v>2.0</v>
      </c>
      <c r="H812" s="82">
        <v>2.0</v>
      </c>
      <c r="I812" s="82">
        <v>9.0</v>
      </c>
      <c r="J812" s="82">
        <v>50.0</v>
      </c>
      <c r="K812" s="82">
        <v>25.0</v>
      </c>
      <c r="L812" s="82" t="s">
        <v>671</v>
      </c>
    </row>
    <row r="813" ht="15.0" customHeight="1">
      <c r="A813" s="82" t="s">
        <v>3117</v>
      </c>
      <c r="B813" s="82" t="s">
        <v>3118</v>
      </c>
      <c r="C813" s="82" t="s">
        <v>182</v>
      </c>
      <c r="D813" s="82" t="s">
        <v>3119</v>
      </c>
      <c r="E813" s="79" t="s">
        <v>3120</v>
      </c>
      <c r="F813" s="82" t="s">
        <v>2513</v>
      </c>
      <c r="G813" s="82">
        <v>6.0</v>
      </c>
      <c r="H813" s="82">
        <v>6.0</v>
      </c>
      <c r="I813" s="82">
        <v>6.0</v>
      </c>
      <c r="J813" s="82">
        <v>50.0</v>
      </c>
      <c r="K813" s="82">
        <v>8.88</v>
      </c>
      <c r="L813" s="82" t="s">
        <v>671</v>
      </c>
    </row>
    <row r="814" ht="15.0" customHeight="1">
      <c r="A814" s="82" t="s">
        <v>3109</v>
      </c>
      <c r="B814" s="82" t="s">
        <v>3110</v>
      </c>
      <c r="C814" s="82" t="s">
        <v>182</v>
      </c>
      <c r="D814" s="82" t="s">
        <v>3121</v>
      </c>
      <c r="E814" s="79" t="s">
        <v>3122</v>
      </c>
      <c r="F814" s="82" t="s">
        <v>2513</v>
      </c>
      <c r="G814" s="82">
        <v>2.0</v>
      </c>
      <c r="H814" s="82">
        <v>2.0</v>
      </c>
      <c r="I814" s="82">
        <v>9.0</v>
      </c>
      <c r="J814" s="82">
        <v>50.0</v>
      </c>
      <c r="K814" s="82">
        <v>25.0</v>
      </c>
      <c r="L814" s="82" t="s">
        <v>671</v>
      </c>
    </row>
    <row r="815" ht="15.0" customHeight="1">
      <c r="A815" s="82" t="s">
        <v>3123</v>
      </c>
      <c r="B815" s="82" t="s">
        <v>3124</v>
      </c>
      <c r="C815" s="82" t="s">
        <v>182</v>
      </c>
      <c r="D815" s="82" t="s">
        <v>3125</v>
      </c>
      <c r="E815" s="79" t="s">
        <v>3126</v>
      </c>
      <c r="F815" s="82" t="s">
        <v>890</v>
      </c>
      <c r="G815" s="82">
        <v>2.0</v>
      </c>
      <c r="H815" s="82">
        <v>1.0</v>
      </c>
      <c r="I815" s="82">
        <v>3.0</v>
      </c>
      <c r="J815" s="82">
        <v>50.0</v>
      </c>
      <c r="K815" s="82">
        <v>25.0</v>
      </c>
      <c r="L815" s="82" t="s">
        <v>671</v>
      </c>
    </row>
    <row r="816" ht="15.0" customHeight="1">
      <c r="A816" s="82" t="s">
        <v>3127</v>
      </c>
      <c r="B816" s="82" t="s">
        <v>3128</v>
      </c>
      <c r="C816" s="82" t="s">
        <v>182</v>
      </c>
      <c r="D816" s="82" t="s">
        <v>3129</v>
      </c>
      <c r="E816" s="79" t="s">
        <v>3130</v>
      </c>
      <c r="F816" s="82" t="s">
        <v>2513</v>
      </c>
      <c r="G816" s="82">
        <v>1.0</v>
      </c>
      <c r="H816" s="82">
        <v>1.0</v>
      </c>
      <c r="I816" s="82">
        <v>7.0</v>
      </c>
      <c r="J816" s="82">
        <v>50.0</v>
      </c>
      <c r="K816" s="82">
        <v>50.0</v>
      </c>
      <c r="L816" s="82" t="s">
        <v>671</v>
      </c>
    </row>
    <row r="817" ht="15.0" customHeight="1">
      <c r="A817" s="82" t="s">
        <v>3131</v>
      </c>
      <c r="B817" s="82" t="s">
        <v>3132</v>
      </c>
      <c r="C817" s="82" t="s">
        <v>182</v>
      </c>
      <c r="D817" s="82" t="s">
        <v>3133</v>
      </c>
      <c r="E817" s="79" t="s">
        <v>3134</v>
      </c>
      <c r="F817" s="82" t="s">
        <v>890</v>
      </c>
      <c r="G817" s="82">
        <v>2.0</v>
      </c>
      <c r="H817" s="82">
        <v>2.0</v>
      </c>
      <c r="I817" s="82">
        <v>9.0</v>
      </c>
      <c r="J817" s="82">
        <v>50.0</v>
      </c>
      <c r="K817" s="82">
        <v>25.0</v>
      </c>
      <c r="L817" s="82" t="s">
        <v>671</v>
      </c>
    </row>
    <row r="818" ht="15.0" customHeight="1">
      <c r="A818" s="82" t="s">
        <v>3135</v>
      </c>
      <c r="B818" s="82" t="s">
        <v>3136</v>
      </c>
      <c r="C818" s="82" t="s">
        <v>182</v>
      </c>
      <c r="D818" s="82" t="s">
        <v>3137</v>
      </c>
      <c r="E818" s="79" t="s">
        <v>3138</v>
      </c>
      <c r="F818" s="82" t="s">
        <v>2513</v>
      </c>
      <c r="G818" s="82">
        <v>2.0</v>
      </c>
      <c r="H818" s="82">
        <v>2.0</v>
      </c>
      <c r="I818" s="82">
        <v>9.0</v>
      </c>
      <c r="J818" s="82">
        <v>50.0</v>
      </c>
      <c r="K818" s="82">
        <v>25.0</v>
      </c>
      <c r="L818" s="82" t="s">
        <v>671</v>
      </c>
    </row>
    <row r="819" ht="15.0" customHeight="1">
      <c r="A819" s="82" t="s">
        <v>3139</v>
      </c>
      <c r="B819" s="82" t="s">
        <v>3140</v>
      </c>
      <c r="C819" s="82" t="s">
        <v>182</v>
      </c>
      <c r="D819" s="82" t="s">
        <v>3141</v>
      </c>
      <c r="E819" s="79" t="s">
        <v>3142</v>
      </c>
      <c r="F819" s="82" t="s">
        <v>2513</v>
      </c>
      <c r="G819" s="82">
        <v>6.0</v>
      </c>
      <c r="H819" s="82">
        <v>6.0</v>
      </c>
      <c r="I819" s="82">
        <v>6.0</v>
      </c>
      <c r="J819" s="82">
        <v>50.0</v>
      </c>
      <c r="K819" s="82">
        <v>8.33</v>
      </c>
      <c r="L819" s="82" t="s">
        <v>671</v>
      </c>
    </row>
    <row r="820" ht="15.0" customHeight="1">
      <c r="A820" s="82" t="s">
        <v>3109</v>
      </c>
      <c r="B820" s="82" t="s">
        <v>3110</v>
      </c>
      <c r="C820" s="82" t="s">
        <v>182</v>
      </c>
      <c r="D820" s="82" t="s">
        <v>3111</v>
      </c>
      <c r="E820" s="79" t="s">
        <v>3143</v>
      </c>
      <c r="F820" s="86" t="s">
        <v>2513</v>
      </c>
      <c r="G820" s="82">
        <v>2.0</v>
      </c>
      <c r="H820" s="82">
        <v>2.0</v>
      </c>
      <c r="I820" s="82">
        <v>9.0</v>
      </c>
      <c r="J820" s="152">
        <v>50.0</v>
      </c>
      <c r="K820" s="84">
        <v>25.0</v>
      </c>
      <c r="L820" s="82" t="s">
        <v>671</v>
      </c>
    </row>
    <row r="821" ht="15.0" customHeight="1">
      <c r="A821" s="82" t="s">
        <v>3144</v>
      </c>
      <c r="B821" s="82" t="s">
        <v>3145</v>
      </c>
      <c r="C821" s="82" t="s">
        <v>182</v>
      </c>
      <c r="D821" s="82" t="s">
        <v>3146</v>
      </c>
      <c r="E821" s="79" t="s">
        <v>3147</v>
      </c>
      <c r="F821" s="82" t="s">
        <v>2513</v>
      </c>
      <c r="G821" s="82">
        <v>6.0</v>
      </c>
      <c r="H821" s="82">
        <v>6.0</v>
      </c>
      <c r="I821" s="82">
        <v>6.0</v>
      </c>
      <c r="J821" s="82">
        <v>50.0</v>
      </c>
      <c r="K821" s="82">
        <v>8.33</v>
      </c>
      <c r="L821" s="82" t="s">
        <v>671</v>
      </c>
    </row>
    <row r="822" ht="15.0" customHeight="1">
      <c r="A822" s="82" t="s">
        <v>673</v>
      </c>
      <c r="B822" s="78" t="s">
        <v>672</v>
      </c>
      <c r="C822" s="82" t="s">
        <v>94</v>
      </c>
      <c r="D822" s="82" t="s">
        <v>3148</v>
      </c>
      <c r="E822" s="79" t="s">
        <v>3149</v>
      </c>
      <c r="F822" s="82" t="s">
        <v>259</v>
      </c>
      <c r="G822" s="82">
        <v>4.0</v>
      </c>
      <c r="H822" s="82">
        <v>4.0</v>
      </c>
      <c r="I822" s="82">
        <v>5.0</v>
      </c>
      <c r="J822" s="82">
        <v>50.0</v>
      </c>
      <c r="K822" s="82">
        <f t="shared" ref="K822:K834" si="26">J822/G822</f>
        <v>12.5</v>
      </c>
      <c r="L822" s="82" t="s">
        <v>681</v>
      </c>
    </row>
    <row r="823" ht="15.0" customHeight="1">
      <c r="A823" s="78" t="s">
        <v>3150</v>
      </c>
      <c r="B823" s="82" t="s">
        <v>3151</v>
      </c>
      <c r="C823" s="78" t="s">
        <v>94</v>
      </c>
      <c r="D823" s="82" t="s">
        <v>3152</v>
      </c>
      <c r="E823" s="79" t="s">
        <v>3153</v>
      </c>
      <c r="F823" s="86" t="s">
        <v>314</v>
      </c>
      <c r="G823" s="82">
        <v>5.0</v>
      </c>
      <c r="H823" s="82">
        <v>5.0</v>
      </c>
      <c r="I823" s="82">
        <v>5.0</v>
      </c>
      <c r="J823" s="152">
        <v>50.0</v>
      </c>
      <c r="K823" s="82">
        <f t="shared" si="26"/>
        <v>10</v>
      </c>
      <c r="L823" s="82" t="s">
        <v>3154</v>
      </c>
    </row>
    <row r="824" ht="15.0" customHeight="1">
      <c r="A824" s="78" t="s">
        <v>3150</v>
      </c>
      <c r="B824" s="82" t="s">
        <v>3151</v>
      </c>
      <c r="C824" s="78" t="s">
        <v>94</v>
      </c>
      <c r="D824" s="82" t="s">
        <v>3155</v>
      </c>
      <c r="E824" s="79" t="s">
        <v>3156</v>
      </c>
      <c r="F824" s="86" t="s">
        <v>314</v>
      </c>
      <c r="G824" s="82">
        <v>5.0</v>
      </c>
      <c r="H824" s="82">
        <v>5.0</v>
      </c>
      <c r="I824" s="82">
        <v>5.0</v>
      </c>
      <c r="J824" s="152">
        <v>50.0</v>
      </c>
      <c r="K824" s="82">
        <f t="shared" si="26"/>
        <v>10</v>
      </c>
      <c r="L824" s="82" t="s">
        <v>3154</v>
      </c>
    </row>
    <row r="825" ht="15.0" customHeight="1">
      <c r="A825" s="82" t="s">
        <v>3157</v>
      </c>
      <c r="B825" s="82" t="s">
        <v>3158</v>
      </c>
      <c r="C825" s="82" t="s">
        <v>94</v>
      </c>
      <c r="D825" s="82" t="s">
        <v>3159</v>
      </c>
      <c r="E825" s="79" t="s">
        <v>3160</v>
      </c>
      <c r="F825" s="86" t="s">
        <v>314</v>
      </c>
      <c r="G825" s="82">
        <v>3.0</v>
      </c>
      <c r="H825" s="82">
        <v>3.0</v>
      </c>
      <c r="I825" s="82">
        <v>3.0</v>
      </c>
      <c r="J825" s="152">
        <v>50.0</v>
      </c>
      <c r="K825" s="82">
        <f t="shared" si="26"/>
        <v>16.66666667</v>
      </c>
      <c r="L825" s="82" t="s">
        <v>3161</v>
      </c>
    </row>
    <row r="826" ht="15.0" customHeight="1">
      <c r="A826" s="82" t="s">
        <v>3162</v>
      </c>
      <c r="B826" s="82" t="s">
        <v>3163</v>
      </c>
      <c r="C826" s="82" t="s">
        <v>94</v>
      </c>
      <c r="D826" s="82" t="s">
        <v>3164</v>
      </c>
      <c r="E826" s="79" t="s">
        <v>3165</v>
      </c>
      <c r="F826" s="86" t="s">
        <v>314</v>
      </c>
      <c r="G826" s="82">
        <v>4.0</v>
      </c>
      <c r="H826" s="82">
        <v>4.0</v>
      </c>
      <c r="I826" s="82">
        <v>6.0</v>
      </c>
      <c r="J826" s="152">
        <v>50.0</v>
      </c>
      <c r="K826" s="84">
        <f t="shared" si="26"/>
        <v>12.5</v>
      </c>
      <c r="L826" s="82" t="s">
        <v>3154</v>
      </c>
    </row>
    <row r="827" ht="15.0" customHeight="1">
      <c r="A827" s="82" t="s">
        <v>3162</v>
      </c>
      <c r="B827" s="82" t="s">
        <v>3163</v>
      </c>
      <c r="C827" s="82" t="s">
        <v>94</v>
      </c>
      <c r="D827" s="82" t="s">
        <v>3166</v>
      </c>
      <c r="E827" s="79" t="s">
        <v>3167</v>
      </c>
      <c r="F827" s="86" t="s">
        <v>1264</v>
      </c>
      <c r="G827" s="82">
        <v>4.0</v>
      </c>
      <c r="H827" s="82">
        <v>4.0</v>
      </c>
      <c r="I827" s="82">
        <v>6.0</v>
      </c>
      <c r="J827" s="152">
        <v>50.0</v>
      </c>
      <c r="K827" s="84">
        <f t="shared" si="26"/>
        <v>12.5</v>
      </c>
      <c r="L827" s="82" t="s">
        <v>3154</v>
      </c>
    </row>
    <row r="828" ht="15.0" customHeight="1">
      <c r="A828" s="78" t="s">
        <v>3168</v>
      </c>
      <c r="B828" s="82" t="s">
        <v>3169</v>
      </c>
      <c r="C828" s="82" t="s">
        <v>94</v>
      </c>
      <c r="D828" s="82" t="s">
        <v>3170</v>
      </c>
      <c r="E828" s="79" t="s">
        <v>3171</v>
      </c>
      <c r="F828" s="86" t="s">
        <v>259</v>
      </c>
      <c r="G828" s="82">
        <v>2.0</v>
      </c>
      <c r="H828" s="82">
        <v>2.0</v>
      </c>
      <c r="I828" s="82">
        <v>2.0</v>
      </c>
      <c r="J828" s="152">
        <v>50.0</v>
      </c>
      <c r="K828" s="84">
        <f t="shared" si="26"/>
        <v>25</v>
      </c>
      <c r="L828" s="82" t="s">
        <v>681</v>
      </c>
    </row>
    <row r="829" ht="15.0" customHeight="1">
      <c r="A829" s="78" t="s">
        <v>3168</v>
      </c>
      <c r="B829" s="82" t="s">
        <v>3169</v>
      </c>
      <c r="C829" s="82" t="s">
        <v>94</v>
      </c>
      <c r="D829" s="82" t="s">
        <v>3172</v>
      </c>
      <c r="E829" s="79" t="s">
        <v>3173</v>
      </c>
      <c r="F829" s="86" t="s">
        <v>259</v>
      </c>
      <c r="G829" s="82">
        <v>2.0</v>
      </c>
      <c r="H829" s="82">
        <v>2.0</v>
      </c>
      <c r="I829" s="82">
        <v>2.0</v>
      </c>
      <c r="J829" s="152">
        <v>50.0</v>
      </c>
      <c r="K829" s="84">
        <f t="shared" si="26"/>
        <v>25</v>
      </c>
      <c r="L829" s="82" t="s">
        <v>681</v>
      </c>
    </row>
    <row r="830" ht="15.0" customHeight="1">
      <c r="A830" s="82" t="s">
        <v>3174</v>
      </c>
      <c r="B830" s="82" t="s">
        <v>3175</v>
      </c>
      <c r="C830" s="82" t="s">
        <v>94</v>
      </c>
      <c r="D830" s="82" t="s">
        <v>3176</v>
      </c>
      <c r="E830" s="79" t="s">
        <v>3177</v>
      </c>
      <c r="F830" s="86" t="s">
        <v>259</v>
      </c>
      <c r="G830" s="82">
        <v>1.0</v>
      </c>
      <c r="H830" s="82">
        <v>1.0</v>
      </c>
      <c r="I830" s="82">
        <v>5.0</v>
      </c>
      <c r="J830" s="152">
        <v>50.0</v>
      </c>
      <c r="K830" s="84">
        <f t="shared" si="26"/>
        <v>50</v>
      </c>
      <c r="L830" s="82" t="s">
        <v>3161</v>
      </c>
    </row>
    <row r="831" ht="15.0" customHeight="1">
      <c r="A831" s="82" t="s">
        <v>3178</v>
      </c>
      <c r="B831" s="82" t="s">
        <v>3179</v>
      </c>
      <c r="C831" s="82" t="s">
        <v>94</v>
      </c>
      <c r="D831" s="82" t="s">
        <v>3180</v>
      </c>
      <c r="E831" s="79" t="s">
        <v>3181</v>
      </c>
      <c r="F831" s="86" t="s">
        <v>3182</v>
      </c>
      <c r="G831" s="82">
        <v>1.0</v>
      </c>
      <c r="H831" s="82">
        <v>1.0</v>
      </c>
      <c r="I831" s="82">
        <v>6.0</v>
      </c>
      <c r="J831" s="152">
        <v>50.0</v>
      </c>
      <c r="K831" s="84">
        <f t="shared" si="26"/>
        <v>50</v>
      </c>
      <c r="L831" s="82" t="s">
        <v>3183</v>
      </c>
    </row>
    <row r="832" ht="15.0" customHeight="1">
      <c r="A832" s="82" t="s">
        <v>3178</v>
      </c>
      <c r="B832" s="82" t="s">
        <v>3179</v>
      </c>
      <c r="C832" s="82" t="s">
        <v>94</v>
      </c>
      <c r="D832" s="82" t="s">
        <v>3184</v>
      </c>
      <c r="E832" s="79" t="s">
        <v>3185</v>
      </c>
      <c r="F832" s="86" t="s">
        <v>314</v>
      </c>
      <c r="G832" s="82">
        <v>1.0</v>
      </c>
      <c r="H832" s="82">
        <v>1.0</v>
      </c>
      <c r="I832" s="82">
        <v>6.0</v>
      </c>
      <c r="J832" s="152">
        <v>50.0</v>
      </c>
      <c r="K832" s="84">
        <f t="shared" si="26"/>
        <v>50</v>
      </c>
      <c r="L832" s="82" t="s">
        <v>3183</v>
      </c>
    </row>
    <row r="833" ht="15.0" customHeight="1">
      <c r="A833" s="82" t="s">
        <v>3178</v>
      </c>
      <c r="B833" s="82" t="s">
        <v>3179</v>
      </c>
      <c r="C833" s="82" t="s">
        <v>94</v>
      </c>
      <c r="D833" s="82" t="s">
        <v>3186</v>
      </c>
      <c r="E833" s="79" t="s">
        <v>3187</v>
      </c>
      <c r="F833" s="86" t="s">
        <v>314</v>
      </c>
      <c r="G833" s="82">
        <v>1.0</v>
      </c>
      <c r="H833" s="82">
        <v>1.0</v>
      </c>
      <c r="I833" s="82">
        <v>6.0</v>
      </c>
      <c r="J833" s="152">
        <v>50.0</v>
      </c>
      <c r="K833" s="84">
        <f t="shared" si="26"/>
        <v>50</v>
      </c>
      <c r="L833" s="82" t="s">
        <v>3183</v>
      </c>
    </row>
    <row r="834" ht="15.0" customHeight="1">
      <c r="A834" s="155" t="s">
        <v>3188</v>
      </c>
      <c r="B834" s="82" t="s">
        <v>3189</v>
      </c>
      <c r="C834" s="82" t="s">
        <v>94</v>
      </c>
      <c r="D834" s="82" t="s">
        <v>3190</v>
      </c>
      <c r="E834" s="79" t="s">
        <v>3191</v>
      </c>
      <c r="F834" s="86" t="s">
        <v>314</v>
      </c>
      <c r="G834" s="82">
        <v>4.0</v>
      </c>
      <c r="H834" s="82">
        <v>4.0</v>
      </c>
      <c r="I834" s="82">
        <v>4.0</v>
      </c>
      <c r="J834" s="152">
        <v>50.0</v>
      </c>
      <c r="K834" s="84">
        <f t="shared" si="26"/>
        <v>12.5</v>
      </c>
      <c r="L834" s="82" t="s">
        <v>3192</v>
      </c>
    </row>
    <row r="835" ht="15.0" customHeight="1">
      <c r="A835" s="82" t="s">
        <v>3193</v>
      </c>
      <c r="B835" s="82" t="s">
        <v>3194</v>
      </c>
      <c r="C835" s="82" t="s">
        <v>94</v>
      </c>
      <c r="D835" s="82" t="s">
        <v>3195</v>
      </c>
      <c r="E835" s="79" t="s">
        <v>3196</v>
      </c>
      <c r="F835" s="82" t="s">
        <v>3197</v>
      </c>
      <c r="G835" s="82">
        <v>1.0</v>
      </c>
      <c r="H835" s="82">
        <v>1.0</v>
      </c>
      <c r="I835" s="82">
        <v>1.0</v>
      </c>
      <c r="J835" s="82">
        <v>50.0</v>
      </c>
      <c r="K835" s="82">
        <v>50.0</v>
      </c>
      <c r="L835" s="82" t="s">
        <v>3198</v>
      </c>
    </row>
    <row r="836" ht="15.75" customHeight="1">
      <c r="A836" s="148" t="s">
        <v>3199</v>
      </c>
      <c r="B836" s="148" t="s">
        <v>3200</v>
      </c>
      <c r="C836" s="149" t="s">
        <v>94</v>
      </c>
      <c r="D836" s="148" t="s">
        <v>3201</v>
      </c>
      <c r="E836" s="189" t="s">
        <v>3202</v>
      </c>
      <c r="F836" s="147" t="s">
        <v>1264</v>
      </c>
      <c r="G836" s="190">
        <v>22.0</v>
      </c>
      <c r="H836" s="190">
        <v>3.0</v>
      </c>
      <c r="I836" s="148">
        <v>22.0</v>
      </c>
      <c r="J836" s="148">
        <v>50.0</v>
      </c>
      <c r="K836" s="162">
        <f t="shared" ref="K836:K838" si="27">J836/G836</f>
        <v>2.272727273</v>
      </c>
      <c r="L836" s="82" t="s">
        <v>3203</v>
      </c>
    </row>
    <row r="837" ht="73.5" customHeight="1">
      <c r="A837" s="160" t="s">
        <v>3204</v>
      </c>
      <c r="B837" s="160" t="s">
        <v>3205</v>
      </c>
      <c r="C837" s="149" t="s">
        <v>94</v>
      </c>
      <c r="D837" s="148" t="s">
        <v>3206</v>
      </c>
      <c r="E837" s="161" t="s">
        <v>3207</v>
      </c>
      <c r="F837" s="148" t="s">
        <v>1451</v>
      </c>
      <c r="G837" s="191">
        <v>7.0</v>
      </c>
      <c r="H837" s="174">
        <v>5.0</v>
      </c>
      <c r="I837" s="148">
        <v>7.0</v>
      </c>
      <c r="J837" s="148">
        <v>50.0</v>
      </c>
      <c r="K837" s="162">
        <f t="shared" si="27"/>
        <v>7.142857143</v>
      </c>
      <c r="L837" s="82" t="s">
        <v>3203</v>
      </c>
    </row>
    <row r="838" ht="15.75" customHeight="1">
      <c r="A838" s="148" t="s">
        <v>3208</v>
      </c>
      <c r="B838" s="148" t="s">
        <v>3209</v>
      </c>
      <c r="C838" s="149" t="s">
        <v>94</v>
      </c>
      <c r="D838" s="148" t="s">
        <v>3210</v>
      </c>
      <c r="E838" s="161" t="s">
        <v>3211</v>
      </c>
      <c r="F838" s="160" t="s">
        <v>1264</v>
      </c>
      <c r="G838" s="148">
        <v>19.0</v>
      </c>
      <c r="H838" s="148">
        <v>6.0</v>
      </c>
      <c r="I838" s="148">
        <v>22.0</v>
      </c>
      <c r="J838" s="173">
        <v>50.0</v>
      </c>
      <c r="K838" s="162">
        <f t="shared" si="27"/>
        <v>2.631578947</v>
      </c>
      <c r="L838" s="82" t="s">
        <v>3203</v>
      </c>
    </row>
    <row r="839" ht="69.75" customHeight="1">
      <c r="A839" s="149" t="s">
        <v>3212</v>
      </c>
      <c r="B839" s="148" t="s">
        <v>3213</v>
      </c>
      <c r="C839" s="149" t="s">
        <v>94</v>
      </c>
      <c r="D839" s="82" t="s">
        <v>3214</v>
      </c>
      <c r="E839" s="79" t="s">
        <v>1721</v>
      </c>
      <c r="F839" s="86" t="s">
        <v>314</v>
      </c>
      <c r="G839" s="148">
        <v>8.0</v>
      </c>
      <c r="H839" s="148">
        <v>3.0</v>
      </c>
      <c r="I839" s="149">
        <v>8.0</v>
      </c>
      <c r="J839" s="149">
        <v>50.0</v>
      </c>
      <c r="K839" s="149">
        <f t="shared" ref="K839:K840" si="28">ROUNDUP(J839/G839,2)</f>
        <v>6.25</v>
      </c>
      <c r="L839" s="82" t="s">
        <v>3203</v>
      </c>
    </row>
    <row r="840" ht="75.75" customHeight="1">
      <c r="A840" s="149" t="s">
        <v>3215</v>
      </c>
      <c r="B840" s="148" t="s">
        <v>3213</v>
      </c>
      <c r="C840" s="149" t="s">
        <v>94</v>
      </c>
      <c r="D840" s="82" t="s">
        <v>3216</v>
      </c>
      <c r="E840" s="79" t="s">
        <v>1724</v>
      </c>
      <c r="F840" s="86" t="s">
        <v>314</v>
      </c>
      <c r="G840" s="148">
        <v>8.0</v>
      </c>
      <c r="H840" s="148">
        <v>3.0</v>
      </c>
      <c r="I840" s="149">
        <v>8.0</v>
      </c>
      <c r="J840" s="149">
        <v>50.0</v>
      </c>
      <c r="K840" s="149">
        <f t="shared" si="28"/>
        <v>6.25</v>
      </c>
      <c r="L840" s="82" t="s">
        <v>3203</v>
      </c>
    </row>
    <row r="841" ht="15.0" customHeight="1">
      <c r="A841" s="82" t="s">
        <v>3217</v>
      </c>
      <c r="B841" s="82" t="s">
        <v>3218</v>
      </c>
      <c r="C841" s="82" t="s">
        <v>94</v>
      </c>
      <c r="D841" s="82" t="s">
        <v>3219</v>
      </c>
      <c r="E841" s="82" t="s">
        <v>3220</v>
      </c>
      <c r="F841" s="82" t="s">
        <v>1833</v>
      </c>
      <c r="G841" s="82">
        <v>9.0</v>
      </c>
      <c r="H841" s="82">
        <v>1.0</v>
      </c>
      <c r="I841" s="82">
        <v>9.0</v>
      </c>
      <c r="J841" s="82">
        <v>50.0</v>
      </c>
      <c r="K841" s="82">
        <f t="shared" ref="K841:K842" si="29">50/9</f>
        <v>5.555555556</v>
      </c>
      <c r="L841" s="82" t="s">
        <v>689</v>
      </c>
    </row>
    <row r="842" ht="15.0" customHeight="1">
      <c r="A842" s="82" t="s">
        <v>3217</v>
      </c>
      <c r="B842" s="82" t="s">
        <v>3218</v>
      </c>
      <c r="C842" s="82" t="s">
        <v>94</v>
      </c>
      <c r="D842" s="82" t="s">
        <v>3221</v>
      </c>
      <c r="E842" s="79" t="s">
        <v>3222</v>
      </c>
      <c r="F842" s="82" t="s">
        <v>1833</v>
      </c>
      <c r="G842" s="82">
        <v>9.0</v>
      </c>
      <c r="H842" s="82">
        <v>1.0</v>
      </c>
      <c r="I842" s="82">
        <v>9.0</v>
      </c>
      <c r="J842" s="82">
        <v>50.0</v>
      </c>
      <c r="K842" s="84">
        <f t="shared" si="29"/>
        <v>5.555555556</v>
      </c>
      <c r="L842" s="82" t="s">
        <v>689</v>
      </c>
    </row>
    <row r="843" ht="15.0" customHeight="1">
      <c r="A843" s="82" t="s">
        <v>3223</v>
      </c>
      <c r="B843" s="82" t="s">
        <v>3224</v>
      </c>
      <c r="C843" s="82" t="s">
        <v>94</v>
      </c>
      <c r="D843" s="82" t="s">
        <v>3225</v>
      </c>
      <c r="E843" s="79" t="s">
        <v>3226</v>
      </c>
      <c r="F843" s="86" t="s">
        <v>1833</v>
      </c>
      <c r="G843" s="82">
        <v>3.0</v>
      </c>
      <c r="H843" s="82">
        <v>2.0</v>
      </c>
      <c r="I843" s="82">
        <v>3.0</v>
      </c>
      <c r="J843" s="152">
        <v>50.0</v>
      </c>
      <c r="K843" s="84">
        <f>50/3</f>
        <v>16.66666667</v>
      </c>
      <c r="L843" s="82" t="s">
        <v>689</v>
      </c>
    </row>
    <row r="844" ht="15.0" customHeight="1">
      <c r="A844" s="82" t="s">
        <v>3227</v>
      </c>
      <c r="B844" s="82" t="s">
        <v>3228</v>
      </c>
      <c r="C844" s="82" t="s">
        <v>94</v>
      </c>
      <c r="D844" s="82" t="s">
        <v>3229</v>
      </c>
      <c r="E844" s="79" t="s">
        <v>3230</v>
      </c>
      <c r="F844" s="86" t="s">
        <v>1833</v>
      </c>
      <c r="G844" s="82">
        <v>2.0</v>
      </c>
      <c r="H844" s="82">
        <v>1.0</v>
      </c>
      <c r="I844" s="82">
        <v>12.0</v>
      </c>
      <c r="J844" s="152">
        <v>50.0</v>
      </c>
      <c r="K844" s="84">
        <f>50/2</f>
        <v>25</v>
      </c>
      <c r="L844" s="82" t="s">
        <v>689</v>
      </c>
    </row>
    <row r="845" ht="15.0" customHeight="1">
      <c r="A845" s="82" t="s">
        <v>3231</v>
      </c>
      <c r="B845" s="82" t="s">
        <v>3232</v>
      </c>
      <c r="C845" s="82" t="s">
        <v>94</v>
      </c>
      <c r="D845" s="82" t="s">
        <v>3233</v>
      </c>
      <c r="E845" s="79" t="s">
        <v>3234</v>
      </c>
      <c r="F845" s="86" t="s">
        <v>1833</v>
      </c>
      <c r="G845" s="82">
        <v>7.0</v>
      </c>
      <c r="H845" s="82">
        <v>1.0</v>
      </c>
      <c r="I845" s="82">
        <v>7.0</v>
      </c>
      <c r="J845" s="152">
        <v>50.0</v>
      </c>
      <c r="K845" s="84">
        <f>50/7</f>
        <v>7.142857143</v>
      </c>
      <c r="L845" s="82" t="s">
        <v>689</v>
      </c>
    </row>
    <row r="846" ht="15.0" customHeight="1">
      <c r="A846" s="82" t="s">
        <v>3235</v>
      </c>
      <c r="B846" s="82" t="s">
        <v>3236</v>
      </c>
      <c r="C846" s="82" t="s">
        <v>94</v>
      </c>
      <c r="D846" s="82" t="s">
        <v>3237</v>
      </c>
      <c r="E846" s="79" t="s">
        <v>3238</v>
      </c>
      <c r="F846" s="86" t="s">
        <v>1833</v>
      </c>
      <c r="G846" s="82">
        <v>2.0</v>
      </c>
      <c r="H846" s="82">
        <v>1.0</v>
      </c>
      <c r="I846" s="82">
        <v>2.0</v>
      </c>
      <c r="J846" s="152">
        <v>50.0</v>
      </c>
      <c r="K846" s="84">
        <v>25.0</v>
      </c>
      <c r="L846" s="82" t="s">
        <v>689</v>
      </c>
    </row>
    <row r="847" ht="15.0" customHeight="1">
      <c r="A847" s="82" t="s">
        <v>3239</v>
      </c>
      <c r="B847" s="82" t="s">
        <v>3240</v>
      </c>
      <c r="C847" s="82" t="s">
        <v>94</v>
      </c>
      <c r="D847" s="82" t="s">
        <v>3241</v>
      </c>
      <c r="E847" s="79" t="s">
        <v>3242</v>
      </c>
      <c r="F847" s="86" t="s">
        <v>1833</v>
      </c>
      <c r="G847" s="82">
        <v>2.0</v>
      </c>
      <c r="H847" s="82">
        <v>1.0</v>
      </c>
      <c r="I847" s="82">
        <v>2.0</v>
      </c>
      <c r="J847" s="152">
        <v>50.0</v>
      </c>
      <c r="K847" s="84">
        <v>50.0</v>
      </c>
      <c r="L847" s="82" t="s">
        <v>689</v>
      </c>
    </row>
    <row r="848" ht="15.0" customHeight="1">
      <c r="A848" s="82" t="s">
        <v>3239</v>
      </c>
      <c r="B848" s="82" t="s">
        <v>3240</v>
      </c>
      <c r="C848" s="82" t="s">
        <v>94</v>
      </c>
      <c r="D848" s="82" t="s">
        <v>3243</v>
      </c>
      <c r="E848" s="79" t="s">
        <v>3244</v>
      </c>
      <c r="F848" s="86" t="s">
        <v>1833</v>
      </c>
      <c r="G848" s="82">
        <v>2.0</v>
      </c>
      <c r="H848" s="82">
        <v>1.0</v>
      </c>
      <c r="I848" s="82">
        <v>2.0</v>
      </c>
      <c r="J848" s="152">
        <v>50.0</v>
      </c>
      <c r="K848" s="84">
        <v>50.0</v>
      </c>
      <c r="L848" s="82" t="s">
        <v>689</v>
      </c>
    </row>
    <row r="849" ht="15.0" customHeight="1">
      <c r="A849" s="82" t="s">
        <v>3245</v>
      </c>
      <c r="B849" s="78" t="s">
        <v>3246</v>
      </c>
      <c r="C849" s="82" t="s">
        <v>94</v>
      </c>
      <c r="D849" s="82" t="s">
        <v>3247</v>
      </c>
      <c r="E849" s="82" t="s">
        <v>3248</v>
      </c>
      <c r="F849" s="82" t="s">
        <v>259</v>
      </c>
      <c r="G849" s="82">
        <v>2.0</v>
      </c>
      <c r="H849" s="82">
        <v>2.0</v>
      </c>
      <c r="I849" s="82">
        <v>3.0</v>
      </c>
      <c r="J849" s="82">
        <v>50.0</v>
      </c>
      <c r="K849" s="82">
        <v>25.0</v>
      </c>
      <c r="L849" s="82" t="s">
        <v>3249</v>
      </c>
    </row>
    <row r="850" ht="15.0" customHeight="1">
      <c r="A850" s="82" t="s">
        <v>3250</v>
      </c>
      <c r="B850" s="82" t="s">
        <v>3251</v>
      </c>
      <c r="C850" s="82" t="s">
        <v>94</v>
      </c>
      <c r="D850" s="82" t="s">
        <v>3252</v>
      </c>
      <c r="E850" s="82" t="s">
        <v>3253</v>
      </c>
      <c r="F850" s="82" t="s">
        <v>259</v>
      </c>
      <c r="G850" s="82">
        <v>2.0</v>
      </c>
      <c r="H850" s="82">
        <v>2.0</v>
      </c>
      <c r="I850" s="82">
        <v>2.0</v>
      </c>
      <c r="J850" s="152">
        <v>50.0</v>
      </c>
      <c r="K850" s="84">
        <v>25.0</v>
      </c>
      <c r="L850" s="82" t="s">
        <v>3249</v>
      </c>
    </row>
    <row r="851" ht="15.0" customHeight="1">
      <c r="A851" s="82" t="s">
        <v>3254</v>
      </c>
      <c r="B851" s="82" t="s">
        <v>3255</v>
      </c>
      <c r="C851" s="82" t="s">
        <v>94</v>
      </c>
      <c r="D851" s="82" t="s">
        <v>3256</v>
      </c>
      <c r="E851" s="82" t="s">
        <v>3257</v>
      </c>
      <c r="F851" s="82" t="s">
        <v>259</v>
      </c>
      <c r="G851" s="82">
        <v>3.0</v>
      </c>
      <c r="H851" s="82">
        <v>3.0</v>
      </c>
      <c r="I851" s="82">
        <v>4.0</v>
      </c>
      <c r="J851" s="152">
        <v>50.0</v>
      </c>
      <c r="K851" s="84">
        <f>50/3</f>
        <v>16.66666667</v>
      </c>
      <c r="L851" s="82" t="s">
        <v>3249</v>
      </c>
    </row>
    <row r="852" ht="15.0" customHeight="1">
      <c r="A852" s="82" t="s">
        <v>3258</v>
      </c>
      <c r="B852" s="82" t="s">
        <v>3259</v>
      </c>
      <c r="C852" s="82" t="s">
        <v>94</v>
      </c>
      <c r="D852" s="82" t="s">
        <v>3260</v>
      </c>
      <c r="E852" s="82" t="s">
        <v>3261</v>
      </c>
      <c r="F852" s="82" t="s">
        <v>259</v>
      </c>
      <c r="G852" s="82">
        <v>2.0</v>
      </c>
      <c r="H852" s="82">
        <v>2.0</v>
      </c>
      <c r="I852" s="82">
        <v>5.0</v>
      </c>
      <c r="J852" s="152">
        <v>50.0</v>
      </c>
      <c r="K852" s="84">
        <v>25.0</v>
      </c>
      <c r="L852" s="82" t="s">
        <v>3249</v>
      </c>
    </row>
    <row r="853" ht="15.0" customHeight="1">
      <c r="A853" s="82" t="s">
        <v>3262</v>
      </c>
      <c r="B853" s="82" t="s">
        <v>3263</v>
      </c>
      <c r="C853" s="82"/>
      <c r="D853" s="82" t="s">
        <v>3264</v>
      </c>
      <c r="E853" s="82" t="s">
        <v>3265</v>
      </c>
      <c r="F853" s="82" t="s">
        <v>259</v>
      </c>
      <c r="G853" s="82">
        <v>3.0</v>
      </c>
      <c r="H853" s="82">
        <v>3.0</v>
      </c>
      <c r="I853" s="82">
        <v>3.0</v>
      </c>
      <c r="J853" s="152">
        <v>50.0</v>
      </c>
      <c r="K853" s="84">
        <f>50/3</f>
        <v>16.66666667</v>
      </c>
      <c r="L853" s="82" t="s">
        <v>3249</v>
      </c>
    </row>
    <row r="854" ht="15.0" customHeight="1">
      <c r="A854" s="82" t="s">
        <v>3266</v>
      </c>
      <c r="B854" s="78" t="s">
        <v>3267</v>
      </c>
      <c r="C854" s="82" t="s">
        <v>94</v>
      </c>
      <c r="D854" s="82" t="s">
        <v>3268</v>
      </c>
      <c r="E854" s="79" t="s">
        <v>3269</v>
      </c>
      <c r="F854" s="79" t="s">
        <v>3270</v>
      </c>
      <c r="G854" s="82">
        <v>2.0</v>
      </c>
      <c r="H854" s="82">
        <v>1.0</v>
      </c>
      <c r="I854" s="82">
        <v>2.0</v>
      </c>
      <c r="J854" s="82">
        <v>50.0</v>
      </c>
      <c r="K854" s="84">
        <v>50.0</v>
      </c>
      <c r="L854" s="82" t="s">
        <v>852</v>
      </c>
    </row>
    <row r="855" ht="15.0" customHeight="1">
      <c r="A855" s="78" t="s">
        <v>3266</v>
      </c>
      <c r="B855" s="78" t="s">
        <v>3267</v>
      </c>
      <c r="C855" s="78" t="s">
        <v>94</v>
      </c>
      <c r="D855" s="82" t="s">
        <v>3271</v>
      </c>
      <c r="E855" s="79" t="s">
        <v>3272</v>
      </c>
      <c r="F855" s="171" t="s">
        <v>3270</v>
      </c>
      <c r="G855" s="82">
        <v>2.0</v>
      </c>
      <c r="H855" s="82">
        <v>1.0</v>
      </c>
      <c r="I855" s="82">
        <v>2.0</v>
      </c>
      <c r="J855" s="152">
        <v>50.0</v>
      </c>
      <c r="K855" s="84">
        <v>50.0</v>
      </c>
      <c r="L855" s="82" t="s">
        <v>852</v>
      </c>
    </row>
    <row r="856" ht="15.0" customHeight="1">
      <c r="A856" s="78" t="s">
        <v>3266</v>
      </c>
      <c r="B856" s="78" t="s">
        <v>3267</v>
      </c>
      <c r="C856" s="78" t="s">
        <v>94</v>
      </c>
      <c r="D856" s="82" t="s">
        <v>3273</v>
      </c>
      <c r="E856" s="79" t="s">
        <v>3274</v>
      </c>
      <c r="F856" s="171" t="s">
        <v>3270</v>
      </c>
      <c r="G856" s="82">
        <v>2.0</v>
      </c>
      <c r="H856" s="82">
        <v>1.0</v>
      </c>
      <c r="I856" s="82">
        <v>2.0</v>
      </c>
      <c r="J856" s="152">
        <v>50.0</v>
      </c>
      <c r="K856" s="84">
        <v>50.0</v>
      </c>
      <c r="L856" s="82" t="s">
        <v>852</v>
      </c>
    </row>
    <row r="857" ht="15.0" customHeight="1">
      <c r="A857" s="78" t="s">
        <v>3266</v>
      </c>
      <c r="B857" s="78" t="s">
        <v>3267</v>
      </c>
      <c r="C857" s="78" t="s">
        <v>94</v>
      </c>
      <c r="D857" s="82" t="s">
        <v>3275</v>
      </c>
      <c r="E857" s="79" t="s">
        <v>3276</v>
      </c>
      <c r="F857" s="86" t="s">
        <v>3270</v>
      </c>
      <c r="G857" s="82">
        <v>2.0</v>
      </c>
      <c r="H857" s="82">
        <v>1.0</v>
      </c>
      <c r="I857" s="82">
        <v>2.0</v>
      </c>
      <c r="J857" s="152">
        <v>50.0</v>
      </c>
      <c r="K857" s="84">
        <v>50.0</v>
      </c>
      <c r="L857" s="82" t="s">
        <v>852</v>
      </c>
    </row>
    <row r="858" ht="15.0" customHeight="1">
      <c r="A858" s="78" t="s">
        <v>3266</v>
      </c>
      <c r="B858" s="78" t="s">
        <v>3267</v>
      </c>
      <c r="C858" s="78" t="s">
        <v>94</v>
      </c>
      <c r="D858" s="82" t="s">
        <v>3277</v>
      </c>
      <c r="E858" s="79" t="s">
        <v>3278</v>
      </c>
      <c r="F858" s="86" t="s">
        <v>3270</v>
      </c>
      <c r="G858" s="82">
        <v>2.0</v>
      </c>
      <c r="H858" s="82">
        <v>1.0</v>
      </c>
      <c r="I858" s="82">
        <v>2.0</v>
      </c>
      <c r="J858" s="152">
        <v>50.0</v>
      </c>
      <c r="K858" s="84">
        <v>50.0</v>
      </c>
      <c r="L858" s="82" t="s">
        <v>852</v>
      </c>
    </row>
    <row r="859" ht="15.0" customHeight="1">
      <c r="A859" s="78" t="s">
        <v>3279</v>
      </c>
      <c r="B859" s="78" t="s">
        <v>3280</v>
      </c>
      <c r="C859" s="78" t="s">
        <v>94</v>
      </c>
      <c r="D859" s="82" t="s">
        <v>3281</v>
      </c>
      <c r="E859" s="79" t="s">
        <v>3282</v>
      </c>
      <c r="F859" s="86"/>
      <c r="G859" s="82">
        <v>2.0</v>
      </c>
      <c r="H859" s="82">
        <v>2.0</v>
      </c>
      <c r="I859" s="82">
        <v>3.0</v>
      </c>
      <c r="J859" s="152">
        <v>50.0</v>
      </c>
      <c r="K859" s="84">
        <f>J859/2</f>
        <v>25</v>
      </c>
      <c r="L859" s="82" t="s">
        <v>852</v>
      </c>
    </row>
    <row r="860" ht="15.0" customHeight="1">
      <c r="A860" s="78" t="s">
        <v>854</v>
      </c>
      <c r="B860" s="78" t="s">
        <v>853</v>
      </c>
      <c r="C860" s="82" t="s">
        <v>94</v>
      </c>
      <c r="D860" s="82" t="s">
        <v>3283</v>
      </c>
      <c r="E860" s="79" t="s">
        <v>3284</v>
      </c>
      <c r="F860" s="82" t="s">
        <v>1833</v>
      </c>
      <c r="G860" s="82">
        <v>2.0</v>
      </c>
      <c r="H860" s="82">
        <v>2.0</v>
      </c>
      <c r="I860" s="82">
        <v>10.0</v>
      </c>
      <c r="J860" s="82">
        <v>50.0</v>
      </c>
      <c r="K860" s="82">
        <v>25.0</v>
      </c>
      <c r="L860" s="82" t="s">
        <v>861</v>
      </c>
    </row>
    <row r="861" ht="15.0" customHeight="1">
      <c r="A861" s="78" t="s">
        <v>854</v>
      </c>
      <c r="B861" s="78" t="s">
        <v>853</v>
      </c>
      <c r="C861" s="82" t="s">
        <v>94</v>
      </c>
      <c r="D861" s="82" t="s">
        <v>3285</v>
      </c>
      <c r="E861" s="79" t="s">
        <v>3286</v>
      </c>
      <c r="F861" s="86" t="s">
        <v>1833</v>
      </c>
      <c r="G861" s="82">
        <v>2.0</v>
      </c>
      <c r="H861" s="82">
        <v>2.0</v>
      </c>
      <c r="I861" s="82">
        <v>10.0</v>
      </c>
      <c r="J861" s="152">
        <v>50.0</v>
      </c>
      <c r="K861" s="84">
        <v>25.0</v>
      </c>
      <c r="L861" s="82" t="s">
        <v>861</v>
      </c>
    </row>
    <row r="862" ht="15.0" customHeight="1">
      <c r="A862" s="82" t="s">
        <v>3287</v>
      </c>
      <c r="B862" s="78" t="s">
        <v>3288</v>
      </c>
      <c r="C862" s="82" t="s">
        <v>94</v>
      </c>
      <c r="D862" s="82" t="s">
        <v>3289</v>
      </c>
      <c r="E862" s="79" t="s">
        <v>3290</v>
      </c>
      <c r="F862" s="82" t="s">
        <v>1256</v>
      </c>
      <c r="G862" s="82">
        <v>1.0</v>
      </c>
      <c r="H862" s="82">
        <v>1.0</v>
      </c>
      <c r="I862" s="82">
        <v>2.0</v>
      </c>
      <c r="J862" s="82">
        <v>50.0</v>
      </c>
      <c r="K862" s="82">
        <v>50.0</v>
      </c>
      <c r="L862" s="82" t="s">
        <v>870</v>
      </c>
    </row>
    <row r="863" ht="15.0" customHeight="1">
      <c r="A863" s="82" t="s">
        <v>3287</v>
      </c>
      <c r="B863" s="78" t="s">
        <v>3288</v>
      </c>
      <c r="C863" s="82" t="s">
        <v>94</v>
      </c>
      <c r="D863" s="82" t="s">
        <v>3291</v>
      </c>
      <c r="E863" s="79" t="s">
        <v>3292</v>
      </c>
      <c r="F863" s="82" t="s">
        <v>1256</v>
      </c>
      <c r="G863" s="82">
        <v>1.0</v>
      </c>
      <c r="H863" s="82">
        <v>1.0</v>
      </c>
      <c r="I863" s="82">
        <v>2.0</v>
      </c>
      <c r="J863" s="82">
        <v>50.0</v>
      </c>
      <c r="K863" s="82">
        <v>50.0</v>
      </c>
      <c r="L863" s="82" t="s">
        <v>870</v>
      </c>
    </row>
    <row r="864" ht="15.0" customHeight="1">
      <c r="A864" s="82" t="s">
        <v>3293</v>
      </c>
      <c r="B864" s="78" t="s">
        <v>3294</v>
      </c>
      <c r="C864" s="78" t="s">
        <v>94</v>
      </c>
      <c r="D864" s="82" t="s">
        <v>3295</v>
      </c>
      <c r="E864" s="79" t="s">
        <v>3296</v>
      </c>
      <c r="F864" s="86" t="s">
        <v>1256</v>
      </c>
      <c r="G864" s="82">
        <v>2.0</v>
      </c>
      <c r="H864" s="82">
        <v>2.0</v>
      </c>
      <c r="I864" s="82">
        <v>3.0</v>
      </c>
      <c r="J864" s="152">
        <v>50.0</v>
      </c>
      <c r="K864" s="84">
        <f>J864/3</f>
        <v>16.66666667</v>
      </c>
      <c r="L864" s="82" t="s">
        <v>870</v>
      </c>
    </row>
    <row r="865" ht="15.0" customHeight="1">
      <c r="A865" s="82" t="s">
        <v>3297</v>
      </c>
      <c r="B865" s="82" t="s">
        <v>3298</v>
      </c>
      <c r="C865" s="82" t="s">
        <v>94</v>
      </c>
      <c r="D865" s="82" t="s">
        <v>3299</v>
      </c>
      <c r="E865" s="79" t="s">
        <v>3300</v>
      </c>
      <c r="F865" s="86" t="s">
        <v>1256</v>
      </c>
      <c r="G865" s="82">
        <v>2.0</v>
      </c>
      <c r="H865" s="82">
        <v>2.0</v>
      </c>
      <c r="I865" s="82">
        <v>2.0</v>
      </c>
      <c r="J865" s="152">
        <v>50.0</v>
      </c>
      <c r="K865" s="84">
        <f>J865/2</f>
        <v>25</v>
      </c>
      <c r="L865" s="82" t="s">
        <v>870</v>
      </c>
    </row>
    <row r="866" ht="15.0" customHeight="1">
      <c r="A866" s="82" t="s">
        <v>3301</v>
      </c>
      <c r="B866" s="82" t="s">
        <v>3302</v>
      </c>
      <c r="C866" s="82" t="s">
        <v>94</v>
      </c>
      <c r="D866" s="82" t="s">
        <v>3303</v>
      </c>
      <c r="E866" s="79" t="s">
        <v>3304</v>
      </c>
      <c r="F866" s="86" t="s">
        <v>1256</v>
      </c>
      <c r="G866" s="82">
        <v>1.0</v>
      </c>
      <c r="H866" s="82">
        <v>1.0</v>
      </c>
      <c r="I866" s="82">
        <v>2.0</v>
      </c>
      <c r="J866" s="152">
        <v>50.0</v>
      </c>
      <c r="K866" s="84">
        <f t="shared" ref="K866:K868" si="30">J866/1</f>
        <v>50</v>
      </c>
      <c r="L866" s="82" t="s">
        <v>870</v>
      </c>
    </row>
    <row r="867" ht="15.0" customHeight="1">
      <c r="A867" s="82" t="s">
        <v>3301</v>
      </c>
      <c r="B867" s="82" t="s">
        <v>3302</v>
      </c>
      <c r="C867" s="82" t="s">
        <v>94</v>
      </c>
      <c r="D867" s="82" t="s">
        <v>3305</v>
      </c>
      <c r="E867" s="79" t="s">
        <v>3306</v>
      </c>
      <c r="F867" s="86" t="s">
        <v>1256</v>
      </c>
      <c r="G867" s="82">
        <v>1.0</v>
      </c>
      <c r="H867" s="82">
        <v>1.0</v>
      </c>
      <c r="I867" s="82">
        <v>2.0</v>
      </c>
      <c r="J867" s="152">
        <v>50.0</v>
      </c>
      <c r="K867" s="84">
        <f t="shared" si="30"/>
        <v>50</v>
      </c>
      <c r="L867" s="82" t="s">
        <v>870</v>
      </c>
    </row>
    <row r="868" ht="15.0" customHeight="1">
      <c r="A868" s="82" t="s">
        <v>3301</v>
      </c>
      <c r="B868" s="82" t="s">
        <v>3302</v>
      </c>
      <c r="C868" s="82" t="s">
        <v>94</v>
      </c>
      <c r="D868" s="82" t="s">
        <v>3307</v>
      </c>
      <c r="E868" s="79" t="s">
        <v>3308</v>
      </c>
      <c r="F868" s="86" t="s">
        <v>1256</v>
      </c>
      <c r="G868" s="82">
        <v>1.0</v>
      </c>
      <c r="H868" s="82">
        <v>1.0</v>
      </c>
      <c r="I868" s="82">
        <v>2.0</v>
      </c>
      <c r="J868" s="152">
        <v>50.0</v>
      </c>
      <c r="K868" s="84">
        <f t="shared" si="30"/>
        <v>50</v>
      </c>
      <c r="L868" s="82" t="s">
        <v>870</v>
      </c>
    </row>
    <row r="869" ht="15.0" customHeight="1">
      <c r="A869" s="82" t="s">
        <v>3309</v>
      </c>
      <c r="B869" s="78" t="s">
        <v>3310</v>
      </c>
      <c r="C869" s="82" t="s">
        <v>94</v>
      </c>
      <c r="D869" s="82" t="s">
        <v>3311</v>
      </c>
      <c r="E869" s="79" t="s">
        <v>3312</v>
      </c>
      <c r="F869" s="82" t="s">
        <v>1264</v>
      </c>
      <c r="G869" s="82">
        <v>2.0</v>
      </c>
      <c r="H869" s="82">
        <v>1.0</v>
      </c>
      <c r="I869" s="82">
        <v>6.0</v>
      </c>
      <c r="J869" s="82">
        <v>50.0</v>
      </c>
      <c r="K869" s="82">
        <v>25.0</v>
      </c>
      <c r="L869" s="82" t="s">
        <v>907</v>
      </c>
    </row>
    <row r="870" ht="15.0" customHeight="1">
      <c r="A870" s="82" t="s">
        <v>3309</v>
      </c>
      <c r="B870" s="78" t="s">
        <v>3310</v>
      </c>
      <c r="C870" s="82" t="s">
        <v>94</v>
      </c>
      <c r="D870" s="82" t="s">
        <v>3313</v>
      </c>
      <c r="E870" s="79" t="s">
        <v>3314</v>
      </c>
      <c r="F870" s="86" t="s">
        <v>1264</v>
      </c>
      <c r="G870" s="82">
        <v>2.0</v>
      </c>
      <c r="H870" s="82">
        <v>1.0</v>
      </c>
      <c r="I870" s="82">
        <v>6.0</v>
      </c>
      <c r="J870" s="82">
        <v>50.0</v>
      </c>
      <c r="K870" s="82">
        <v>25.0</v>
      </c>
      <c r="L870" s="82" t="s">
        <v>907</v>
      </c>
    </row>
    <row r="871" ht="15.0" customHeight="1">
      <c r="A871" s="82" t="s">
        <v>3309</v>
      </c>
      <c r="B871" s="78" t="s">
        <v>3310</v>
      </c>
      <c r="C871" s="82" t="s">
        <v>94</v>
      </c>
      <c r="D871" s="82" t="s">
        <v>3315</v>
      </c>
      <c r="E871" s="79" t="s">
        <v>3316</v>
      </c>
      <c r="F871" s="86" t="s">
        <v>1264</v>
      </c>
      <c r="G871" s="82">
        <v>2.0</v>
      </c>
      <c r="H871" s="82">
        <v>1.0</v>
      </c>
      <c r="I871" s="82">
        <v>6.0</v>
      </c>
      <c r="J871" s="82">
        <v>50.0</v>
      </c>
      <c r="K871" s="82">
        <v>25.0</v>
      </c>
      <c r="L871" s="82" t="s">
        <v>907</v>
      </c>
    </row>
    <row r="872" ht="15.0" customHeight="1">
      <c r="A872" s="82" t="s">
        <v>3309</v>
      </c>
      <c r="B872" s="78" t="s">
        <v>3310</v>
      </c>
      <c r="C872" s="82" t="s">
        <v>94</v>
      </c>
      <c r="D872" s="85" t="s">
        <v>3317</v>
      </c>
      <c r="E872" s="79" t="s">
        <v>3318</v>
      </c>
      <c r="F872" s="86" t="s">
        <v>1264</v>
      </c>
      <c r="G872" s="82">
        <v>2.0</v>
      </c>
      <c r="H872" s="82">
        <v>1.0</v>
      </c>
      <c r="I872" s="82">
        <v>6.0</v>
      </c>
      <c r="J872" s="82">
        <v>50.0</v>
      </c>
      <c r="K872" s="82">
        <v>25.0</v>
      </c>
      <c r="L872" s="82" t="s">
        <v>907</v>
      </c>
    </row>
    <row r="873" ht="15.0" customHeight="1">
      <c r="A873" s="82" t="s">
        <v>3309</v>
      </c>
      <c r="B873" s="78" t="s">
        <v>3310</v>
      </c>
      <c r="C873" s="82" t="s">
        <v>94</v>
      </c>
      <c r="D873" s="82" t="s">
        <v>3319</v>
      </c>
      <c r="E873" s="79" t="s">
        <v>3320</v>
      </c>
      <c r="F873" s="86" t="s">
        <v>1264</v>
      </c>
      <c r="G873" s="82">
        <v>2.0</v>
      </c>
      <c r="H873" s="82">
        <v>1.0</v>
      </c>
      <c r="I873" s="82">
        <v>6.0</v>
      </c>
      <c r="J873" s="82">
        <v>50.0</v>
      </c>
      <c r="K873" s="82">
        <v>25.0</v>
      </c>
      <c r="L873" s="82" t="s">
        <v>907</v>
      </c>
    </row>
    <row r="874" ht="15.0" customHeight="1">
      <c r="A874" s="82" t="s">
        <v>3309</v>
      </c>
      <c r="B874" s="78" t="s">
        <v>3310</v>
      </c>
      <c r="C874" s="82" t="s">
        <v>94</v>
      </c>
      <c r="D874" s="82" t="s">
        <v>3321</v>
      </c>
      <c r="E874" s="79" t="s">
        <v>3322</v>
      </c>
      <c r="F874" s="86" t="s">
        <v>1264</v>
      </c>
      <c r="G874" s="82">
        <v>2.0</v>
      </c>
      <c r="H874" s="82">
        <v>1.0</v>
      </c>
      <c r="I874" s="82">
        <v>6.0</v>
      </c>
      <c r="J874" s="82">
        <v>50.0</v>
      </c>
      <c r="K874" s="82">
        <v>25.0</v>
      </c>
      <c r="L874" s="82" t="s">
        <v>907</v>
      </c>
    </row>
    <row r="875" ht="15.0" customHeight="1">
      <c r="A875" s="82" t="s">
        <v>3309</v>
      </c>
      <c r="B875" s="78" t="s">
        <v>3310</v>
      </c>
      <c r="C875" s="82" t="s">
        <v>94</v>
      </c>
      <c r="D875" s="82" t="s">
        <v>3323</v>
      </c>
      <c r="E875" s="79" t="s">
        <v>3324</v>
      </c>
      <c r="F875" s="86" t="s">
        <v>1264</v>
      </c>
      <c r="G875" s="82">
        <v>2.0</v>
      </c>
      <c r="H875" s="82">
        <v>1.0</v>
      </c>
      <c r="I875" s="82">
        <v>6.0</v>
      </c>
      <c r="J875" s="82">
        <v>50.0</v>
      </c>
      <c r="K875" s="82">
        <v>25.0</v>
      </c>
      <c r="L875" s="82" t="s">
        <v>907</v>
      </c>
    </row>
    <row r="876" ht="15.0" customHeight="1">
      <c r="A876" s="82" t="s">
        <v>3309</v>
      </c>
      <c r="B876" s="78" t="s">
        <v>3310</v>
      </c>
      <c r="C876" s="82" t="s">
        <v>94</v>
      </c>
      <c r="D876" s="82" t="s">
        <v>3325</v>
      </c>
      <c r="E876" s="79" t="s">
        <v>3326</v>
      </c>
      <c r="F876" s="86" t="s">
        <v>1264</v>
      </c>
      <c r="G876" s="82">
        <v>2.0</v>
      </c>
      <c r="H876" s="82">
        <v>1.0</v>
      </c>
      <c r="I876" s="82">
        <v>6.0</v>
      </c>
      <c r="J876" s="82">
        <v>50.0</v>
      </c>
      <c r="K876" s="82">
        <v>25.0</v>
      </c>
      <c r="L876" s="82" t="s">
        <v>907</v>
      </c>
    </row>
    <row r="877" ht="15.0" customHeight="1">
      <c r="A877" s="82" t="s">
        <v>3309</v>
      </c>
      <c r="B877" s="78" t="s">
        <v>3310</v>
      </c>
      <c r="C877" s="82" t="s">
        <v>94</v>
      </c>
      <c r="D877" s="85" t="s">
        <v>3327</v>
      </c>
      <c r="E877" s="79" t="s">
        <v>3328</v>
      </c>
      <c r="F877" s="86" t="s">
        <v>1264</v>
      </c>
      <c r="G877" s="82">
        <v>2.0</v>
      </c>
      <c r="H877" s="82">
        <v>1.0</v>
      </c>
      <c r="I877" s="82">
        <v>6.0</v>
      </c>
      <c r="J877" s="152">
        <v>50.0</v>
      </c>
      <c r="K877" s="82">
        <v>25.0</v>
      </c>
      <c r="L877" s="82" t="s">
        <v>907</v>
      </c>
    </row>
    <row r="878" ht="15.0" customHeight="1">
      <c r="A878" s="82" t="s">
        <v>3309</v>
      </c>
      <c r="B878" s="78" t="s">
        <v>3310</v>
      </c>
      <c r="C878" s="82" t="s">
        <v>94</v>
      </c>
      <c r="D878" s="85" t="s">
        <v>3329</v>
      </c>
      <c r="E878" s="79" t="s">
        <v>3330</v>
      </c>
      <c r="F878" s="86" t="s">
        <v>1264</v>
      </c>
      <c r="G878" s="82">
        <v>2.0</v>
      </c>
      <c r="H878" s="82">
        <v>1.0</v>
      </c>
      <c r="I878" s="82">
        <v>6.0</v>
      </c>
      <c r="J878" s="152">
        <v>50.0</v>
      </c>
      <c r="K878" s="82">
        <v>25.0</v>
      </c>
      <c r="L878" s="82" t="s">
        <v>907</v>
      </c>
    </row>
    <row r="879" ht="15.0" customHeight="1">
      <c r="A879" s="82" t="s">
        <v>3309</v>
      </c>
      <c r="B879" s="78" t="s">
        <v>3310</v>
      </c>
      <c r="C879" s="82" t="s">
        <v>94</v>
      </c>
      <c r="D879" s="85" t="s">
        <v>3331</v>
      </c>
      <c r="E879" s="79" t="s">
        <v>3332</v>
      </c>
      <c r="F879" s="86" t="s">
        <v>1264</v>
      </c>
      <c r="G879" s="82">
        <v>2.0</v>
      </c>
      <c r="H879" s="82">
        <v>1.0</v>
      </c>
      <c r="I879" s="82">
        <v>6.0</v>
      </c>
      <c r="J879" s="152">
        <v>50.0</v>
      </c>
      <c r="K879" s="82">
        <v>25.0</v>
      </c>
      <c r="L879" s="82" t="s">
        <v>907</v>
      </c>
    </row>
    <row r="880" ht="15.0" customHeight="1">
      <c r="A880" s="82" t="s">
        <v>3309</v>
      </c>
      <c r="B880" s="78" t="s">
        <v>3310</v>
      </c>
      <c r="C880" s="82" t="s">
        <v>94</v>
      </c>
      <c r="D880" s="85" t="s">
        <v>3333</v>
      </c>
      <c r="E880" s="79" t="s">
        <v>3334</v>
      </c>
      <c r="F880" s="86" t="s">
        <v>1264</v>
      </c>
      <c r="G880" s="82">
        <v>2.0</v>
      </c>
      <c r="H880" s="82">
        <v>1.0</v>
      </c>
      <c r="I880" s="82">
        <v>6.0</v>
      </c>
      <c r="J880" s="152">
        <v>50.0</v>
      </c>
      <c r="K880" s="82">
        <v>25.0</v>
      </c>
      <c r="L880" s="82" t="s">
        <v>907</v>
      </c>
    </row>
    <row r="881" ht="15.0" customHeight="1">
      <c r="A881" s="82" t="s">
        <v>3309</v>
      </c>
      <c r="B881" s="78" t="s">
        <v>3310</v>
      </c>
      <c r="C881" s="82" t="s">
        <v>94</v>
      </c>
      <c r="D881" s="85" t="s">
        <v>3335</v>
      </c>
      <c r="E881" s="79" t="s">
        <v>3336</v>
      </c>
      <c r="F881" s="86" t="s">
        <v>1264</v>
      </c>
      <c r="G881" s="82">
        <v>2.0</v>
      </c>
      <c r="H881" s="82">
        <v>1.0</v>
      </c>
      <c r="I881" s="82">
        <v>6.0</v>
      </c>
      <c r="J881" s="152">
        <v>50.0</v>
      </c>
      <c r="K881" s="82">
        <v>25.0</v>
      </c>
      <c r="L881" s="82" t="s">
        <v>907</v>
      </c>
    </row>
    <row r="882" ht="15.0" customHeight="1">
      <c r="A882" s="82" t="s">
        <v>3309</v>
      </c>
      <c r="B882" s="78" t="s">
        <v>3310</v>
      </c>
      <c r="C882" s="82" t="s">
        <v>94</v>
      </c>
      <c r="D882" s="82" t="s">
        <v>3337</v>
      </c>
      <c r="E882" s="79" t="s">
        <v>3338</v>
      </c>
      <c r="F882" s="86" t="s">
        <v>1264</v>
      </c>
      <c r="G882" s="82">
        <v>2.0</v>
      </c>
      <c r="H882" s="82">
        <v>1.0</v>
      </c>
      <c r="I882" s="82">
        <v>6.0</v>
      </c>
      <c r="J882" s="152">
        <v>50.0</v>
      </c>
      <c r="K882" s="82">
        <v>25.0</v>
      </c>
      <c r="L882" s="82" t="s">
        <v>907</v>
      </c>
    </row>
    <row r="883" ht="15.0" customHeight="1">
      <c r="A883" s="82" t="s">
        <v>3309</v>
      </c>
      <c r="B883" s="78" t="s">
        <v>3310</v>
      </c>
      <c r="C883" s="82" t="s">
        <v>94</v>
      </c>
      <c r="D883" s="85" t="s">
        <v>3339</v>
      </c>
      <c r="E883" s="79" t="s">
        <v>3340</v>
      </c>
      <c r="F883" s="86" t="s">
        <v>1264</v>
      </c>
      <c r="G883" s="82">
        <v>2.0</v>
      </c>
      <c r="H883" s="82">
        <v>1.0</v>
      </c>
      <c r="I883" s="82">
        <v>6.0</v>
      </c>
      <c r="J883" s="152">
        <v>50.0</v>
      </c>
      <c r="K883" s="82">
        <v>25.0</v>
      </c>
      <c r="L883" s="82" t="s">
        <v>907</v>
      </c>
    </row>
    <row r="884" ht="15.0" customHeight="1">
      <c r="A884" s="82" t="s">
        <v>3309</v>
      </c>
      <c r="B884" s="78" t="s">
        <v>3310</v>
      </c>
      <c r="C884" s="82" t="s">
        <v>94</v>
      </c>
      <c r="D884" s="85" t="s">
        <v>3341</v>
      </c>
      <c r="E884" s="79" t="s">
        <v>3342</v>
      </c>
      <c r="F884" s="86" t="s">
        <v>1264</v>
      </c>
      <c r="G884" s="82">
        <v>2.0</v>
      </c>
      <c r="H884" s="82">
        <v>1.0</v>
      </c>
      <c r="I884" s="82">
        <v>6.0</v>
      </c>
      <c r="J884" s="152">
        <v>50.0</v>
      </c>
      <c r="K884" s="82">
        <v>25.0</v>
      </c>
      <c r="L884" s="82" t="s">
        <v>907</v>
      </c>
    </row>
    <row r="885" ht="15.0" customHeight="1">
      <c r="A885" s="82" t="s">
        <v>3309</v>
      </c>
      <c r="B885" s="78" t="s">
        <v>3310</v>
      </c>
      <c r="C885" s="82" t="s">
        <v>94</v>
      </c>
      <c r="D885" s="85" t="s">
        <v>3343</v>
      </c>
      <c r="E885" s="79" t="s">
        <v>3344</v>
      </c>
      <c r="F885" s="86" t="s">
        <v>1264</v>
      </c>
      <c r="G885" s="82">
        <v>2.0</v>
      </c>
      <c r="H885" s="82">
        <v>1.0</v>
      </c>
      <c r="I885" s="82">
        <v>6.0</v>
      </c>
      <c r="J885" s="152">
        <v>50.0</v>
      </c>
      <c r="K885" s="82">
        <v>25.0</v>
      </c>
      <c r="L885" s="82" t="s">
        <v>907</v>
      </c>
    </row>
    <row r="886" ht="15.0" customHeight="1">
      <c r="A886" s="82" t="s">
        <v>3309</v>
      </c>
      <c r="B886" s="78" t="s">
        <v>3310</v>
      </c>
      <c r="C886" s="82" t="s">
        <v>94</v>
      </c>
      <c r="D886" s="85" t="s">
        <v>3345</v>
      </c>
      <c r="E886" s="79" t="s">
        <v>3346</v>
      </c>
      <c r="F886" s="86" t="s">
        <v>1264</v>
      </c>
      <c r="G886" s="82">
        <v>2.0</v>
      </c>
      <c r="H886" s="82">
        <v>1.0</v>
      </c>
      <c r="I886" s="82">
        <v>6.0</v>
      </c>
      <c r="J886" s="152">
        <v>50.0</v>
      </c>
      <c r="K886" s="82">
        <v>25.0</v>
      </c>
      <c r="L886" s="82" t="s">
        <v>907</v>
      </c>
    </row>
    <row r="887" ht="15.0" customHeight="1">
      <c r="A887" s="82" t="s">
        <v>3309</v>
      </c>
      <c r="B887" s="78" t="s">
        <v>3310</v>
      </c>
      <c r="C887" s="82" t="s">
        <v>94</v>
      </c>
      <c r="D887" s="85" t="s">
        <v>3347</v>
      </c>
      <c r="E887" s="79" t="s">
        <v>3348</v>
      </c>
      <c r="F887" s="86" t="s">
        <v>1264</v>
      </c>
      <c r="G887" s="82">
        <v>2.0</v>
      </c>
      <c r="H887" s="82">
        <v>1.0</v>
      </c>
      <c r="I887" s="82">
        <v>6.0</v>
      </c>
      <c r="J887" s="152">
        <v>50.0</v>
      </c>
      <c r="K887" s="82">
        <v>25.0</v>
      </c>
      <c r="L887" s="82" t="s">
        <v>907</v>
      </c>
    </row>
    <row r="888" ht="15.0" customHeight="1">
      <c r="A888" s="82" t="s">
        <v>3309</v>
      </c>
      <c r="B888" s="78" t="s">
        <v>3310</v>
      </c>
      <c r="C888" s="82" t="s">
        <v>94</v>
      </c>
      <c r="D888" s="85" t="s">
        <v>3349</v>
      </c>
      <c r="E888" s="79" t="s">
        <v>3350</v>
      </c>
      <c r="F888" s="86" t="s">
        <v>1264</v>
      </c>
      <c r="G888" s="82">
        <v>2.0</v>
      </c>
      <c r="H888" s="82">
        <v>1.0</v>
      </c>
      <c r="I888" s="82">
        <v>6.0</v>
      </c>
      <c r="J888" s="152">
        <v>50.0</v>
      </c>
      <c r="K888" s="82">
        <v>25.0</v>
      </c>
      <c r="L888" s="82" t="s">
        <v>907</v>
      </c>
    </row>
    <row r="889" ht="15.0" customHeight="1">
      <c r="A889" s="82" t="s">
        <v>3309</v>
      </c>
      <c r="B889" s="78" t="s">
        <v>3310</v>
      </c>
      <c r="C889" s="82" t="s">
        <v>94</v>
      </c>
      <c r="D889" s="85" t="s">
        <v>3351</v>
      </c>
      <c r="E889" s="79" t="s">
        <v>3352</v>
      </c>
      <c r="F889" s="86" t="s">
        <v>1264</v>
      </c>
      <c r="G889" s="82">
        <v>2.0</v>
      </c>
      <c r="H889" s="82">
        <v>1.0</v>
      </c>
      <c r="I889" s="82">
        <v>6.0</v>
      </c>
      <c r="J889" s="152">
        <v>50.0</v>
      </c>
      <c r="K889" s="82">
        <v>25.0</v>
      </c>
      <c r="L889" s="82" t="s">
        <v>907</v>
      </c>
    </row>
    <row r="890" ht="15.0" customHeight="1">
      <c r="A890" s="82" t="s">
        <v>3309</v>
      </c>
      <c r="B890" s="78" t="s">
        <v>3310</v>
      </c>
      <c r="C890" s="82" t="s">
        <v>94</v>
      </c>
      <c r="D890" s="82" t="s">
        <v>3353</v>
      </c>
      <c r="E890" s="79" t="s">
        <v>3354</v>
      </c>
      <c r="F890" s="86" t="s">
        <v>1264</v>
      </c>
      <c r="G890" s="82">
        <v>2.0</v>
      </c>
      <c r="H890" s="82">
        <v>1.0</v>
      </c>
      <c r="I890" s="82">
        <v>6.0</v>
      </c>
      <c r="J890" s="152">
        <v>50.0</v>
      </c>
      <c r="K890" s="82">
        <v>25.0</v>
      </c>
      <c r="L890" s="82" t="s">
        <v>907</v>
      </c>
    </row>
    <row r="891" ht="15.0" customHeight="1">
      <c r="A891" s="82" t="s">
        <v>3309</v>
      </c>
      <c r="B891" s="78" t="s">
        <v>3310</v>
      </c>
      <c r="C891" s="82" t="s">
        <v>3355</v>
      </c>
      <c r="D891" s="82" t="s">
        <v>3356</v>
      </c>
      <c r="E891" s="79" t="s">
        <v>3357</v>
      </c>
      <c r="F891" s="86" t="s">
        <v>1264</v>
      </c>
      <c r="G891" s="82">
        <v>2.0</v>
      </c>
      <c r="H891" s="82">
        <v>1.0</v>
      </c>
      <c r="I891" s="82">
        <v>6.0</v>
      </c>
      <c r="J891" s="152">
        <v>50.0</v>
      </c>
      <c r="K891" s="82">
        <v>25.0</v>
      </c>
      <c r="L891" s="82" t="s">
        <v>907</v>
      </c>
    </row>
    <row r="892" ht="15.0" customHeight="1">
      <c r="A892" s="82" t="s">
        <v>3309</v>
      </c>
      <c r="B892" s="78" t="s">
        <v>3310</v>
      </c>
      <c r="C892" s="82" t="s">
        <v>94</v>
      </c>
      <c r="D892" s="82" t="s">
        <v>3358</v>
      </c>
      <c r="E892" s="79" t="s">
        <v>3359</v>
      </c>
      <c r="F892" s="86" t="s">
        <v>259</v>
      </c>
      <c r="G892" s="82">
        <v>2.0</v>
      </c>
      <c r="H892" s="82">
        <v>1.0</v>
      </c>
      <c r="I892" s="82">
        <v>6.0</v>
      </c>
      <c r="J892" s="152">
        <v>50.0</v>
      </c>
      <c r="K892" s="82">
        <v>25.0</v>
      </c>
      <c r="L892" s="82" t="s">
        <v>907</v>
      </c>
    </row>
    <row r="893" ht="15.0" customHeight="1">
      <c r="A893" s="82" t="s">
        <v>3309</v>
      </c>
      <c r="B893" s="78" t="s">
        <v>3310</v>
      </c>
      <c r="C893" s="82" t="s">
        <v>94</v>
      </c>
      <c r="D893" s="82" t="s">
        <v>3360</v>
      </c>
      <c r="E893" s="79" t="s">
        <v>3361</v>
      </c>
      <c r="F893" s="86" t="s">
        <v>259</v>
      </c>
      <c r="G893" s="82">
        <v>2.0</v>
      </c>
      <c r="H893" s="82">
        <v>1.0</v>
      </c>
      <c r="I893" s="82">
        <v>6.0</v>
      </c>
      <c r="J893" s="152">
        <v>50.0</v>
      </c>
      <c r="K893" s="82">
        <v>25.0</v>
      </c>
      <c r="L893" s="82" t="s">
        <v>907</v>
      </c>
    </row>
    <row r="894" ht="15.0" customHeight="1">
      <c r="A894" s="82" t="s">
        <v>3309</v>
      </c>
      <c r="B894" s="78" t="s">
        <v>3310</v>
      </c>
      <c r="C894" s="82" t="s">
        <v>94</v>
      </c>
      <c r="D894" s="82" t="s">
        <v>3362</v>
      </c>
      <c r="E894" s="79" t="s">
        <v>3363</v>
      </c>
      <c r="F894" s="86" t="s">
        <v>259</v>
      </c>
      <c r="G894" s="82">
        <v>2.0</v>
      </c>
      <c r="H894" s="82">
        <v>1.0</v>
      </c>
      <c r="I894" s="82">
        <v>6.0</v>
      </c>
      <c r="J894" s="152">
        <v>50.0</v>
      </c>
      <c r="K894" s="82">
        <v>25.0</v>
      </c>
      <c r="L894" s="82" t="s">
        <v>907</v>
      </c>
    </row>
    <row r="895" ht="15.0" customHeight="1">
      <c r="A895" s="82" t="s">
        <v>3309</v>
      </c>
      <c r="B895" s="82" t="s">
        <v>3364</v>
      </c>
      <c r="C895" s="82" t="s">
        <v>94</v>
      </c>
      <c r="D895" s="82" t="s">
        <v>3365</v>
      </c>
      <c r="E895" s="79" t="s">
        <v>3366</v>
      </c>
      <c r="F895" s="86" t="s">
        <v>1264</v>
      </c>
      <c r="G895" s="82">
        <v>2.0</v>
      </c>
      <c r="H895" s="82">
        <v>1.0</v>
      </c>
      <c r="I895" s="82">
        <v>6.0</v>
      </c>
      <c r="J895" s="152">
        <v>50.0</v>
      </c>
      <c r="K895" s="82">
        <v>12.5</v>
      </c>
      <c r="L895" s="82" t="s">
        <v>907</v>
      </c>
    </row>
    <row r="896" ht="15.0" customHeight="1">
      <c r="A896" s="82" t="s">
        <v>3309</v>
      </c>
      <c r="B896" s="82" t="s">
        <v>3364</v>
      </c>
      <c r="C896" s="82" t="s">
        <v>94</v>
      </c>
      <c r="D896" s="82" t="s">
        <v>3367</v>
      </c>
      <c r="E896" s="79" t="s">
        <v>3368</v>
      </c>
      <c r="F896" s="86" t="s">
        <v>1264</v>
      </c>
      <c r="G896" s="82">
        <v>2.0</v>
      </c>
      <c r="H896" s="82">
        <v>1.0</v>
      </c>
      <c r="I896" s="82">
        <v>6.0</v>
      </c>
      <c r="J896" s="152">
        <v>50.0</v>
      </c>
      <c r="K896" s="82">
        <v>12.5</v>
      </c>
      <c r="L896" s="82" t="s">
        <v>907</v>
      </c>
    </row>
    <row r="897" ht="15.0" customHeight="1">
      <c r="A897" s="82" t="s">
        <v>3309</v>
      </c>
      <c r="B897" s="82" t="s">
        <v>3364</v>
      </c>
      <c r="C897" s="82" t="s">
        <v>94</v>
      </c>
      <c r="D897" s="82" t="s">
        <v>3369</v>
      </c>
      <c r="E897" s="79" t="s">
        <v>3370</v>
      </c>
      <c r="F897" s="86" t="s">
        <v>1264</v>
      </c>
      <c r="G897" s="82">
        <v>2.0</v>
      </c>
      <c r="H897" s="82">
        <v>1.0</v>
      </c>
      <c r="I897" s="82">
        <v>6.0</v>
      </c>
      <c r="J897" s="152">
        <v>50.0</v>
      </c>
      <c r="K897" s="82">
        <v>12.5</v>
      </c>
      <c r="L897" s="82" t="s">
        <v>907</v>
      </c>
    </row>
    <row r="898" ht="15.0" customHeight="1">
      <c r="A898" s="82" t="s">
        <v>3309</v>
      </c>
      <c r="B898" s="82" t="s">
        <v>3364</v>
      </c>
      <c r="C898" s="82" t="s">
        <v>94</v>
      </c>
      <c r="D898" s="85" t="s">
        <v>3371</v>
      </c>
      <c r="E898" s="79" t="s">
        <v>3372</v>
      </c>
      <c r="F898" s="86" t="s">
        <v>1264</v>
      </c>
      <c r="G898" s="82">
        <v>2.0</v>
      </c>
      <c r="H898" s="82">
        <v>1.0</v>
      </c>
      <c r="I898" s="82">
        <v>6.0</v>
      </c>
      <c r="J898" s="152">
        <v>50.0</v>
      </c>
      <c r="K898" s="82">
        <v>12.5</v>
      </c>
      <c r="L898" s="82" t="s">
        <v>907</v>
      </c>
    </row>
    <row r="899" ht="15.0" customHeight="1">
      <c r="A899" s="82" t="s">
        <v>3309</v>
      </c>
      <c r="B899" s="82" t="s">
        <v>3364</v>
      </c>
      <c r="C899" s="82" t="s">
        <v>94</v>
      </c>
      <c r="D899" s="85" t="s">
        <v>3373</v>
      </c>
      <c r="E899" s="79" t="s">
        <v>3374</v>
      </c>
      <c r="F899" s="86" t="s">
        <v>1264</v>
      </c>
      <c r="G899" s="82">
        <v>2.0</v>
      </c>
      <c r="H899" s="82">
        <v>1.0</v>
      </c>
      <c r="I899" s="82">
        <v>6.0</v>
      </c>
      <c r="J899" s="152">
        <v>50.0</v>
      </c>
      <c r="K899" s="82">
        <v>12.5</v>
      </c>
      <c r="L899" s="82" t="s">
        <v>907</v>
      </c>
    </row>
    <row r="900" ht="15.0" customHeight="1">
      <c r="A900" s="82" t="s">
        <v>3309</v>
      </c>
      <c r="B900" s="82" t="s">
        <v>3364</v>
      </c>
      <c r="C900" s="82" t="s">
        <v>94</v>
      </c>
      <c r="D900" s="85" t="s">
        <v>3375</v>
      </c>
      <c r="E900" s="79" t="s">
        <v>3376</v>
      </c>
      <c r="F900" s="86" t="s">
        <v>1264</v>
      </c>
      <c r="G900" s="82">
        <v>2.0</v>
      </c>
      <c r="H900" s="82">
        <v>1.0</v>
      </c>
      <c r="I900" s="82">
        <v>6.0</v>
      </c>
      <c r="J900" s="152">
        <v>50.0</v>
      </c>
      <c r="K900" s="82">
        <v>12.5</v>
      </c>
      <c r="L900" s="82" t="s">
        <v>907</v>
      </c>
    </row>
    <row r="901" ht="15.0" customHeight="1">
      <c r="A901" s="82" t="s">
        <v>3309</v>
      </c>
      <c r="B901" s="82" t="s">
        <v>3364</v>
      </c>
      <c r="C901" s="82" t="s">
        <v>94</v>
      </c>
      <c r="D901" s="85" t="s">
        <v>3377</v>
      </c>
      <c r="E901" s="79" t="s">
        <v>3378</v>
      </c>
      <c r="F901" s="86" t="s">
        <v>1264</v>
      </c>
      <c r="G901" s="82">
        <v>2.0</v>
      </c>
      <c r="H901" s="82">
        <v>1.0</v>
      </c>
      <c r="I901" s="82">
        <v>6.0</v>
      </c>
      <c r="J901" s="152">
        <v>50.0</v>
      </c>
      <c r="K901" s="82">
        <v>12.5</v>
      </c>
      <c r="L901" s="82" t="s">
        <v>907</v>
      </c>
    </row>
    <row r="902" ht="15.0" customHeight="1">
      <c r="A902" s="82" t="s">
        <v>3309</v>
      </c>
      <c r="B902" s="82" t="s">
        <v>3364</v>
      </c>
      <c r="C902" s="82" t="s">
        <v>94</v>
      </c>
      <c r="D902" s="85" t="s">
        <v>3379</v>
      </c>
      <c r="E902" s="79" t="s">
        <v>3380</v>
      </c>
      <c r="F902" s="86" t="s">
        <v>1264</v>
      </c>
      <c r="G902" s="82">
        <v>2.0</v>
      </c>
      <c r="H902" s="82">
        <v>1.0</v>
      </c>
      <c r="I902" s="82">
        <v>6.0</v>
      </c>
      <c r="J902" s="152">
        <v>50.0</v>
      </c>
      <c r="K902" s="82">
        <v>12.5</v>
      </c>
      <c r="L902" s="82" t="s">
        <v>907</v>
      </c>
    </row>
    <row r="903" ht="15.0" customHeight="1">
      <c r="A903" s="82" t="s">
        <v>3309</v>
      </c>
      <c r="B903" s="82" t="s">
        <v>3364</v>
      </c>
      <c r="C903" s="82" t="s">
        <v>94</v>
      </c>
      <c r="D903" s="85" t="s">
        <v>3381</v>
      </c>
      <c r="E903" s="79" t="s">
        <v>3382</v>
      </c>
      <c r="F903" s="86" t="s">
        <v>1264</v>
      </c>
      <c r="G903" s="82">
        <v>2.0</v>
      </c>
      <c r="H903" s="82">
        <v>1.0</v>
      </c>
      <c r="I903" s="82">
        <v>6.0</v>
      </c>
      <c r="J903" s="152">
        <v>50.0</v>
      </c>
      <c r="K903" s="82">
        <v>12.5</v>
      </c>
      <c r="L903" s="82" t="s">
        <v>907</v>
      </c>
    </row>
    <row r="904" ht="15.0" customHeight="1">
      <c r="A904" s="82" t="s">
        <v>3309</v>
      </c>
      <c r="B904" s="82" t="s">
        <v>3364</v>
      </c>
      <c r="C904" s="82" t="s">
        <v>94</v>
      </c>
      <c r="D904" s="85" t="s">
        <v>3383</v>
      </c>
      <c r="E904" s="79" t="s">
        <v>3384</v>
      </c>
      <c r="F904" s="86" t="s">
        <v>1264</v>
      </c>
      <c r="G904" s="82">
        <v>2.0</v>
      </c>
      <c r="H904" s="82">
        <v>1.0</v>
      </c>
      <c r="I904" s="82">
        <v>6.0</v>
      </c>
      <c r="J904" s="152">
        <v>50.0</v>
      </c>
      <c r="K904" s="82">
        <v>12.5</v>
      </c>
      <c r="L904" s="82" t="s">
        <v>907</v>
      </c>
    </row>
    <row r="905" ht="15.0" customHeight="1">
      <c r="A905" s="82" t="s">
        <v>3309</v>
      </c>
      <c r="B905" s="82" t="s">
        <v>3364</v>
      </c>
      <c r="C905" s="82" t="s">
        <v>94</v>
      </c>
      <c r="D905" s="85" t="s">
        <v>3385</v>
      </c>
      <c r="E905" s="79" t="s">
        <v>3386</v>
      </c>
      <c r="F905" s="86" t="s">
        <v>1264</v>
      </c>
      <c r="G905" s="82">
        <v>2.0</v>
      </c>
      <c r="H905" s="82">
        <v>1.0</v>
      </c>
      <c r="I905" s="82">
        <v>6.0</v>
      </c>
      <c r="J905" s="152">
        <v>50.0</v>
      </c>
      <c r="K905" s="82">
        <v>12.5</v>
      </c>
      <c r="L905" s="82" t="s">
        <v>907</v>
      </c>
    </row>
    <row r="906" ht="15.0" customHeight="1">
      <c r="A906" s="82" t="s">
        <v>3309</v>
      </c>
      <c r="B906" s="82" t="s">
        <v>3364</v>
      </c>
      <c r="C906" s="82" t="s">
        <v>94</v>
      </c>
      <c r="D906" s="85" t="s">
        <v>3387</v>
      </c>
      <c r="E906" s="79" t="s">
        <v>3388</v>
      </c>
      <c r="F906" s="86" t="s">
        <v>1264</v>
      </c>
      <c r="G906" s="82">
        <v>2.0</v>
      </c>
      <c r="H906" s="82">
        <v>1.0</v>
      </c>
      <c r="I906" s="82">
        <v>6.0</v>
      </c>
      <c r="J906" s="152">
        <v>50.0</v>
      </c>
      <c r="K906" s="82">
        <v>12.5</v>
      </c>
      <c r="L906" s="82" t="s">
        <v>907</v>
      </c>
    </row>
    <row r="907" ht="15.0" customHeight="1">
      <c r="A907" s="82" t="s">
        <v>3309</v>
      </c>
      <c r="B907" s="82" t="s">
        <v>3364</v>
      </c>
      <c r="C907" s="82" t="s">
        <v>94</v>
      </c>
      <c r="D907" s="85" t="s">
        <v>3389</v>
      </c>
      <c r="E907" s="79" t="s">
        <v>3390</v>
      </c>
      <c r="F907" s="86" t="s">
        <v>1264</v>
      </c>
      <c r="G907" s="82">
        <v>2.0</v>
      </c>
      <c r="H907" s="82">
        <v>1.0</v>
      </c>
      <c r="I907" s="82">
        <v>6.0</v>
      </c>
      <c r="J907" s="152">
        <v>50.0</v>
      </c>
      <c r="K907" s="82">
        <v>12.5</v>
      </c>
      <c r="L907" s="82" t="s">
        <v>907</v>
      </c>
    </row>
    <row r="908" ht="15.0" customHeight="1">
      <c r="A908" s="82" t="s">
        <v>3309</v>
      </c>
      <c r="B908" s="82" t="s">
        <v>3364</v>
      </c>
      <c r="C908" s="82" t="s">
        <v>94</v>
      </c>
      <c r="D908" s="85" t="s">
        <v>3391</v>
      </c>
      <c r="E908" s="79" t="s">
        <v>3392</v>
      </c>
      <c r="F908" s="86" t="s">
        <v>1264</v>
      </c>
      <c r="G908" s="82">
        <v>2.0</v>
      </c>
      <c r="H908" s="82">
        <v>1.0</v>
      </c>
      <c r="I908" s="82">
        <v>6.0</v>
      </c>
      <c r="J908" s="152">
        <v>50.0</v>
      </c>
      <c r="K908" s="82">
        <v>12.5</v>
      </c>
      <c r="L908" s="82" t="s">
        <v>907</v>
      </c>
    </row>
    <row r="909" ht="15.0" customHeight="1">
      <c r="A909" s="82" t="s">
        <v>3309</v>
      </c>
      <c r="B909" s="82" t="s">
        <v>3364</v>
      </c>
      <c r="C909" s="82" t="s">
        <v>94</v>
      </c>
      <c r="D909" s="85" t="s">
        <v>3393</v>
      </c>
      <c r="E909" s="79" t="s">
        <v>3394</v>
      </c>
      <c r="F909" s="86" t="s">
        <v>1264</v>
      </c>
      <c r="G909" s="82">
        <v>2.0</v>
      </c>
      <c r="H909" s="82">
        <v>1.0</v>
      </c>
      <c r="I909" s="82">
        <v>6.0</v>
      </c>
      <c r="J909" s="152">
        <v>50.0</v>
      </c>
      <c r="K909" s="82">
        <v>12.5</v>
      </c>
      <c r="L909" s="82" t="s">
        <v>907</v>
      </c>
    </row>
    <row r="910" ht="15.0" customHeight="1">
      <c r="A910" s="82" t="s">
        <v>3309</v>
      </c>
      <c r="B910" s="82" t="s">
        <v>3364</v>
      </c>
      <c r="C910" s="82" t="s">
        <v>94</v>
      </c>
      <c r="D910" s="85" t="s">
        <v>3395</v>
      </c>
      <c r="E910" s="79" t="s">
        <v>3396</v>
      </c>
      <c r="F910" s="86" t="s">
        <v>1264</v>
      </c>
      <c r="G910" s="82">
        <v>2.0</v>
      </c>
      <c r="H910" s="82">
        <v>1.0</v>
      </c>
      <c r="I910" s="82">
        <v>6.0</v>
      </c>
      <c r="J910" s="152">
        <v>50.0</v>
      </c>
      <c r="K910" s="82">
        <v>12.5</v>
      </c>
      <c r="L910" s="82" t="s">
        <v>907</v>
      </c>
    </row>
    <row r="911" ht="15.0" customHeight="1">
      <c r="A911" s="82" t="s">
        <v>3309</v>
      </c>
      <c r="B911" s="82" t="s">
        <v>3364</v>
      </c>
      <c r="C911" s="82" t="s">
        <v>94</v>
      </c>
      <c r="D911" s="85" t="s">
        <v>3397</v>
      </c>
      <c r="E911" s="79" t="s">
        <v>3398</v>
      </c>
      <c r="F911" s="86" t="s">
        <v>1264</v>
      </c>
      <c r="G911" s="82">
        <v>2.0</v>
      </c>
      <c r="H911" s="82">
        <v>1.0</v>
      </c>
      <c r="I911" s="82">
        <v>6.0</v>
      </c>
      <c r="J911" s="152">
        <v>50.0</v>
      </c>
      <c r="K911" s="82">
        <v>12.5</v>
      </c>
      <c r="L911" s="82" t="s">
        <v>907</v>
      </c>
    </row>
    <row r="912" ht="15.0" customHeight="1">
      <c r="A912" s="82" t="s">
        <v>3309</v>
      </c>
      <c r="B912" s="82" t="s">
        <v>3364</v>
      </c>
      <c r="C912" s="82" t="s">
        <v>94</v>
      </c>
      <c r="D912" s="85" t="s">
        <v>3399</v>
      </c>
      <c r="E912" s="79" t="s">
        <v>3400</v>
      </c>
      <c r="F912" s="86" t="s">
        <v>1264</v>
      </c>
      <c r="G912" s="82">
        <v>2.0</v>
      </c>
      <c r="H912" s="82">
        <v>1.0</v>
      </c>
      <c r="I912" s="82">
        <v>6.0</v>
      </c>
      <c r="J912" s="152">
        <v>50.0</v>
      </c>
      <c r="K912" s="82">
        <v>12.5</v>
      </c>
      <c r="L912" s="82" t="s">
        <v>907</v>
      </c>
    </row>
    <row r="913" ht="15.0" customHeight="1">
      <c r="A913" s="82" t="s">
        <v>3309</v>
      </c>
      <c r="B913" s="82" t="s">
        <v>3364</v>
      </c>
      <c r="C913" s="82" t="s">
        <v>94</v>
      </c>
      <c r="D913" s="85" t="s">
        <v>3401</v>
      </c>
      <c r="E913" s="79" t="s">
        <v>3402</v>
      </c>
      <c r="F913" s="86" t="s">
        <v>1264</v>
      </c>
      <c r="G913" s="82">
        <v>2.0</v>
      </c>
      <c r="H913" s="82">
        <v>1.0</v>
      </c>
      <c r="I913" s="82">
        <v>6.0</v>
      </c>
      <c r="J913" s="152">
        <v>50.0</v>
      </c>
      <c r="K913" s="82">
        <v>12.5</v>
      </c>
      <c r="L913" s="82" t="s">
        <v>907</v>
      </c>
    </row>
    <row r="914" ht="15.0" customHeight="1">
      <c r="A914" s="82" t="s">
        <v>3309</v>
      </c>
      <c r="B914" s="82" t="s">
        <v>3364</v>
      </c>
      <c r="C914" s="82" t="s">
        <v>94</v>
      </c>
      <c r="D914" s="85" t="s">
        <v>3403</v>
      </c>
      <c r="E914" s="79" t="s">
        <v>3404</v>
      </c>
      <c r="F914" s="86" t="s">
        <v>1264</v>
      </c>
      <c r="G914" s="82">
        <v>2.0</v>
      </c>
      <c r="H914" s="82">
        <v>1.0</v>
      </c>
      <c r="I914" s="82">
        <v>6.0</v>
      </c>
      <c r="J914" s="152">
        <v>50.0</v>
      </c>
      <c r="K914" s="82">
        <v>12.5</v>
      </c>
      <c r="L914" s="82" t="s">
        <v>907</v>
      </c>
    </row>
    <row r="915" ht="15.0" customHeight="1">
      <c r="A915" s="82" t="s">
        <v>3309</v>
      </c>
      <c r="B915" s="82" t="s">
        <v>3364</v>
      </c>
      <c r="C915" s="82" t="s">
        <v>94</v>
      </c>
      <c r="D915" s="85" t="s">
        <v>3405</v>
      </c>
      <c r="E915" s="79" t="s">
        <v>3406</v>
      </c>
      <c r="F915" s="86" t="s">
        <v>1264</v>
      </c>
      <c r="G915" s="82">
        <v>2.0</v>
      </c>
      <c r="H915" s="82">
        <v>1.0</v>
      </c>
      <c r="I915" s="82">
        <v>6.0</v>
      </c>
      <c r="J915" s="152">
        <v>50.0</v>
      </c>
      <c r="K915" s="82">
        <v>12.5</v>
      </c>
      <c r="L915" s="82" t="s">
        <v>907</v>
      </c>
    </row>
    <row r="916" ht="15.0" customHeight="1">
      <c r="A916" s="82" t="s">
        <v>3309</v>
      </c>
      <c r="B916" s="82" t="s">
        <v>3364</v>
      </c>
      <c r="C916" s="82" t="s">
        <v>94</v>
      </c>
      <c r="D916" s="85" t="s">
        <v>3407</v>
      </c>
      <c r="E916" s="79" t="s">
        <v>3408</v>
      </c>
      <c r="F916" s="86" t="s">
        <v>1264</v>
      </c>
      <c r="G916" s="82">
        <v>2.0</v>
      </c>
      <c r="H916" s="82">
        <v>1.0</v>
      </c>
      <c r="I916" s="82">
        <v>6.0</v>
      </c>
      <c r="J916" s="152">
        <v>50.0</v>
      </c>
      <c r="K916" s="82">
        <v>12.5</v>
      </c>
      <c r="L916" s="82" t="s">
        <v>907</v>
      </c>
    </row>
    <row r="917" ht="15.0" customHeight="1">
      <c r="A917" s="82" t="s">
        <v>3309</v>
      </c>
      <c r="B917" s="82" t="s">
        <v>3364</v>
      </c>
      <c r="C917" s="82" t="s">
        <v>94</v>
      </c>
      <c r="D917" s="85" t="s">
        <v>3409</v>
      </c>
      <c r="E917" s="79" t="s">
        <v>3410</v>
      </c>
      <c r="F917" s="86" t="s">
        <v>1264</v>
      </c>
      <c r="G917" s="82">
        <v>2.0</v>
      </c>
      <c r="H917" s="82">
        <v>1.0</v>
      </c>
      <c r="I917" s="82">
        <v>6.0</v>
      </c>
      <c r="J917" s="152">
        <v>50.0</v>
      </c>
      <c r="K917" s="82">
        <v>12.5</v>
      </c>
      <c r="L917" s="82" t="s">
        <v>907</v>
      </c>
    </row>
    <row r="918" ht="15.0" customHeight="1">
      <c r="A918" s="82" t="s">
        <v>3309</v>
      </c>
      <c r="B918" s="82" t="s">
        <v>3364</v>
      </c>
      <c r="C918" s="82" t="s">
        <v>94</v>
      </c>
      <c r="D918" s="85" t="s">
        <v>3411</v>
      </c>
      <c r="E918" s="79" t="s">
        <v>3412</v>
      </c>
      <c r="F918" s="86" t="s">
        <v>1264</v>
      </c>
      <c r="G918" s="82">
        <v>2.0</v>
      </c>
      <c r="H918" s="82">
        <v>1.0</v>
      </c>
      <c r="I918" s="82">
        <v>6.0</v>
      </c>
      <c r="J918" s="152">
        <v>50.0</v>
      </c>
      <c r="K918" s="82">
        <v>12.5</v>
      </c>
      <c r="L918" s="82" t="s">
        <v>907</v>
      </c>
    </row>
    <row r="919" ht="15.0" customHeight="1">
      <c r="A919" s="82" t="s">
        <v>3309</v>
      </c>
      <c r="B919" s="82" t="s">
        <v>3364</v>
      </c>
      <c r="C919" s="82" t="s">
        <v>94</v>
      </c>
      <c r="D919" s="85" t="s">
        <v>3413</v>
      </c>
      <c r="E919" s="79" t="s">
        <v>3414</v>
      </c>
      <c r="F919" s="86" t="s">
        <v>1264</v>
      </c>
      <c r="G919" s="82">
        <v>2.0</v>
      </c>
      <c r="H919" s="82">
        <v>1.0</v>
      </c>
      <c r="I919" s="82">
        <v>6.0</v>
      </c>
      <c r="J919" s="152">
        <v>50.0</v>
      </c>
      <c r="K919" s="82">
        <v>12.5</v>
      </c>
      <c r="L919" s="82" t="s">
        <v>907</v>
      </c>
    </row>
    <row r="920" ht="15.0" customHeight="1">
      <c r="A920" s="82" t="s">
        <v>3309</v>
      </c>
      <c r="B920" s="82" t="s">
        <v>3364</v>
      </c>
      <c r="C920" s="82" t="s">
        <v>94</v>
      </c>
      <c r="D920" s="85" t="s">
        <v>3415</v>
      </c>
      <c r="E920" s="79" t="s">
        <v>3416</v>
      </c>
      <c r="F920" s="86" t="s">
        <v>1264</v>
      </c>
      <c r="G920" s="82">
        <v>2.0</v>
      </c>
      <c r="H920" s="82">
        <v>1.0</v>
      </c>
      <c r="I920" s="82">
        <v>6.0</v>
      </c>
      <c r="J920" s="152">
        <v>50.0</v>
      </c>
      <c r="K920" s="82">
        <v>12.5</v>
      </c>
      <c r="L920" s="82" t="s">
        <v>907</v>
      </c>
    </row>
    <row r="921" ht="15.0" customHeight="1">
      <c r="A921" s="82" t="s">
        <v>3309</v>
      </c>
      <c r="B921" s="82" t="s">
        <v>3364</v>
      </c>
      <c r="C921" s="82" t="s">
        <v>94</v>
      </c>
      <c r="D921" s="85" t="s">
        <v>3417</v>
      </c>
      <c r="E921" s="79" t="s">
        <v>3418</v>
      </c>
      <c r="F921" s="86" t="s">
        <v>1264</v>
      </c>
      <c r="G921" s="82">
        <v>2.0</v>
      </c>
      <c r="H921" s="82">
        <v>1.0</v>
      </c>
      <c r="I921" s="82">
        <v>6.0</v>
      </c>
      <c r="J921" s="152">
        <v>50.0</v>
      </c>
      <c r="K921" s="82">
        <v>12.5</v>
      </c>
      <c r="L921" s="82" t="s">
        <v>907</v>
      </c>
    </row>
    <row r="922" ht="15.0" customHeight="1">
      <c r="A922" s="82" t="s">
        <v>3309</v>
      </c>
      <c r="B922" s="82" t="s">
        <v>3364</v>
      </c>
      <c r="C922" s="82" t="s">
        <v>94</v>
      </c>
      <c r="D922" s="85" t="s">
        <v>3419</v>
      </c>
      <c r="E922" s="79" t="s">
        <v>3420</v>
      </c>
      <c r="F922" s="86" t="s">
        <v>1264</v>
      </c>
      <c r="G922" s="82">
        <v>2.0</v>
      </c>
      <c r="H922" s="82">
        <v>1.0</v>
      </c>
      <c r="I922" s="82">
        <v>6.0</v>
      </c>
      <c r="J922" s="152">
        <v>50.0</v>
      </c>
      <c r="K922" s="82">
        <v>12.5</v>
      </c>
      <c r="L922" s="82" t="s">
        <v>907</v>
      </c>
    </row>
    <row r="923" ht="15.0" customHeight="1">
      <c r="A923" s="82" t="s">
        <v>3309</v>
      </c>
      <c r="B923" s="82" t="s">
        <v>3364</v>
      </c>
      <c r="C923" s="82" t="s">
        <v>94</v>
      </c>
      <c r="D923" s="85" t="s">
        <v>3421</v>
      </c>
      <c r="E923" s="79" t="s">
        <v>3422</v>
      </c>
      <c r="F923" s="86" t="s">
        <v>1264</v>
      </c>
      <c r="G923" s="82">
        <v>2.0</v>
      </c>
      <c r="H923" s="82">
        <v>1.0</v>
      </c>
      <c r="I923" s="82">
        <v>6.0</v>
      </c>
      <c r="J923" s="152">
        <v>50.0</v>
      </c>
      <c r="K923" s="82">
        <v>12.5</v>
      </c>
      <c r="L923" s="82" t="s">
        <v>907</v>
      </c>
    </row>
    <row r="924" ht="15.0" customHeight="1">
      <c r="A924" s="82" t="s">
        <v>3309</v>
      </c>
      <c r="B924" s="82" t="s">
        <v>3364</v>
      </c>
      <c r="C924" s="82" t="s">
        <v>94</v>
      </c>
      <c r="D924" s="85" t="s">
        <v>3423</v>
      </c>
      <c r="E924" s="79" t="s">
        <v>3424</v>
      </c>
      <c r="F924" s="86" t="s">
        <v>1264</v>
      </c>
      <c r="G924" s="82">
        <v>2.0</v>
      </c>
      <c r="H924" s="82">
        <v>1.0</v>
      </c>
      <c r="I924" s="82">
        <v>6.0</v>
      </c>
      <c r="J924" s="152">
        <v>50.0</v>
      </c>
      <c r="K924" s="82">
        <v>12.5</v>
      </c>
      <c r="L924" s="82" t="s">
        <v>907</v>
      </c>
    </row>
    <row r="925" ht="15.0" customHeight="1">
      <c r="A925" s="82" t="s">
        <v>3309</v>
      </c>
      <c r="B925" s="82" t="s">
        <v>3364</v>
      </c>
      <c r="C925" s="82" t="s">
        <v>94</v>
      </c>
      <c r="D925" s="85" t="s">
        <v>3425</v>
      </c>
      <c r="E925" s="79" t="s">
        <v>3426</v>
      </c>
      <c r="F925" s="86" t="s">
        <v>1264</v>
      </c>
      <c r="G925" s="82">
        <v>2.0</v>
      </c>
      <c r="H925" s="82">
        <v>1.0</v>
      </c>
      <c r="I925" s="82">
        <v>6.0</v>
      </c>
      <c r="J925" s="152">
        <v>50.0</v>
      </c>
      <c r="K925" s="82">
        <v>12.5</v>
      </c>
      <c r="L925" s="82" t="s">
        <v>907</v>
      </c>
    </row>
    <row r="926" ht="15.0" customHeight="1">
      <c r="A926" s="82" t="s">
        <v>3309</v>
      </c>
      <c r="B926" s="82" t="s">
        <v>3364</v>
      </c>
      <c r="C926" s="82" t="s">
        <v>94</v>
      </c>
      <c r="D926" s="85" t="s">
        <v>3427</v>
      </c>
      <c r="E926" s="79" t="s">
        <v>3428</v>
      </c>
      <c r="F926" s="86" t="s">
        <v>1264</v>
      </c>
      <c r="G926" s="82">
        <v>2.0</v>
      </c>
      <c r="H926" s="82">
        <v>1.0</v>
      </c>
      <c r="I926" s="82">
        <v>6.0</v>
      </c>
      <c r="J926" s="152">
        <v>50.0</v>
      </c>
      <c r="K926" s="82">
        <v>12.5</v>
      </c>
      <c r="L926" s="82" t="s">
        <v>907</v>
      </c>
    </row>
    <row r="927" ht="15.0" customHeight="1">
      <c r="A927" s="82" t="s">
        <v>3309</v>
      </c>
      <c r="B927" s="82" t="s">
        <v>3364</v>
      </c>
      <c r="C927" s="82" t="s">
        <v>94</v>
      </c>
      <c r="D927" s="85" t="s">
        <v>3429</v>
      </c>
      <c r="E927" s="79" t="s">
        <v>3430</v>
      </c>
      <c r="F927" s="86" t="s">
        <v>1264</v>
      </c>
      <c r="G927" s="82">
        <v>2.0</v>
      </c>
      <c r="H927" s="82">
        <v>1.0</v>
      </c>
      <c r="I927" s="82">
        <v>6.0</v>
      </c>
      <c r="J927" s="152">
        <v>50.0</v>
      </c>
      <c r="K927" s="82">
        <v>12.5</v>
      </c>
      <c r="L927" s="82" t="s">
        <v>907</v>
      </c>
    </row>
    <row r="928" ht="15.0" customHeight="1">
      <c r="A928" s="82" t="s">
        <v>3309</v>
      </c>
      <c r="B928" s="82" t="s">
        <v>3364</v>
      </c>
      <c r="C928" s="82" t="s">
        <v>94</v>
      </c>
      <c r="D928" s="85" t="s">
        <v>3431</v>
      </c>
      <c r="E928" s="79" t="s">
        <v>3432</v>
      </c>
      <c r="F928" s="86" t="s">
        <v>1264</v>
      </c>
      <c r="G928" s="82">
        <v>2.0</v>
      </c>
      <c r="H928" s="82">
        <v>1.0</v>
      </c>
      <c r="I928" s="82">
        <v>6.0</v>
      </c>
      <c r="J928" s="152">
        <v>50.0</v>
      </c>
      <c r="K928" s="82">
        <v>12.5</v>
      </c>
      <c r="L928" s="82" t="s">
        <v>907</v>
      </c>
    </row>
    <row r="929" ht="15.0" customHeight="1">
      <c r="A929" s="82" t="s">
        <v>3309</v>
      </c>
      <c r="B929" s="82" t="s">
        <v>3364</v>
      </c>
      <c r="C929" s="82" t="s">
        <v>94</v>
      </c>
      <c r="D929" s="85" t="s">
        <v>3433</v>
      </c>
      <c r="E929" s="79" t="s">
        <v>3434</v>
      </c>
      <c r="F929" s="86" t="s">
        <v>1264</v>
      </c>
      <c r="G929" s="82">
        <v>2.0</v>
      </c>
      <c r="H929" s="82">
        <v>1.0</v>
      </c>
      <c r="I929" s="82">
        <v>6.0</v>
      </c>
      <c r="J929" s="152">
        <v>50.0</v>
      </c>
      <c r="K929" s="82">
        <v>12.5</v>
      </c>
      <c r="L929" s="82" t="s">
        <v>907</v>
      </c>
    </row>
    <row r="930" ht="15.0" customHeight="1">
      <c r="A930" s="82" t="s">
        <v>3309</v>
      </c>
      <c r="B930" s="82" t="s">
        <v>3364</v>
      </c>
      <c r="C930" s="82" t="s">
        <v>94</v>
      </c>
      <c r="D930" s="85" t="s">
        <v>3435</v>
      </c>
      <c r="E930" s="79" t="s">
        <v>3436</v>
      </c>
      <c r="F930" s="86" t="s">
        <v>1264</v>
      </c>
      <c r="G930" s="82">
        <v>2.0</v>
      </c>
      <c r="H930" s="82">
        <v>1.0</v>
      </c>
      <c r="I930" s="82">
        <v>6.0</v>
      </c>
      <c r="J930" s="152">
        <v>50.0</v>
      </c>
      <c r="K930" s="82">
        <v>12.5</v>
      </c>
      <c r="L930" s="82" t="s">
        <v>907</v>
      </c>
    </row>
    <row r="931" ht="15.0" customHeight="1">
      <c r="A931" s="82" t="s">
        <v>3309</v>
      </c>
      <c r="B931" s="82" t="s">
        <v>3364</v>
      </c>
      <c r="C931" s="82" t="s">
        <v>94</v>
      </c>
      <c r="D931" s="85" t="s">
        <v>3437</v>
      </c>
      <c r="E931" s="79" t="s">
        <v>3438</v>
      </c>
      <c r="F931" s="86" t="s">
        <v>1264</v>
      </c>
      <c r="G931" s="82">
        <v>2.0</v>
      </c>
      <c r="H931" s="82">
        <v>1.0</v>
      </c>
      <c r="I931" s="82">
        <v>6.0</v>
      </c>
      <c r="J931" s="152">
        <v>50.0</v>
      </c>
      <c r="K931" s="82">
        <v>12.5</v>
      </c>
      <c r="L931" s="82" t="s">
        <v>907</v>
      </c>
    </row>
    <row r="932" ht="15.0" customHeight="1">
      <c r="A932" s="82" t="s">
        <v>3309</v>
      </c>
      <c r="B932" s="82" t="s">
        <v>3364</v>
      </c>
      <c r="C932" s="82" t="s">
        <v>94</v>
      </c>
      <c r="D932" s="85" t="s">
        <v>3439</v>
      </c>
      <c r="E932" s="79" t="s">
        <v>3440</v>
      </c>
      <c r="F932" s="86" t="s">
        <v>1264</v>
      </c>
      <c r="G932" s="82">
        <v>2.0</v>
      </c>
      <c r="H932" s="82">
        <v>1.0</v>
      </c>
      <c r="I932" s="82">
        <v>6.0</v>
      </c>
      <c r="J932" s="152">
        <v>50.0</v>
      </c>
      <c r="K932" s="82">
        <v>12.5</v>
      </c>
      <c r="L932" s="82" t="s">
        <v>907</v>
      </c>
    </row>
    <row r="933" ht="15.0" customHeight="1">
      <c r="A933" s="82" t="s">
        <v>3309</v>
      </c>
      <c r="B933" s="82" t="s">
        <v>3364</v>
      </c>
      <c r="C933" s="82" t="s">
        <v>94</v>
      </c>
      <c r="D933" s="85" t="s">
        <v>3441</v>
      </c>
      <c r="E933" s="79" t="s">
        <v>3442</v>
      </c>
      <c r="F933" s="86" t="s">
        <v>1264</v>
      </c>
      <c r="G933" s="82">
        <v>2.0</v>
      </c>
      <c r="H933" s="82">
        <v>1.0</v>
      </c>
      <c r="I933" s="82">
        <v>6.0</v>
      </c>
      <c r="J933" s="152">
        <v>50.0</v>
      </c>
      <c r="K933" s="82">
        <v>12.5</v>
      </c>
      <c r="L933" s="82" t="s">
        <v>907</v>
      </c>
    </row>
    <row r="934" ht="15.0" customHeight="1">
      <c r="A934" s="82" t="s">
        <v>3309</v>
      </c>
      <c r="B934" s="82" t="s">
        <v>3364</v>
      </c>
      <c r="C934" s="82" t="s">
        <v>94</v>
      </c>
      <c r="D934" s="85" t="s">
        <v>3443</v>
      </c>
      <c r="E934" s="79" t="s">
        <v>3444</v>
      </c>
      <c r="F934" s="86" t="s">
        <v>1264</v>
      </c>
      <c r="G934" s="82">
        <v>2.0</v>
      </c>
      <c r="H934" s="82">
        <v>1.0</v>
      </c>
      <c r="I934" s="82">
        <v>6.0</v>
      </c>
      <c r="J934" s="152">
        <v>50.0</v>
      </c>
      <c r="K934" s="82">
        <v>12.5</v>
      </c>
      <c r="L934" s="82" t="s">
        <v>907</v>
      </c>
    </row>
    <row r="935" ht="15.0" customHeight="1">
      <c r="A935" s="82" t="s">
        <v>3445</v>
      </c>
      <c r="B935" s="82" t="s">
        <v>3446</v>
      </c>
      <c r="C935" s="82" t="s">
        <v>94</v>
      </c>
      <c r="D935" s="85" t="s">
        <v>3447</v>
      </c>
      <c r="E935" s="79" t="s">
        <v>3448</v>
      </c>
      <c r="F935" s="86" t="s">
        <v>1264</v>
      </c>
      <c r="G935" s="82">
        <v>2.0</v>
      </c>
      <c r="H935" s="82">
        <v>1.0</v>
      </c>
      <c r="I935" s="82">
        <v>5.0</v>
      </c>
      <c r="J935" s="152">
        <v>50.0</v>
      </c>
      <c r="K935" s="82">
        <v>16.6</v>
      </c>
      <c r="L935" s="82" t="s">
        <v>907</v>
      </c>
    </row>
    <row r="936" ht="15.0" customHeight="1">
      <c r="A936" s="82" t="s">
        <v>3445</v>
      </c>
      <c r="B936" s="82" t="s">
        <v>3446</v>
      </c>
      <c r="C936" s="82" t="s">
        <v>94</v>
      </c>
      <c r="D936" s="85" t="s">
        <v>3449</v>
      </c>
      <c r="E936" s="79" t="s">
        <v>3450</v>
      </c>
      <c r="F936" s="86" t="s">
        <v>1264</v>
      </c>
      <c r="G936" s="82">
        <v>2.0</v>
      </c>
      <c r="H936" s="82">
        <v>1.0</v>
      </c>
      <c r="I936" s="82">
        <v>5.0</v>
      </c>
      <c r="J936" s="152">
        <v>50.0</v>
      </c>
      <c r="K936" s="82">
        <v>16.6</v>
      </c>
      <c r="L936" s="82" t="s">
        <v>907</v>
      </c>
    </row>
    <row r="937" ht="15.0" customHeight="1">
      <c r="A937" s="85" t="s">
        <v>3451</v>
      </c>
      <c r="B937" s="82" t="s">
        <v>3452</v>
      </c>
      <c r="C937" s="82" t="s">
        <v>94</v>
      </c>
      <c r="D937" s="84" t="s">
        <v>3453</v>
      </c>
      <c r="E937" s="79" t="s">
        <v>3454</v>
      </c>
      <c r="F937" s="86" t="s">
        <v>1264</v>
      </c>
      <c r="G937" s="82">
        <v>1.0</v>
      </c>
      <c r="H937" s="82">
        <v>1.0</v>
      </c>
      <c r="I937" s="82">
        <v>5.0</v>
      </c>
      <c r="J937" s="152">
        <v>50.0</v>
      </c>
      <c r="K937" s="152">
        <v>50.0</v>
      </c>
      <c r="L937" s="82" t="s">
        <v>907</v>
      </c>
    </row>
    <row r="938" ht="15.0" customHeight="1">
      <c r="A938" s="85" t="s">
        <v>3451</v>
      </c>
      <c r="B938" s="82" t="s">
        <v>3452</v>
      </c>
      <c r="C938" s="82" t="s">
        <v>94</v>
      </c>
      <c r="D938" s="85" t="s">
        <v>3455</v>
      </c>
      <c r="E938" s="79" t="s">
        <v>3456</v>
      </c>
      <c r="F938" s="86" t="s">
        <v>1264</v>
      </c>
      <c r="G938" s="82">
        <v>1.0</v>
      </c>
      <c r="H938" s="82">
        <v>1.0</v>
      </c>
      <c r="I938" s="82">
        <v>5.0</v>
      </c>
      <c r="J938" s="152">
        <v>50.0</v>
      </c>
      <c r="K938" s="152">
        <v>50.0</v>
      </c>
      <c r="L938" s="82" t="s">
        <v>907</v>
      </c>
    </row>
    <row r="939" ht="15.0" customHeight="1">
      <c r="A939" s="85" t="s">
        <v>3451</v>
      </c>
      <c r="B939" s="82" t="s">
        <v>3452</v>
      </c>
      <c r="C939" s="82" t="s">
        <v>94</v>
      </c>
      <c r="D939" s="85" t="s">
        <v>3457</v>
      </c>
      <c r="E939" s="79" t="s">
        <v>3458</v>
      </c>
      <c r="F939" s="86" t="s">
        <v>1264</v>
      </c>
      <c r="G939" s="82">
        <v>1.0</v>
      </c>
      <c r="H939" s="82">
        <v>1.0</v>
      </c>
      <c r="I939" s="82">
        <v>5.0</v>
      </c>
      <c r="J939" s="152">
        <v>50.0</v>
      </c>
      <c r="K939" s="152">
        <v>50.0</v>
      </c>
      <c r="L939" s="82" t="s">
        <v>907</v>
      </c>
    </row>
    <row r="940" ht="15.0" customHeight="1">
      <c r="A940" s="85" t="s">
        <v>3451</v>
      </c>
      <c r="B940" s="82" t="s">
        <v>3452</v>
      </c>
      <c r="C940" s="82" t="s">
        <v>94</v>
      </c>
      <c r="D940" s="85" t="s">
        <v>3459</v>
      </c>
      <c r="E940" s="79" t="s">
        <v>3460</v>
      </c>
      <c r="F940" s="86" t="s">
        <v>1264</v>
      </c>
      <c r="G940" s="82">
        <v>1.0</v>
      </c>
      <c r="H940" s="82">
        <v>1.0</v>
      </c>
      <c r="I940" s="82">
        <v>5.0</v>
      </c>
      <c r="J940" s="152">
        <v>50.0</v>
      </c>
      <c r="K940" s="152">
        <v>50.0</v>
      </c>
      <c r="L940" s="82" t="s">
        <v>907</v>
      </c>
    </row>
    <row r="941" ht="15.0" customHeight="1">
      <c r="A941" s="85" t="s">
        <v>3451</v>
      </c>
      <c r="B941" s="82" t="s">
        <v>3452</v>
      </c>
      <c r="C941" s="82" t="s">
        <v>94</v>
      </c>
      <c r="D941" s="85" t="s">
        <v>3461</v>
      </c>
      <c r="E941" s="79" t="s">
        <v>3462</v>
      </c>
      <c r="F941" s="86" t="s">
        <v>1264</v>
      </c>
      <c r="G941" s="82">
        <v>1.0</v>
      </c>
      <c r="H941" s="82">
        <v>1.0</v>
      </c>
      <c r="I941" s="82">
        <v>5.0</v>
      </c>
      <c r="J941" s="152">
        <v>50.0</v>
      </c>
      <c r="K941" s="152">
        <v>50.0</v>
      </c>
      <c r="L941" s="82" t="s">
        <v>907</v>
      </c>
    </row>
    <row r="942" ht="15.0" customHeight="1">
      <c r="A942" s="85" t="s">
        <v>3451</v>
      </c>
      <c r="B942" s="82" t="s">
        <v>3452</v>
      </c>
      <c r="C942" s="82" t="s">
        <v>94</v>
      </c>
      <c r="D942" s="82" t="s">
        <v>3463</v>
      </c>
      <c r="E942" s="79" t="s">
        <v>3464</v>
      </c>
      <c r="F942" s="86" t="s">
        <v>1264</v>
      </c>
      <c r="G942" s="82">
        <v>1.0</v>
      </c>
      <c r="H942" s="82">
        <v>1.0</v>
      </c>
      <c r="I942" s="82">
        <v>5.0</v>
      </c>
      <c r="J942" s="152">
        <v>50.0</v>
      </c>
      <c r="K942" s="152">
        <v>50.0</v>
      </c>
      <c r="L942" s="82" t="s">
        <v>907</v>
      </c>
    </row>
    <row r="943" ht="15.0" customHeight="1">
      <c r="A943" s="85" t="s">
        <v>3451</v>
      </c>
      <c r="B943" s="82" t="s">
        <v>3452</v>
      </c>
      <c r="C943" s="82" t="s">
        <v>94</v>
      </c>
      <c r="D943" s="85" t="s">
        <v>3465</v>
      </c>
      <c r="E943" s="79" t="s">
        <v>3466</v>
      </c>
      <c r="F943" s="86" t="s">
        <v>1264</v>
      </c>
      <c r="G943" s="82">
        <v>1.0</v>
      </c>
      <c r="H943" s="82">
        <v>1.0</v>
      </c>
      <c r="I943" s="82">
        <v>5.0</v>
      </c>
      <c r="J943" s="152">
        <v>50.0</v>
      </c>
      <c r="K943" s="152">
        <v>50.0</v>
      </c>
      <c r="L943" s="82" t="s">
        <v>907</v>
      </c>
    </row>
    <row r="944" ht="15.0" customHeight="1">
      <c r="A944" s="85" t="s">
        <v>3451</v>
      </c>
      <c r="B944" s="82" t="s">
        <v>3452</v>
      </c>
      <c r="C944" s="82" t="s">
        <v>94</v>
      </c>
      <c r="D944" s="85" t="s">
        <v>3467</v>
      </c>
      <c r="E944" s="79" t="s">
        <v>3468</v>
      </c>
      <c r="F944" s="86" t="s">
        <v>1264</v>
      </c>
      <c r="G944" s="82">
        <v>1.0</v>
      </c>
      <c r="H944" s="82">
        <v>1.0</v>
      </c>
      <c r="I944" s="82">
        <v>5.0</v>
      </c>
      <c r="J944" s="152">
        <v>50.0</v>
      </c>
      <c r="K944" s="152">
        <v>50.0</v>
      </c>
      <c r="L944" s="82" t="s">
        <v>907</v>
      </c>
    </row>
    <row r="945" ht="15.0" customHeight="1">
      <c r="A945" s="85" t="s">
        <v>3451</v>
      </c>
      <c r="B945" s="82" t="s">
        <v>3452</v>
      </c>
      <c r="C945" s="82" t="s">
        <v>94</v>
      </c>
      <c r="D945" s="85" t="s">
        <v>3469</v>
      </c>
      <c r="E945" s="79" t="s">
        <v>3470</v>
      </c>
      <c r="F945" s="86" t="s">
        <v>1264</v>
      </c>
      <c r="G945" s="82">
        <v>1.0</v>
      </c>
      <c r="H945" s="82">
        <v>1.0</v>
      </c>
      <c r="I945" s="82">
        <v>5.0</v>
      </c>
      <c r="J945" s="152">
        <v>50.0</v>
      </c>
      <c r="K945" s="152">
        <v>50.0</v>
      </c>
      <c r="L945" s="82" t="s">
        <v>907</v>
      </c>
    </row>
    <row r="946" ht="15.0" customHeight="1">
      <c r="A946" s="85" t="s">
        <v>3451</v>
      </c>
      <c r="B946" s="82" t="s">
        <v>3452</v>
      </c>
      <c r="C946" s="82" t="s">
        <v>94</v>
      </c>
      <c r="D946" s="85" t="s">
        <v>3471</v>
      </c>
      <c r="E946" s="79" t="s">
        <v>3472</v>
      </c>
      <c r="F946" s="86" t="s">
        <v>1264</v>
      </c>
      <c r="G946" s="82">
        <v>1.0</v>
      </c>
      <c r="H946" s="82">
        <v>1.0</v>
      </c>
      <c r="I946" s="82">
        <v>5.0</v>
      </c>
      <c r="J946" s="152">
        <v>50.0</v>
      </c>
      <c r="K946" s="152">
        <v>50.0</v>
      </c>
      <c r="L946" s="82" t="s">
        <v>907</v>
      </c>
    </row>
    <row r="947" ht="15.0" customHeight="1">
      <c r="A947" s="85" t="s">
        <v>3451</v>
      </c>
      <c r="B947" s="82" t="s">
        <v>3452</v>
      </c>
      <c r="C947" s="82" t="s">
        <v>94</v>
      </c>
      <c r="D947" s="85" t="s">
        <v>3473</v>
      </c>
      <c r="E947" s="79" t="s">
        <v>3474</v>
      </c>
      <c r="F947" s="86" t="s">
        <v>1264</v>
      </c>
      <c r="G947" s="82">
        <v>1.0</v>
      </c>
      <c r="H947" s="82">
        <v>1.0</v>
      </c>
      <c r="I947" s="82">
        <v>5.0</v>
      </c>
      <c r="J947" s="152">
        <v>50.0</v>
      </c>
      <c r="K947" s="152">
        <v>50.0</v>
      </c>
      <c r="L947" s="82" t="s">
        <v>907</v>
      </c>
    </row>
    <row r="948" ht="15.0" customHeight="1">
      <c r="A948" s="85" t="s">
        <v>3451</v>
      </c>
      <c r="B948" s="82" t="s">
        <v>3452</v>
      </c>
      <c r="C948" s="82" t="s">
        <v>94</v>
      </c>
      <c r="D948" s="85" t="s">
        <v>3475</v>
      </c>
      <c r="E948" s="79" t="s">
        <v>3476</v>
      </c>
      <c r="F948" s="86" t="s">
        <v>1264</v>
      </c>
      <c r="G948" s="82">
        <v>1.0</v>
      </c>
      <c r="H948" s="82">
        <v>1.0</v>
      </c>
      <c r="I948" s="82">
        <v>5.0</v>
      </c>
      <c r="J948" s="152">
        <v>50.0</v>
      </c>
      <c r="K948" s="152">
        <v>50.0</v>
      </c>
      <c r="L948" s="82" t="s">
        <v>907</v>
      </c>
    </row>
    <row r="949" ht="15.0" customHeight="1">
      <c r="A949" s="85" t="s">
        <v>3451</v>
      </c>
      <c r="B949" s="82" t="s">
        <v>3452</v>
      </c>
      <c r="C949" s="82" t="s">
        <v>94</v>
      </c>
      <c r="D949" s="85" t="s">
        <v>3477</v>
      </c>
      <c r="E949" s="79" t="s">
        <v>3478</v>
      </c>
      <c r="F949" s="86" t="s">
        <v>1264</v>
      </c>
      <c r="G949" s="82">
        <v>1.0</v>
      </c>
      <c r="H949" s="82">
        <v>1.0</v>
      </c>
      <c r="I949" s="82">
        <v>5.0</v>
      </c>
      <c r="J949" s="152">
        <v>50.0</v>
      </c>
      <c r="K949" s="152">
        <v>50.0</v>
      </c>
      <c r="L949" s="82" t="s">
        <v>907</v>
      </c>
    </row>
    <row r="950" ht="15.0" customHeight="1">
      <c r="A950" s="85" t="s">
        <v>3451</v>
      </c>
      <c r="B950" s="82" t="s">
        <v>3452</v>
      </c>
      <c r="C950" s="82" t="s">
        <v>94</v>
      </c>
      <c r="D950" s="85" t="s">
        <v>3479</v>
      </c>
      <c r="E950" s="79" t="s">
        <v>3480</v>
      </c>
      <c r="F950" s="86" t="s">
        <v>1264</v>
      </c>
      <c r="G950" s="82">
        <v>1.0</v>
      </c>
      <c r="H950" s="82">
        <v>1.0</v>
      </c>
      <c r="I950" s="82">
        <v>5.0</v>
      </c>
      <c r="J950" s="152">
        <v>50.0</v>
      </c>
      <c r="K950" s="152">
        <v>50.0</v>
      </c>
      <c r="L950" s="82" t="s">
        <v>907</v>
      </c>
    </row>
    <row r="951" ht="15.0" customHeight="1">
      <c r="A951" s="85" t="s">
        <v>3451</v>
      </c>
      <c r="B951" s="82" t="s">
        <v>3452</v>
      </c>
      <c r="C951" s="82" t="s">
        <v>94</v>
      </c>
      <c r="D951" s="85" t="s">
        <v>3481</v>
      </c>
      <c r="E951" s="79" t="s">
        <v>3482</v>
      </c>
      <c r="F951" s="86" t="s">
        <v>1264</v>
      </c>
      <c r="G951" s="82">
        <v>1.0</v>
      </c>
      <c r="H951" s="82">
        <v>1.0</v>
      </c>
      <c r="I951" s="82">
        <v>5.0</v>
      </c>
      <c r="J951" s="152">
        <v>50.0</v>
      </c>
      <c r="K951" s="152">
        <v>50.0</v>
      </c>
      <c r="L951" s="82" t="s">
        <v>907</v>
      </c>
    </row>
    <row r="952" ht="15.0" customHeight="1">
      <c r="A952" s="85" t="s">
        <v>3451</v>
      </c>
      <c r="B952" s="82" t="s">
        <v>3452</v>
      </c>
      <c r="C952" s="82" t="s">
        <v>94</v>
      </c>
      <c r="D952" s="85" t="s">
        <v>3483</v>
      </c>
      <c r="E952" s="79" t="s">
        <v>3484</v>
      </c>
      <c r="F952" s="86" t="s">
        <v>1264</v>
      </c>
      <c r="G952" s="82">
        <v>1.0</v>
      </c>
      <c r="H952" s="82">
        <v>1.0</v>
      </c>
      <c r="I952" s="82">
        <v>5.0</v>
      </c>
      <c r="J952" s="152">
        <v>50.0</v>
      </c>
      <c r="K952" s="152">
        <v>50.0</v>
      </c>
      <c r="L952" s="82" t="s">
        <v>907</v>
      </c>
    </row>
    <row r="953" ht="15.0" customHeight="1">
      <c r="A953" s="85" t="s">
        <v>3451</v>
      </c>
      <c r="B953" s="82" t="s">
        <v>3452</v>
      </c>
      <c r="C953" s="82" t="s">
        <v>94</v>
      </c>
      <c r="D953" s="85" t="s">
        <v>3485</v>
      </c>
      <c r="E953" s="79" t="s">
        <v>3486</v>
      </c>
      <c r="F953" s="86" t="s">
        <v>1264</v>
      </c>
      <c r="G953" s="82">
        <v>1.0</v>
      </c>
      <c r="H953" s="82">
        <v>1.0</v>
      </c>
      <c r="I953" s="82">
        <v>5.0</v>
      </c>
      <c r="J953" s="152">
        <v>50.0</v>
      </c>
      <c r="K953" s="152">
        <v>50.0</v>
      </c>
      <c r="L953" s="82" t="s">
        <v>907</v>
      </c>
    </row>
    <row r="954" ht="15.0" customHeight="1">
      <c r="A954" s="85" t="s">
        <v>3451</v>
      </c>
      <c r="B954" s="82" t="s">
        <v>3452</v>
      </c>
      <c r="C954" s="82" t="s">
        <v>94</v>
      </c>
      <c r="D954" s="85" t="s">
        <v>3487</v>
      </c>
      <c r="E954" s="79" t="s">
        <v>3488</v>
      </c>
      <c r="F954" s="86" t="s">
        <v>1264</v>
      </c>
      <c r="G954" s="82">
        <v>1.0</v>
      </c>
      <c r="H954" s="82">
        <v>1.0</v>
      </c>
      <c r="I954" s="82">
        <v>5.0</v>
      </c>
      <c r="J954" s="152">
        <v>50.0</v>
      </c>
      <c r="K954" s="152">
        <v>50.0</v>
      </c>
      <c r="L954" s="82" t="s">
        <v>907</v>
      </c>
    </row>
    <row r="955" ht="15.0" customHeight="1">
      <c r="A955" s="85" t="s">
        <v>3451</v>
      </c>
      <c r="B955" s="82" t="s">
        <v>3452</v>
      </c>
      <c r="C955" s="82" t="s">
        <v>94</v>
      </c>
      <c r="D955" s="85" t="s">
        <v>3489</v>
      </c>
      <c r="E955" s="79" t="s">
        <v>3490</v>
      </c>
      <c r="F955" s="86" t="s">
        <v>1264</v>
      </c>
      <c r="G955" s="82">
        <v>1.0</v>
      </c>
      <c r="H955" s="82">
        <v>1.0</v>
      </c>
      <c r="I955" s="82">
        <v>5.0</v>
      </c>
      <c r="J955" s="152">
        <v>50.0</v>
      </c>
      <c r="K955" s="152">
        <v>50.0</v>
      </c>
      <c r="L955" s="82" t="s">
        <v>907</v>
      </c>
    </row>
    <row r="956" ht="15.0" customHeight="1">
      <c r="A956" s="85" t="s">
        <v>3451</v>
      </c>
      <c r="B956" s="82" t="s">
        <v>3452</v>
      </c>
      <c r="C956" s="82" t="s">
        <v>94</v>
      </c>
      <c r="D956" s="85" t="s">
        <v>3491</v>
      </c>
      <c r="E956" s="79" t="s">
        <v>3492</v>
      </c>
      <c r="F956" s="86" t="s">
        <v>1264</v>
      </c>
      <c r="G956" s="82">
        <v>1.0</v>
      </c>
      <c r="H956" s="82">
        <v>1.0</v>
      </c>
      <c r="I956" s="82">
        <v>5.0</v>
      </c>
      <c r="J956" s="152">
        <v>50.0</v>
      </c>
      <c r="K956" s="152">
        <v>50.0</v>
      </c>
      <c r="L956" s="82" t="s">
        <v>907</v>
      </c>
    </row>
    <row r="957" ht="15.0" customHeight="1">
      <c r="A957" s="85" t="s">
        <v>3451</v>
      </c>
      <c r="B957" s="82" t="s">
        <v>3452</v>
      </c>
      <c r="C957" s="82" t="s">
        <v>94</v>
      </c>
      <c r="D957" s="85" t="s">
        <v>3493</v>
      </c>
      <c r="E957" s="79" t="s">
        <v>3494</v>
      </c>
      <c r="F957" s="86" t="s">
        <v>1264</v>
      </c>
      <c r="G957" s="82">
        <v>1.0</v>
      </c>
      <c r="H957" s="82">
        <v>1.0</v>
      </c>
      <c r="I957" s="82">
        <v>5.0</v>
      </c>
      <c r="J957" s="152">
        <v>50.0</v>
      </c>
      <c r="K957" s="152">
        <v>50.0</v>
      </c>
      <c r="L957" s="82" t="s">
        <v>907</v>
      </c>
    </row>
    <row r="958" ht="15.0" customHeight="1">
      <c r="A958" s="85" t="s">
        <v>3451</v>
      </c>
      <c r="B958" s="82" t="s">
        <v>3452</v>
      </c>
      <c r="C958" s="82" t="s">
        <v>94</v>
      </c>
      <c r="D958" s="85" t="s">
        <v>3495</v>
      </c>
      <c r="E958" s="79" t="s">
        <v>3496</v>
      </c>
      <c r="F958" s="86" t="s">
        <v>1264</v>
      </c>
      <c r="G958" s="82">
        <v>1.0</v>
      </c>
      <c r="H958" s="82">
        <v>1.0</v>
      </c>
      <c r="I958" s="82">
        <v>5.0</v>
      </c>
      <c r="J958" s="152">
        <v>50.0</v>
      </c>
      <c r="K958" s="152">
        <v>50.0</v>
      </c>
      <c r="L958" s="82" t="s">
        <v>907</v>
      </c>
    </row>
    <row r="959" ht="15.0" customHeight="1">
      <c r="A959" s="85" t="s">
        <v>3451</v>
      </c>
      <c r="B959" s="82" t="s">
        <v>3452</v>
      </c>
      <c r="C959" s="82" t="s">
        <v>94</v>
      </c>
      <c r="D959" s="85" t="s">
        <v>3497</v>
      </c>
      <c r="E959" s="79" t="s">
        <v>3498</v>
      </c>
      <c r="F959" s="86" t="s">
        <v>1264</v>
      </c>
      <c r="G959" s="82">
        <v>1.0</v>
      </c>
      <c r="H959" s="82">
        <v>1.0</v>
      </c>
      <c r="I959" s="82">
        <v>5.0</v>
      </c>
      <c r="J959" s="152">
        <v>50.0</v>
      </c>
      <c r="K959" s="152">
        <v>50.0</v>
      </c>
      <c r="L959" s="82" t="s">
        <v>907</v>
      </c>
    </row>
    <row r="960" ht="15.0" customHeight="1">
      <c r="A960" s="85" t="s">
        <v>3451</v>
      </c>
      <c r="B960" s="82" t="s">
        <v>3452</v>
      </c>
      <c r="C960" s="82" t="s">
        <v>94</v>
      </c>
      <c r="D960" s="85" t="s">
        <v>3499</v>
      </c>
      <c r="E960" s="79" t="s">
        <v>3500</v>
      </c>
      <c r="F960" s="86" t="s">
        <v>1264</v>
      </c>
      <c r="G960" s="82">
        <v>1.0</v>
      </c>
      <c r="H960" s="82">
        <v>1.0</v>
      </c>
      <c r="I960" s="82">
        <v>5.0</v>
      </c>
      <c r="J960" s="152">
        <v>50.0</v>
      </c>
      <c r="K960" s="152">
        <v>50.0</v>
      </c>
      <c r="L960" s="82" t="s">
        <v>907</v>
      </c>
    </row>
    <row r="961" ht="15.0" customHeight="1">
      <c r="A961" s="85" t="s">
        <v>3451</v>
      </c>
      <c r="B961" s="82" t="s">
        <v>3452</v>
      </c>
      <c r="C961" s="82" t="s">
        <v>94</v>
      </c>
      <c r="D961" s="85" t="s">
        <v>3501</v>
      </c>
      <c r="E961" s="79" t="s">
        <v>3502</v>
      </c>
      <c r="F961" s="86" t="s">
        <v>1264</v>
      </c>
      <c r="G961" s="82">
        <v>1.0</v>
      </c>
      <c r="H961" s="82">
        <v>1.0</v>
      </c>
      <c r="I961" s="82">
        <v>5.0</v>
      </c>
      <c r="J961" s="152">
        <v>50.0</v>
      </c>
      <c r="K961" s="152">
        <v>50.0</v>
      </c>
      <c r="L961" s="82" t="s">
        <v>907</v>
      </c>
    </row>
    <row r="962" ht="15.0" customHeight="1">
      <c r="A962" s="85" t="s">
        <v>3451</v>
      </c>
      <c r="B962" s="82" t="s">
        <v>3452</v>
      </c>
      <c r="C962" s="82" t="s">
        <v>94</v>
      </c>
      <c r="D962" s="85" t="s">
        <v>3503</v>
      </c>
      <c r="E962" s="79" t="s">
        <v>3504</v>
      </c>
      <c r="F962" s="86" t="s">
        <v>1264</v>
      </c>
      <c r="G962" s="82">
        <v>1.0</v>
      </c>
      <c r="H962" s="82">
        <v>1.0</v>
      </c>
      <c r="I962" s="82">
        <v>5.0</v>
      </c>
      <c r="J962" s="152">
        <v>50.0</v>
      </c>
      <c r="K962" s="152">
        <v>50.0</v>
      </c>
      <c r="L962" s="82" t="s">
        <v>907</v>
      </c>
    </row>
    <row r="963" ht="15.0" customHeight="1">
      <c r="A963" s="85" t="s">
        <v>3451</v>
      </c>
      <c r="B963" s="82" t="s">
        <v>3452</v>
      </c>
      <c r="C963" s="82" t="s">
        <v>94</v>
      </c>
      <c r="D963" s="85" t="s">
        <v>3505</v>
      </c>
      <c r="E963" s="79" t="s">
        <v>3506</v>
      </c>
      <c r="F963" s="86" t="s">
        <v>1264</v>
      </c>
      <c r="G963" s="82">
        <v>1.0</v>
      </c>
      <c r="H963" s="82">
        <v>1.0</v>
      </c>
      <c r="I963" s="82">
        <v>5.0</v>
      </c>
      <c r="J963" s="152">
        <v>50.0</v>
      </c>
      <c r="K963" s="152">
        <v>50.0</v>
      </c>
      <c r="L963" s="82" t="s">
        <v>907</v>
      </c>
    </row>
    <row r="964" ht="15.0" customHeight="1">
      <c r="A964" s="85" t="s">
        <v>3451</v>
      </c>
      <c r="B964" s="82" t="s">
        <v>3452</v>
      </c>
      <c r="C964" s="82" t="s">
        <v>94</v>
      </c>
      <c r="D964" s="85" t="s">
        <v>3507</v>
      </c>
      <c r="E964" s="79" t="s">
        <v>3508</v>
      </c>
      <c r="F964" s="86" t="s">
        <v>1264</v>
      </c>
      <c r="G964" s="82">
        <v>1.0</v>
      </c>
      <c r="H964" s="82">
        <v>1.0</v>
      </c>
      <c r="I964" s="82">
        <v>5.0</v>
      </c>
      <c r="J964" s="152">
        <v>50.0</v>
      </c>
      <c r="K964" s="152">
        <v>50.0</v>
      </c>
      <c r="L964" s="82" t="s">
        <v>907</v>
      </c>
    </row>
    <row r="965" ht="15.0" customHeight="1">
      <c r="A965" s="85" t="s">
        <v>3451</v>
      </c>
      <c r="B965" s="82" t="s">
        <v>3452</v>
      </c>
      <c r="C965" s="82" t="s">
        <v>94</v>
      </c>
      <c r="D965" s="85" t="s">
        <v>3509</v>
      </c>
      <c r="E965" s="79" t="s">
        <v>3510</v>
      </c>
      <c r="F965" s="86" t="s">
        <v>1264</v>
      </c>
      <c r="G965" s="82">
        <v>1.0</v>
      </c>
      <c r="H965" s="82">
        <v>1.0</v>
      </c>
      <c r="I965" s="82">
        <v>5.0</v>
      </c>
      <c r="J965" s="152">
        <v>50.0</v>
      </c>
      <c r="K965" s="152">
        <v>50.0</v>
      </c>
      <c r="L965" s="82" t="s">
        <v>907</v>
      </c>
    </row>
    <row r="966" ht="15.0" customHeight="1">
      <c r="A966" s="85" t="s">
        <v>3451</v>
      </c>
      <c r="B966" s="82" t="s">
        <v>3452</v>
      </c>
      <c r="C966" s="82" t="s">
        <v>94</v>
      </c>
      <c r="D966" s="85" t="s">
        <v>3511</v>
      </c>
      <c r="E966" s="79" t="s">
        <v>3512</v>
      </c>
      <c r="F966" s="86" t="s">
        <v>1264</v>
      </c>
      <c r="G966" s="82">
        <v>1.0</v>
      </c>
      <c r="H966" s="82">
        <v>1.0</v>
      </c>
      <c r="I966" s="82">
        <v>5.0</v>
      </c>
      <c r="J966" s="152">
        <v>50.0</v>
      </c>
      <c r="K966" s="152">
        <v>50.0</v>
      </c>
      <c r="L966" s="82" t="s">
        <v>907</v>
      </c>
    </row>
    <row r="967" ht="15.0" customHeight="1">
      <c r="A967" s="85" t="s">
        <v>3451</v>
      </c>
      <c r="B967" s="82" t="s">
        <v>3452</v>
      </c>
      <c r="C967" s="82" t="s">
        <v>94</v>
      </c>
      <c r="D967" s="85" t="s">
        <v>3513</v>
      </c>
      <c r="E967" s="79" t="s">
        <v>3514</v>
      </c>
      <c r="F967" s="86" t="s">
        <v>1264</v>
      </c>
      <c r="G967" s="82">
        <v>1.0</v>
      </c>
      <c r="H967" s="82">
        <v>1.0</v>
      </c>
      <c r="I967" s="82">
        <v>5.0</v>
      </c>
      <c r="J967" s="152">
        <v>50.0</v>
      </c>
      <c r="K967" s="152">
        <v>50.0</v>
      </c>
      <c r="L967" s="82" t="s">
        <v>907</v>
      </c>
    </row>
    <row r="968" ht="15.0" customHeight="1">
      <c r="A968" s="85" t="s">
        <v>3451</v>
      </c>
      <c r="B968" s="82" t="s">
        <v>3452</v>
      </c>
      <c r="C968" s="82" t="s">
        <v>94</v>
      </c>
      <c r="D968" s="85" t="s">
        <v>3515</v>
      </c>
      <c r="E968" s="79" t="s">
        <v>3516</v>
      </c>
      <c r="F968" s="86" t="s">
        <v>1264</v>
      </c>
      <c r="G968" s="82">
        <v>1.0</v>
      </c>
      <c r="H968" s="82">
        <v>1.0</v>
      </c>
      <c r="I968" s="82">
        <v>5.0</v>
      </c>
      <c r="J968" s="152">
        <v>50.0</v>
      </c>
      <c r="K968" s="152">
        <v>50.0</v>
      </c>
      <c r="L968" s="82" t="s">
        <v>907</v>
      </c>
    </row>
    <row r="969" ht="15.0" customHeight="1">
      <c r="A969" s="85" t="s">
        <v>3451</v>
      </c>
      <c r="B969" s="82" t="s">
        <v>3452</v>
      </c>
      <c r="C969" s="82" t="s">
        <v>94</v>
      </c>
      <c r="D969" s="85" t="s">
        <v>3517</v>
      </c>
      <c r="E969" s="79" t="s">
        <v>3518</v>
      </c>
      <c r="F969" s="86" t="s">
        <v>1264</v>
      </c>
      <c r="G969" s="82">
        <v>1.0</v>
      </c>
      <c r="H969" s="82">
        <v>1.0</v>
      </c>
      <c r="I969" s="82">
        <v>5.0</v>
      </c>
      <c r="J969" s="152">
        <v>50.0</v>
      </c>
      <c r="K969" s="152">
        <v>50.0</v>
      </c>
      <c r="L969" s="82" t="s">
        <v>907</v>
      </c>
    </row>
    <row r="970" ht="15.0" customHeight="1">
      <c r="A970" s="85" t="s">
        <v>3451</v>
      </c>
      <c r="B970" s="82" t="s">
        <v>3452</v>
      </c>
      <c r="C970" s="82" t="s">
        <v>94</v>
      </c>
      <c r="D970" s="85" t="s">
        <v>3519</v>
      </c>
      <c r="E970" s="79" t="s">
        <v>3520</v>
      </c>
      <c r="F970" s="86" t="s">
        <v>1264</v>
      </c>
      <c r="G970" s="82">
        <v>1.0</v>
      </c>
      <c r="H970" s="82">
        <v>1.0</v>
      </c>
      <c r="I970" s="82">
        <v>5.0</v>
      </c>
      <c r="J970" s="152">
        <v>50.0</v>
      </c>
      <c r="K970" s="152">
        <v>50.0</v>
      </c>
      <c r="L970" s="82" t="s">
        <v>907</v>
      </c>
    </row>
    <row r="971" ht="15.0" customHeight="1">
      <c r="A971" s="85" t="s">
        <v>3451</v>
      </c>
      <c r="B971" s="82" t="s">
        <v>3452</v>
      </c>
      <c r="C971" s="82" t="s">
        <v>94</v>
      </c>
      <c r="D971" s="82" t="s">
        <v>3521</v>
      </c>
      <c r="E971" s="79" t="s">
        <v>3522</v>
      </c>
      <c r="F971" s="86" t="s">
        <v>1264</v>
      </c>
      <c r="G971" s="82">
        <v>1.0</v>
      </c>
      <c r="H971" s="82">
        <v>1.0</v>
      </c>
      <c r="I971" s="82">
        <v>5.0</v>
      </c>
      <c r="J971" s="152">
        <v>50.0</v>
      </c>
      <c r="K971" s="152">
        <v>50.0</v>
      </c>
      <c r="L971" s="82" t="s">
        <v>907</v>
      </c>
    </row>
    <row r="972" ht="15.0" customHeight="1">
      <c r="A972" s="85" t="s">
        <v>3451</v>
      </c>
      <c r="B972" s="82" t="s">
        <v>3452</v>
      </c>
      <c r="C972" s="82" t="s">
        <v>94</v>
      </c>
      <c r="D972" s="85" t="s">
        <v>3523</v>
      </c>
      <c r="E972" s="79" t="s">
        <v>3524</v>
      </c>
      <c r="F972" s="86" t="s">
        <v>1264</v>
      </c>
      <c r="G972" s="82">
        <v>1.0</v>
      </c>
      <c r="H972" s="82">
        <v>1.0</v>
      </c>
      <c r="I972" s="82">
        <v>5.0</v>
      </c>
      <c r="J972" s="152">
        <v>50.0</v>
      </c>
      <c r="K972" s="152">
        <v>50.0</v>
      </c>
      <c r="L972" s="82" t="s">
        <v>907</v>
      </c>
    </row>
    <row r="973" ht="15.0" customHeight="1">
      <c r="A973" s="85" t="s">
        <v>3451</v>
      </c>
      <c r="B973" s="82" t="s">
        <v>3452</v>
      </c>
      <c r="C973" s="82" t="s">
        <v>94</v>
      </c>
      <c r="D973" s="85" t="s">
        <v>3525</v>
      </c>
      <c r="E973" s="79" t="s">
        <v>3526</v>
      </c>
      <c r="F973" s="86" t="s">
        <v>1264</v>
      </c>
      <c r="G973" s="82">
        <v>1.0</v>
      </c>
      <c r="H973" s="82">
        <v>1.0</v>
      </c>
      <c r="I973" s="82">
        <v>5.0</v>
      </c>
      <c r="J973" s="152">
        <v>50.0</v>
      </c>
      <c r="K973" s="152">
        <v>50.0</v>
      </c>
      <c r="L973" s="82" t="s">
        <v>907</v>
      </c>
    </row>
    <row r="974" ht="15.0" customHeight="1">
      <c r="A974" s="85" t="s">
        <v>3451</v>
      </c>
      <c r="B974" s="82" t="s">
        <v>3452</v>
      </c>
      <c r="C974" s="82" t="s">
        <v>94</v>
      </c>
      <c r="D974" s="85" t="s">
        <v>3527</v>
      </c>
      <c r="E974" s="79" t="s">
        <v>3528</v>
      </c>
      <c r="F974" s="86" t="s">
        <v>1264</v>
      </c>
      <c r="G974" s="82">
        <v>1.0</v>
      </c>
      <c r="H974" s="82">
        <v>1.0</v>
      </c>
      <c r="I974" s="82">
        <v>5.0</v>
      </c>
      <c r="J974" s="152">
        <v>50.0</v>
      </c>
      <c r="K974" s="152">
        <v>50.0</v>
      </c>
      <c r="L974" s="82" t="s">
        <v>907</v>
      </c>
    </row>
    <row r="975" ht="15.0" customHeight="1">
      <c r="A975" s="85" t="s">
        <v>3451</v>
      </c>
      <c r="B975" s="82" t="s">
        <v>3452</v>
      </c>
      <c r="C975" s="82" t="s">
        <v>94</v>
      </c>
      <c r="D975" s="85" t="s">
        <v>3529</v>
      </c>
      <c r="E975" s="79" t="s">
        <v>3530</v>
      </c>
      <c r="F975" s="86" t="s">
        <v>1264</v>
      </c>
      <c r="G975" s="82">
        <v>1.0</v>
      </c>
      <c r="H975" s="82">
        <v>1.0</v>
      </c>
      <c r="I975" s="82">
        <v>5.0</v>
      </c>
      <c r="J975" s="152">
        <v>50.0</v>
      </c>
      <c r="K975" s="152">
        <v>50.0</v>
      </c>
      <c r="L975" s="82" t="s">
        <v>907</v>
      </c>
    </row>
    <row r="976" ht="15.0" customHeight="1">
      <c r="A976" s="85" t="s">
        <v>3451</v>
      </c>
      <c r="B976" s="82" t="s">
        <v>3452</v>
      </c>
      <c r="C976" s="82" t="s">
        <v>94</v>
      </c>
      <c r="D976" s="85" t="s">
        <v>3531</v>
      </c>
      <c r="E976" s="79" t="s">
        <v>3532</v>
      </c>
      <c r="F976" s="86" t="s">
        <v>1264</v>
      </c>
      <c r="G976" s="82">
        <v>1.0</v>
      </c>
      <c r="H976" s="82">
        <v>1.0</v>
      </c>
      <c r="I976" s="82">
        <v>5.0</v>
      </c>
      <c r="J976" s="152">
        <v>50.0</v>
      </c>
      <c r="K976" s="152">
        <v>50.0</v>
      </c>
      <c r="L976" s="82" t="s">
        <v>907</v>
      </c>
    </row>
    <row r="977" ht="15.0" customHeight="1">
      <c r="A977" s="85" t="s">
        <v>3451</v>
      </c>
      <c r="B977" s="82" t="s">
        <v>3452</v>
      </c>
      <c r="C977" s="82" t="s">
        <v>94</v>
      </c>
      <c r="D977" s="85" t="s">
        <v>3533</v>
      </c>
      <c r="E977" s="79" t="s">
        <v>3534</v>
      </c>
      <c r="F977" s="86" t="s">
        <v>1264</v>
      </c>
      <c r="G977" s="82">
        <v>1.0</v>
      </c>
      <c r="H977" s="82">
        <v>1.0</v>
      </c>
      <c r="I977" s="82">
        <v>5.0</v>
      </c>
      <c r="J977" s="152">
        <v>50.0</v>
      </c>
      <c r="K977" s="152">
        <v>50.0</v>
      </c>
      <c r="L977" s="82" t="s">
        <v>907</v>
      </c>
    </row>
    <row r="978" ht="15.0" customHeight="1">
      <c r="A978" s="85" t="s">
        <v>3451</v>
      </c>
      <c r="B978" s="82" t="s">
        <v>3452</v>
      </c>
      <c r="C978" s="82" t="s">
        <v>94</v>
      </c>
      <c r="D978" s="85" t="s">
        <v>3535</v>
      </c>
      <c r="E978" s="79" t="s">
        <v>3536</v>
      </c>
      <c r="F978" s="86" t="s">
        <v>1264</v>
      </c>
      <c r="G978" s="82">
        <v>1.0</v>
      </c>
      <c r="H978" s="82">
        <v>1.0</v>
      </c>
      <c r="I978" s="82">
        <v>5.0</v>
      </c>
      <c r="J978" s="152">
        <v>50.0</v>
      </c>
      <c r="K978" s="152">
        <v>50.0</v>
      </c>
      <c r="L978" s="82" t="s">
        <v>907</v>
      </c>
    </row>
    <row r="979" ht="15.0" customHeight="1">
      <c r="A979" s="85" t="s">
        <v>3451</v>
      </c>
      <c r="B979" s="82" t="s">
        <v>3452</v>
      </c>
      <c r="C979" s="82" t="s">
        <v>94</v>
      </c>
      <c r="D979" s="85" t="s">
        <v>3537</v>
      </c>
      <c r="E979" s="79" t="s">
        <v>3538</v>
      </c>
      <c r="F979" s="86" t="s">
        <v>1264</v>
      </c>
      <c r="G979" s="82">
        <v>1.0</v>
      </c>
      <c r="H979" s="82">
        <v>1.0</v>
      </c>
      <c r="I979" s="82">
        <v>5.0</v>
      </c>
      <c r="J979" s="152">
        <v>50.0</v>
      </c>
      <c r="K979" s="152">
        <v>50.0</v>
      </c>
      <c r="L979" s="82" t="s">
        <v>907</v>
      </c>
    </row>
    <row r="980" ht="15.0" customHeight="1">
      <c r="A980" s="85" t="s">
        <v>3451</v>
      </c>
      <c r="B980" s="82" t="s">
        <v>3452</v>
      </c>
      <c r="C980" s="82" t="s">
        <v>94</v>
      </c>
      <c r="D980" s="85" t="s">
        <v>3539</v>
      </c>
      <c r="E980" s="79" t="s">
        <v>3540</v>
      </c>
      <c r="F980" s="86" t="s">
        <v>1264</v>
      </c>
      <c r="G980" s="82">
        <v>1.0</v>
      </c>
      <c r="H980" s="82">
        <v>1.0</v>
      </c>
      <c r="I980" s="82">
        <v>5.0</v>
      </c>
      <c r="J980" s="152">
        <v>50.0</v>
      </c>
      <c r="K980" s="152">
        <v>50.0</v>
      </c>
      <c r="L980" s="82" t="s">
        <v>907</v>
      </c>
    </row>
    <row r="981" ht="15.0" customHeight="1">
      <c r="A981" s="85" t="s">
        <v>3451</v>
      </c>
      <c r="B981" s="82" t="s">
        <v>3452</v>
      </c>
      <c r="C981" s="82" t="s">
        <v>94</v>
      </c>
      <c r="D981" s="85" t="s">
        <v>3541</v>
      </c>
      <c r="E981" s="79" t="s">
        <v>3542</v>
      </c>
      <c r="F981" s="86" t="s">
        <v>1264</v>
      </c>
      <c r="G981" s="82">
        <v>1.0</v>
      </c>
      <c r="H981" s="82">
        <v>1.0</v>
      </c>
      <c r="I981" s="82">
        <v>5.0</v>
      </c>
      <c r="J981" s="152">
        <v>50.0</v>
      </c>
      <c r="K981" s="152">
        <v>50.0</v>
      </c>
      <c r="L981" s="82" t="s">
        <v>907</v>
      </c>
    </row>
    <row r="982" ht="15.0" customHeight="1">
      <c r="A982" s="85" t="s">
        <v>3451</v>
      </c>
      <c r="B982" s="82" t="s">
        <v>3452</v>
      </c>
      <c r="C982" s="82" t="s">
        <v>94</v>
      </c>
      <c r="D982" s="85" t="s">
        <v>3543</v>
      </c>
      <c r="E982" s="79" t="s">
        <v>3544</v>
      </c>
      <c r="F982" s="86" t="s">
        <v>1264</v>
      </c>
      <c r="G982" s="82">
        <v>1.0</v>
      </c>
      <c r="H982" s="82">
        <v>1.0</v>
      </c>
      <c r="I982" s="82">
        <v>5.0</v>
      </c>
      <c r="J982" s="152">
        <v>50.0</v>
      </c>
      <c r="K982" s="152">
        <v>50.0</v>
      </c>
      <c r="L982" s="82" t="s">
        <v>907</v>
      </c>
    </row>
    <row r="983" ht="15.0" customHeight="1">
      <c r="A983" s="85" t="s">
        <v>3451</v>
      </c>
      <c r="B983" s="82" t="s">
        <v>3452</v>
      </c>
      <c r="C983" s="82" t="s">
        <v>94</v>
      </c>
      <c r="D983" s="85" t="s">
        <v>3545</v>
      </c>
      <c r="E983" s="79" t="s">
        <v>3546</v>
      </c>
      <c r="F983" s="86" t="s">
        <v>1264</v>
      </c>
      <c r="G983" s="82">
        <v>1.0</v>
      </c>
      <c r="H983" s="82">
        <v>1.0</v>
      </c>
      <c r="I983" s="82">
        <v>5.0</v>
      </c>
      <c r="J983" s="152">
        <v>50.0</v>
      </c>
      <c r="K983" s="152">
        <v>50.0</v>
      </c>
      <c r="L983" s="82" t="s">
        <v>907</v>
      </c>
    </row>
    <row r="984" ht="15.0" customHeight="1">
      <c r="A984" s="85" t="s">
        <v>3451</v>
      </c>
      <c r="B984" s="82" t="s">
        <v>3452</v>
      </c>
      <c r="C984" s="82" t="s">
        <v>94</v>
      </c>
      <c r="D984" s="85" t="s">
        <v>3547</v>
      </c>
      <c r="E984" s="79" t="s">
        <v>3548</v>
      </c>
      <c r="F984" s="86" t="s">
        <v>1264</v>
      </c>
      <c r="G984" s="82">
        <v>1.0</v>
      </c>
      <c r="H984" s="82">
        <v>1.0</v>
      </c>
      <c r="I984" s="82">
        <v>5.0</v>
      </c>
      <c r="J984" s="152">
        <v>50.0</v>
      </c>
      <c r="K984" s="152">
        <v>50.0</v>
      </c>
      <c r="L984" s="82" t="s">
        <v>907</v>
      </c>
    </row>
    <row r="985" ht="15.0" customHeight="1">
      <c r="A985" s="85" t="s">
        <v>3451</v>
      </c>
      <c r="B985" s="82" t="s">
        <v>3452</v>
      </c>
      <c r="C985" s="82" t="s">
        <v>94</v>
      </c>
      <c r="D985" s="85" t="s">
        <v>3549</v>
      </c>
      <c r="E985" s="79" t="s">
        <v>3550</v>
      </c>
      <c r="F985" s="86" t="s">
        <v>259</v>
      </c>
      <c r="G985" s="82">
        <v>1.0</v>
      </c>
      <c r="H985" s="82">
        <v>1.0</v>
      </c>
      <c r="I985" s="82">
        <v>5.0</v>
      </c>
      <c r="J985" s="152">
        <v>50.0</v>
      </c>
      <c r="K985" s="152">
        <v>50.0</v>
      </c>
      <c r="L985" s="82" t="s">
        <v>907</v>
      </c>
    </row>
    <row r="986" ht="15.0" customHeight="1">
      <c r="A986" s="85" t="s">
        <v>3451</v>
      </c>
      <c r="B986" s="82" t="s">
        <v>3452</v>
      </c>
      <c r="C986" s="82" t="s">
        <v>94</v>
      </c>
      <c r="D986" s="85" t="s">
        <v>3551</v>
      </c>
      <c r="E986" s="79" t="s">
        <v>3552</v>
      </c>
      <c r="F986" s="86" t="s">
        <v>259</v>
      </c>
      <c r="G986" s="82">
        <v>1.0</v>
      </c>
      <c r="H986" s="82">
        <v>1.0</v>
      </c>
      <c r="I986" s="82">
        <v>5.0</v>
      </c>
      <c r="J986" s="152">
        <v>50.0</v>
      </c>
      <c r="K986" s="152">
        <v>50.0</v>
      </c>
      <c r="L986" s="82" t="s">
        <v>907</v>
      </c>
    </row>
    <row r="987" ht="15.0" customHeight="1">
      <c r="A987" s="85" t="s">
        <v>3451</v>
      </c>
      <c r="B987" s="82" t="s">
        <v>3452</v>
      </c>
      <c r="C987" s="82" t="s">
        <v>94</v>
      </c>
      <c r="D987" s="85" t="s">
        <v>3553</v>
      </c>
      <c r="E987" s="79" t="s">
        <v>3554</v>
      </c>
      <c r="F987" s="86" t="s">
        <v>259</v>
      </c>
      <c r="G987" s="82">
        <v>1.0</v>
      </c>
      <c r="H987" s="82">
        <v>1.0</v>
      </c>
      <c r="I987" s="82"/>
      <c r="J987" s="152">
        <v>50.0</v>
      </c>
      <c r="K987" s="152">
        <v>50.0</v>
      </c>
      <c r="L987" s="82" t="s">
        <v>907</v>
      </c>
    </row>
    <row r="988" ht="15.0" customHeight="1">
      <c r="A988" s="82" t="s">
        <v>3555</v>
      </c>
      <c r="B988" s="82" t="s">
        <v>3556</v>
      </c>
      <c r="C988" s="82" t="s">
        <v>94</v>
      </c>
      <c r="D988" s="85" t="s">
        <v>3557</v>
      </c>
      <c r="E988" s="79" t="s">
        <v>3558</v>
      </c>
      <c r="F988" s="86" t="s">
        <v>1264</v>
      </c>
      <c r="G988" s="82">
        <v>6.0</v>
      </c>
      <c r="H988" s="82">
        <v>1.0</v>
      </c>
      <c r="I988" s="82">
        <v>6.0</v>
      </c>
      <c r="J988" s="152">
        <v>50.0</v>
      </c>
      <c r="K988" s="84">
        <v>8.33</v>
      </c>
      <c r="L988" s="82" t="s">
        <v>907</v>
      </c>
    </row>
    <row r="989" ht="15.0" customHeight="1">
      <c r="A989" s="82" t="s">
        <v>3555</v>
      </c>
      <c r="B989" s="82" t="s">
        <v>3556</v>
      </c>
      <c r="C989" s="82" t="s">
        <v>94</v>
      </c>
      <c r="D989" s="85" t="s">
        <v>3559</v>
      </c>
      <c r="E989" s="79" t="s">
        <v>3560</v>
      </c>
      <c r="F989" s="86" t="s">
        <v>1264</v>
      </c>
      <c r="G989" s="82">
        <v>6.0</v>
      </c>
      <c r="H989" s="82">
        <v>1.0</v>
      </c>
      <c r="I989" s="82">
        <v>6.0</v>
      </c>
      <c r="J989" s="152">
        <v>50.0</v>
      </c>
      <c r="K989" s="84">
        <v>8.33</v>
      </c>
      <c r="L989" s="82" t="s">
        <v>907</v>
      </c>
    </row>
    <row r="990" ht="15.0" customHeight="1">
      <c r="A990" s="82" t="s">
        <v>3555</v>
      </c>
      <c r="B990" s="82" t="s">
        <v>3556</v>
      </c>
      <c r="C990" s="82" t="s">
        <v>94</v>
      </c>
      <c r="D990" s="85" t="s">
        <v>3417</v>
      </c>
      <c r="E990" s="79" t="s">
        <v>3418</v>
      </c>
      <c r="F990" s="86" t="s">
        <v>1264</v>
      </c>
      <c r="G990" s="82">
        <v>6.0</v>
      </c>
      <c r="H990" s="82">
        <v>1.0</v>
      </c>
      <c r="I990" s="82">
        <v>6.0</v>
      </c>
      <c r="J990" s="152">
        <v>50.0</v>
      </c>
      <c r="K990" s="84">
        <v>8.33</v>
      </c>
      <c r="L990" s="82" t="s">
        <v>907</v>
      </c>
    </row>
    <row r="991" ht="15.0" customHeight="1">
      <c r="A991" s="82" t="s">
        <v>3555</v>
      </c>
      <c r="B991" s="82" t="s">
        <v>3556</v>
      </c>
      <c r="C991" s="82" t="s">
        <v>94</v>
      </c>
      <c r="D991" s="85" t="s">
        <v>3561</v>
      </c>
      <c r="E991" s="79" t="s">
        <v>3562</v>
      </c>
      <c r="F991" s="86" t="s">
        <v>1264</v>
      </c>
      <c r="G991" s="82">
        <v>6.0</v>
      </c>
      <c r="H991" s="82">
        <v>1.0</v>
      </c>
      <c r="I991" s="82">
        <v>6.0</v>
      </c>
      <c r="J991" s="152">
        <v>50.0</v>
      </c>
      <c r="K991" s="84">
        <v>8.33</v>
      </c>
      <c r="L991" s="82" t="s">
        <v>907</v>
      </c>
    </row>
    <row r="992" ht="15.0" customHeight="1">
      <c r="A992" s="82" t="s">
        <v>3563</v>
      </c>
      <c r="B992" s="82" t="s">
        <v>3564</v>
      </c>
      <c r="C992" s="82" t="s">
        <v>94</v>
      </c>
      <c r="D992" s="85" t="s">
        <v>3565</v>
      </c>
      <c r="E992" s="79" t="s">
        <v>3566</v>
      </c>
      <c r="F992" s="86" t="s">
        <v>1264</v>
      </c>
      <c r="G992" s="82">
        <v>3.0</v>
      </c>
      <c r="H992" s="82">
        <v>1.0</v>
      </c>
      <c r="I992" s="82">
        <v>3.0</v>
      </c>
      <c r="J992" s="152">
        <v>50.0</v>
      </c>
      <c r="K992" s="84">
        <v>16.66</v>
      </c>
      <c r="L992" s="82" t="s">
        <v>907</v>
      </c>
    </row>
    <row r="993" ht="15.0" customHeight="1">
      <c r="A993" s="82" t="s">
        <v>3567</v>
      </c>
      <c r="B993" s="82" t="s">
        <v>3568</v>
      </c>
      <c r="C993" s="82" t="s">
        <v>94</v>
      </c>
      <c r="D993" s="85" t="s">
        <v>3569</v>
      </c>
      <c r="E993" s="79" t="s">
        <v>3570</v>
      </c>
      <c r="F993" s="86" t="s">
        <v>1264</v>
      </c>
      <c r="G993" s="82">
        <v>5.0</v>
      </c>
      <c r="H993" s="82">
        <v>1.0</v>
      </c>
      <c r="I993" s="82">
        <v>5.0</v>
      </c>
      <c r="J993" s="152">
        <v>50.0</v>
      </c>
      <c r="K993" s="84">
        <v>5.0</v>
      </c>
      <c r="L993" s="82" t="s">
        <v>907</v>
      </c>
    </row>
    <row r="994" ht="15.0" customHeight="1">
      <c r="A994" s="82" t="s">
        <v>3567</v>
      </c>
      <c r="B994" s="82" t="s">
        <v>3568</v>
      </c>
      <c r="C994" s="82" t="s">
        <v>94</v>
      </c>
      <c r="D994" s="85" t="s">
        <v>3571</v>
      </c>
      <c r="E994" s="79" t="s">
        <v>3572</v>
      </c>
      <c r="F994" s="86" t="s">
        <v>1264</v>
      </c>
      <c r="G994" s="82">
        <v>5.0</v>
      </c>
      <c r="H994" s="82">
        <v>1.0</v>
      </c>
      <c r="I994" s="82">
        <v>5.0</v>
      </c>
      <c r="J994" s="152">
        <v>50.0</v>
      </c>
      <c r="K994" s="84">
        <v>5.0</v>
      </c>
      <c r="L994" s="82" t="s">
        <v>907</v>
      </c>
    </row>
    <row r="995" ht="15.0" customHeight="1">
      <c r="A995" s="82" t="s">
        <v>3567</v>
      </c>
      <c r="B995" s="82" t="s">
        <v>3568</v>
      </c>
      <c r="C995" s="82" t="s">
        <v>94</v>
      </c>
      <c r="D995" s="85" t="s">
        <v>3573</v>
      </c>
      <c r="E995" s="79" t="s">
        <v>3574</v>
      </c>
      <c r="F995" s="86" t="s">
        <v>1264</v>
      </c>
      <c r="G995" s="82">
        <v>5.0</v>
      </c>
      <c r="H995" s="82">
        <v>1.0</v>
      </c>
      <c r="I995" s="82">
        <v>5.0</v>
      </c>
      <c r="J995" s="152">
        <v>50.0</v>
      </c>
      <c r="K995" s="84">
        <v>5.0</v>
      </c>
      <c r="L995" s="82" t="s">
        <v>907</v>
      </c>
    </row>
    <row r="996" ht="15.0" customHeight="1">
      <c r="A996" s="82" t="s">
        <v>3567</v>
      </c>
      <c r="B996" s="82" t="s">
        <v>3568</v>
      </c>
      <c r="C996" s="82" t="s">
        <v>94</v>
      </c>
      <c r="D996" s="85" t="s">
        <v>3575</v>
      </c>
      <c r="E996" s="79" t="s">
        <v>3576</v>
      </c>
      <c r="F996" s="86" t="s">
        <v>1264</v>
      </c>
      <c r="G996" s="82">
        <v>5.0</v>
      </c>
      <c r="H996" s="82">
        <v>1.0</v>
      </c>
      <c r="I996" s="82">
        <v>5.0</v>
      </c>
      <c r="J996" s="152">
        <v>50.0</v>
      </c>
      <c r="K996" s="84">
        <v>5.0</v>
      </c>
      <c r="L996" s="82" t="s">
        <v>907</v>
      </c>
    </row>
    <row r="997" ht="15.0" customHeight="1">
      <c r="A997" s="82" t="s">
        <v>3567</v>
      </c>
      <c r="B997" s="82" t="s">
        <v>3568</v>
      </c>
      <c r="C997" s="82" t="s">
        <v>94</v>
      </c>
      <c r="D997" s="85" t="s">
        <v>3577</v>
      </c>
      <c r="E997" s="79" t="s">
        <v>3578</v>
      </c>
      <c r="F997" s="86" t="s">
        <v>1264</v>
      </c>
      <c r="G997" s="82">
        <v>5.0</v>
      </c>
      <c r="H997" s="82">
        <v>1.0</v>
      </c>
      <c r="I997" s="82">
        <v>5.0</v>
      </c>
      <c r="J997" s="152">
        <v>50.0</v>
      </c>
      <c r="K997" s="84">
        <v>5.0</v>
      </c>
      <c r="L997" s="82" t="s">
        <v>907</v>
      </c>
    </row>
    <row r="998" ht="15.0" customHeight="1">
      <c r="A998" s="82" t="s">
        <v>3579</v>
      </c>
      <c r="B998" s="82" t="s">
        <v>3580</v>
      </c>
      <c r="C998" s="82" t="s">
        <v>94</v>
      </c>
      <c r="D998" s="85" t="s">
        <v>3581</v>
      </c>
      <c r="E998" s="79" t="s">
        <v>3582</v>
      </c>
      <c r="F998" s="86" t="s">
        <v>1264</v>
      </c>
      <c r="G998" s="82">
        <v>2.0</v>
      </c>
      <c r="H998" s="82">
        <v>1.0</v>
      </c>
      <c r="I998" s="82">
        <v>2.0</v>
      </c>
      <c r="J998" s="152">
        <v>50.0</v>
      </c>
      <c r="K998" s="84">
        <f t="shared" ref="K998:K1000" si="31">J998/G998</f>
        <v>25</v>
      </c>
      <c r="L998" s="82" t="s">
        <v>907</v>
      </c>
    </row>
    <row r="999" ht="15.0" customHeight="1">
      <c r="A999" s="82" t="s">
        <v>3579</v>
      </c>
      <c r="B999" s="82" t="s">
        <v>3580</v>
      </c>
      <c r="C999" s="82" t="s">
        <v>94</v>
      </c>
      <c r="D999" s="85" t="s">
        <v>3583</v>
      </c>
      <c r="E999" s="79" t="s">
        <v>3584</v>
      </c>
      <c r="F999" s="86" t="s">
        <v>1264</v>
      </c>
      <c r="G999" s="82">
        <v>2.0</v>
      </c>
      <c r="H999" s="82">
        <v>1.0</v>
      </c>
      <c r="I999" s="82">
        <v>2.0</v>
      </c>
      <c r="J999" s="152">
        <v>50.0</v>
      </c>
      <c r="K999" s="84">
        <f t="shared" si="31"/>
        <v>25</v>
      </c>
      <c r="L999" s="82" t="s">
        <v>907</v>
      </c>
    </row>
    <row r="1000" ht="15.0" customHeight="1">
      <c r="A1000" s="82" t="s">
        <v>3579</v>
      </c>
      <c r="B1000" s="82" t="s">
        <v>3580</v>
      </c>
      <c r="C1000" s="82" t="s">
        <v>94</v>
      </c>
      <c r="D1000" s="85" t="s">
        <v>3585</v>
      </c>
      <c r="E1000" s="79" t="s">
        <v>3586</v>
      </c>
      <c r="F1000" s="86" t="s">
        <v>1264</v>
      </c>
      <c r="G1000" s="82">
        <v>2.0</v>
      </c>
      <c r="H1000" s="82">
        <v>1.0</v>
      </c>
      <c r="I1000" s="82">
        <v>2.0</v>
      </c>
      <c r="J1000" s="152">
        <v>50.0</v>
      </c>
      <c r="K1000" s="84">
        <f t="shared" si="31"/>
        <v>25</v>
      </c>
      <c r="L1000" s="82" t="s">
        <v>907</v>
      </c>
    </row>
    <row r="1001" ht="15.0" customHeight="1">
      <c r="A1001" s="82" t="s">
        <v>3587</v>
      </c>
      <c r="B1001" s="82" t="s">
        <v>3588</v>
      </c>
      <c r="C1001" s="82" t="s">
        <v>94</v>
      </c>
      <c r="D1001" s="85" t="s">
        <v>3589</v>
      </c>
      <c r="E1001" s="79" t="s">
        <v>3590</v>
      </c>
      <c r="F1001" s="86" t="s">
        <v>1264</v>
      </c>
      <c r="G1001" s="82">
        <v>2.0</v>
      </c>
      <c r="H1001" s="82">
        <v>1.0</v>
      </c>
      <c r="I1001" s="82">
        <v>4.0</v>
      </c>
      <c r="J1001" s="152">
        <v>50.0</v>
      </c>
      <c r="K1001" s="84">
        <v>12.5</v>
      </c>
      <c r="L1001" s="82" t="s">
        <v>907</v>
      </c>
    </row>
    <row r="1002" ht="15.0" customHeight="1">
      <c r="A1002" s="82" t="s">
        <v>3587</v>
      </c>
      <c r="B1002" s="82" t="s">
        <v>3588</v>
      </c>
      <c r="C1002" s="82" t="s">
        <v>94</v>
      </c>
      <c r="D1002" s="82" t="s">
        <v>3591</v>
      </c>
      <c r="E1002" s="79" t="s">
        <v>3592</v>
      </c>
      <c r="F1002" s="86" t="s">
        <v>1264</v>
      </c>
      <c r="G1002" s="82">
        <v>2.0</v>
      </c>
      <c r="H1002" s="82">
        <v>1.0</v>
      </c>
      <c r="I1002" s="82">
        <v>4.0</v>
      </c>
      <c r="J1002" s="152">
        <v>50.0</v>
      </c>
      <c r="K1002" s="84">
        <v>12.5</v>
      </c>
      <c r="L1002" s="82" t="s">
        <v>907</v>
      </c>
    </row>
    <row r="1003" ht="15.0" customHeight="1">
      <c r="A1003" s="82" t="s">
        <v>3587</v>
      </c>
      <c r="B1003" s="82" t="s">
        <v>3588</v>
      </c>
      <c r="C1003" s="82" t="s">
        <v>94</v>
      </c>
      <c r="D1003" s="85" t="s">
        <v>3593</v>
      </c>
      <c r="E1003" s="79" t="s">
        <v>3594</v>
      </c>
      <c r="F1003" s="86" t="s">
        <v>1264</v>
      </c>
      <c r="G1003" s="82">
        <v>2.0</v>
      </c>
      <c r="H1003" s="82">
        <v>1.0</v>
      </c>
      <c r="I1003" s="82">
        <v>4.0</v>
      </c>
      <c r="J1003" s="152">
        <v>50.0</v>
      </c>
      <c r="K1003" s="84">
        <v>12.5</v>
      </c>
      <c r="L1003" s="82" t="s">
        <v>907</v>
      </c>
    </row>
    <row r="1004" ht="15.0" customHeight="1">
      <c r="A1004" s="82" t="s">
        <v>3587</v>
      </c>
      <c r="B1004" s="82" t="s">
        <v>3588</v>
      </c>
      <c r="C1004" s="82" t="s">
        <v>94</v>
      </c>
      <c r="D1004" s="85" t="s">
        <v>3595</v>
      </c>
      <c r="E1004" s="79" t="s">
        <v>3596</v>
      </c>
      <c r="F1004" s="86" t="s">
        <v>1264</v>
      </c>
      <c r="G1004" s="82">
        <v>2.0</v>
      </c>
      <c r="H1004" s="82">
        <v>1.0</v>
      </c>
      <c r="I1004" s="82">
        <v>4.0</v>
      </c>
      <c r="J1004" s="152">
        <v>50.0</v>
      </c>
      <c r="K1004" s="84">
        <v>12.5</v>
      </c>
      <c r="L1004" s="82" t="s">
        <v>907</v>
      </c>
    </row>
    <row r="1005" ht="15.0" customHeight="1">
      <c r="A1005" s="82" t="s">
        <v>3597</v>
      </c>
      <c r="B1005" s="82" t="s">
        <v>3598</v>
      </c>
      <c r="C1005" s="82" t="s">
        <v>94</v>
      </c>
      <c r="D1005" s="85" t="s">
        <v>3599</v>
      </c>
      <c r="E1005" s="79" t="s">
        <v>3600</v>
      </c>
      <c r="F1005" s="86" t="s">
        <v>1264</v>
      </c>
      <c r="G1005" s="82">
        <v>4.0</v>
      </c>
      <c r="H1005" s="82">
        <v>3.0</v>
      </c>
      <c r="I1005" s="82">
        <v>6.0</v>
      </c>
      <c r="J1005" s="152">
        <v>50.0</v>
      </c>
      <c r="K1005" s="84">
        <v>6.25</v>
      </c>
      <c r="L1005" s="82" t="s">
        <v>907</v>
      </c>
    </row>
    <row r="1006" ht="15.0" customHeight="1">
      <c r="A1006" s="82" t="s">
        <v>3597</v>
      </c>
      <c r="B1006" s="82" t="s">
        <v>3598</v>
      </c>
      <c r="C1006" s="82" t="s">
        <v>94</v>
      </c>
      <c r="D1006" s="85" t="s">
        <v>3601</v>
      </c>
      <c r="E1006" s="79" t="s">
        <v>3602</v>
      </c>
      <c r="F1006" s="86" t="s">
        <v>1264</v>
      </c>
      <c r="G1006" s="82">
        <v>4.0</v>
      </c>
      <c r="H1006" s="82">
        <v>3.0</v>
      </c>
      <c r="I1006" s="82">
        <v>6.0</v>
      </c>
      <c r="J1006" s="152">
        <v>50.0</v>
      </c>
      <c r="K1006" s="84">
        <v>6.25</v>
      </c>
      <c r="L1006" s="82" t="s">
        <v>907</v>
      </c>
    </row>
    <row r="1007" ht="15.0" customHeight="1">
      <c r="A1007" s="82" t="s">
        <v>3597</v>
      </c>
      <c r="B1007" s="82" t="s">
        <v>3598</v>
      </c>
      <c r="C1007" s="82" t="s">
        <v>94</v>
      </c>
      <c r="D1007" s="85" t="s">
        <v>3603</v>
      </c>
      <c r="E1007" s="79" t="s">
        <v>3604</v>
      </c>
      <c r="F1007" s="86" t="s">
        <v>1264</v>
      </c>
      <c r="G1007" s="82">
        <v>4.0</v>
      </c>
      <c r="H1007" s="82">
        <v>3.0</v>
      </c>
      <c r="I1007" s="82">
        <v>6.0</v>
      </c>
      <c r="J1007" s="152">
        <v>50.0</v>
      </c>
      <c r="K1007" s="84">
        <v>6.25</v>
      </c>
      <c r="L1007" s="82" t="s">
        <v>907</v>
      </c>
    </row>
    <row r="1008" ht="15.0" customHeight="1">
      <c r="A1008" s="82" t="s">
        <v>3597</v>
      </c>
      <c r="B1008" s="82" t="s">
        <v>3598</v>
      </c>
      <c r="C1008" s="82" t="s">
        <v>94</v>
      </c>
      <c r="D1008" s="85" t="s">
        <v>3605</v>
      </c>
      <c r="E1008" s="79" t="s">
        <v>3606</v>
      </c>
      <c r="F1008" s="86" t="s">
        <v>1264</v>
      </c>
      <c r="G1008" s="82">
        <v>4.0</v>
      </c>
      <c r="H1008" s="82">
        <v>3.0</v>
      </c>
      <c r="I1008" s="82">
        <v>6.0</v>
      </c>
      <c r="J1008" s="152">
        <v>50.0</v>
      </c>
      <c r="K1008" s="84">
        <v>6.25</v>
      </c>
      <c r="L1008" s="82" t="s">
        <v>907</v>
      </c>
    </row>
    <row r="1009" ht="15.0" customHeight="1">
      <c r="A1009" s="82" t="s">
        <v>3607</v>
      </c>
      <c r="B1009" s="82" t="s">
        <v>3608</v>
      </c>
      <c r="C1009" s="82" t="s">
        <v>94</v>
      </c>
      <c r="D1009" s="85" t="s">
        <v>3609</v>
      </c>
      <c r="E1009" s="79" t="s">
        <v>3610</v>
      </c>
      <c r="F1009" s="86" t="s">
        <v>1264</v>
      </c>
      <c r="G1009" s="82">
        <v>2.0</v>
      </c>
      <c r="H1009" s="82">
        <v>1.0</v>
      </c>
      <c r="I1009" s="82">
        <v>2.0</v>
      </c>
      <c r="J1009" s="152">
        <v>50.0</v>
      </c>
      <c r="K1009" s="84">
        <v>12.5</v>
      </c>
      <c r="L1009" s="82" t="s">
        <v>907</v>
      </c>
    </row>
    <row r="1010" ht="15.0" customHeight="1">
      <c r="A1010" s="82" t="s">
        <v>3607</v>
      </c>
      <c r="B1010" s="82" t="s">
        <v>3611</v>
      </c>
      <c r="C1010" s="82" t="s">
        <v>94</v>
      </c>
      <c r="D1010" s="85" t="s">
        <v>3612</v>
      </c>
      <c r="E1010" s="79" t="s">
        <v>3613</v>
      </c>
      <c r="F1010" s="86" t="s">
        <v>1264</v>
      </c>
      <c r="G1010" s="82">
        <v>2.0</v>
      </c>
      <c r="H1010" s="82">
        <v>1.0</v>
      </c>
      <c r="I1010" s="82">
        <v>2.0</v>
      </c>
      <c r="J1010" s="152">
        <v>50.0</v>
      </c>
      <c r="K1010" s="84">
        <v>12.5</v>
      </c>
      <c r="L1010" s="82" t="s">
        <v>907</v>
      </c>
    </row>
    <row r="1011" ht="15.0" customHeight="1">
      <c r="A1011" s="82" t="s">
        <v>3607</v>
      </c>
      <c r="B1011" s="82" t="s">
        <v>3614</v>
      </c>
      <c r="C1011" s="82" t="s">
        <v>94</v>
      </c>
      <c r="D1011" s="85" t="s">
        <v>3615</v>
      </c>
      <c r="E1011" s="79" t="s">
        <v>3616</v>
      </c>
      <c r="F1011" s="86" t="s">
        <v>1264</v>
      </c>
      <c r="G1011" s="82">
        <v>2.0</v>
      </c>
      <c r="H1011" s="82">
        <v>1.0</v>
      </c>
      <c r="I1011" s="82">
        <v>2.0</v>
      </c>
      <c r="J1011" s="152">
        <v>50.0</v>
      </c>
      <c r="K1011" s="84">
        <v>12.5</v>
      </c>
      <c r="L1011" s="82" t="s">
        <v>907</v>
      </c>
    </row>
    <row r="1012" ht="15.0" customHeight="1">
      <c r="A1012" s="82" t="s">
        <v>3617</v>
      </c>
      <c r="B1012" s="82" t="s">
        <v>3618</v>
      </c>
      <c r="C1012" s="82" t="s">
        <v>94</v>
      </c>
      <c r="D1012" s="85" t="s">
        <v>3375</v>
      </c>
      <c r="E1012" s="79" t="s">
        <v>3376</v>
      </c>
      <c r="F1012" s="86" t="s">
        <v>1264</v>
      </c>
      <c r="G1012" s="82">
        <v>6.0</v>
      </c>
      <c r="H1012" s="82">
        <v>1.0</v>
      </c>
      <c r="I1012" s="82">
        <v>7.0</v>
      </c>
      <c r="J1012" s="152">
        <v>50.0</v>
      </c>
      <c r="K1012" s="84">
        <v>4.16</v>
      </c>
      <c r="L1012" s="82" t="s">
        <v>907</v>
      </c>
    </row>
    <row r="1013" ht="15.0" customHeight="1">
      <c r="A1013" s="82" t="s">
        <v>3617</v>
      </c>
      <c r="B1013" s="82" t="s">
        <v>3618</v>
      </c>
      <c r="C1013" s="82" t="s">
        <v>94</v>
      </c>
      <c r="D1013" s="85" t="s">
        <v>3619</v>
      </c>
      <c r="E1013" s="79" t="s">
        <v>3620</v>
      </c>
      <c r="F1013" s="86" t="s">
        <v>1264</v>
      </c>
      <c r="G1013" s="82">
        <v>6.0</v>
      </c>
      <c r="H1013" s="82">
        <v>1.0</v>
      </c>
      <c r="I1013" s="82">
        <v>7.0</v>
      </c>
      <c r="J1013" s="152">
        <v>50.0</v>
      </c>
      <c r="K1013" s="84">
        <v>4.16</v>
      </c>
      <c r="L1013" s="82" t="s">
        <v>907</v>
      </c>
    </row>
    <row r="1014" ht="15.0" customHeight="1">
      <c r="A1014" s="82" t="s">
        <v>3617</v>
      </c>
      <c r="B1014" s="82" t="s">
        <v>3618</v>
      </c>
      <c r="C1014" s="82" t="s">
        <v>94</v>
      </c>
      <c r="D1014" s="85" t="s">
        <v>3621</v>
      </c>
      <c r="E1014" s="79" t="s">
        <v>3622</v>
      </c>
      <c r="F1014" s="86" t="s">
        <v>1264</v>
      </c>
      <c r="G1014" s="82">
        <v>6.0</v>
      </c>
      <c r="H1014" s="82">
        <v>1.0</v>
      </c>
      <c r="I1014" s="82">
        <v>7.0</v>
      </c>
      <c r="J1014" s="152">
        <v>50.0</v>
      </c>
      <c r="K1014" s="84">
        <v>4.16</v>
      </c>
      <c r="L1014" s="82" t="s">
        <v>907</v>
      </c>
    </row>
    <row r="1015" ht="15.0" customHeight="1">
      <c r="A1015" s="82" t="s">
        <v>3617</v>
      </c>
      <c r="B1015" s="82" t="s">
        <v>3618</v>
      </c>
      <c r="C1015" s="82" t="s">
        <v>94</v>
      </c>
      <c r="D1015" s="85" t="s">
        <v>3623</v>
      </c>
      <c r="E1015" s="79" t="s">
        <v>3624</v>
      </c>
      <c r="F1015" s="86" t="s">
        <v>1264</v>
      </c>
      <c r="G1015" s="82">
        <v>6.0</v>
      </c>
      <c r="H1015" s="82">
        <v>1.0</v>
      </c>
      <c r="I1015" s="82">
        <v>7.0</v>
      </c>
      <c r="J1015" s="152">
        <v>50.0</v>
      </c>
      <c r="K1015" s="84">
        <v>4.16</v>
      </c>
      <c r="L1015" s="82" t="s">
        <v>907</v>
      </c>
    </row>
    <row r="1016" ht="15.0" customHeight="1">
      <c r="A1016" s="82" t="s">
        <v>3617</v>
      </c>
      <c r="B1016" s="82" t="s">
        <v>3618</v>
      </c>
      <c r="C1016" s="82" t="s">
        <v>94</v>
      </c>
      <c r="D1016" s="85" t="s">
        <v>3625</v>
      </c>
      <c r="E1016" s="79" t="s">
        <v>3626</v>
      </c>
      <c r="F1016" s="86" t="s">
        <v>1264</v>
      </c>
      <c r="G1016" s="82">
        <v>6.0</v>
      </c>
      <c r="H1016" s="82">
        <v>1.0</v>
      </c>
      <c r="I1016" s="82">
        <v>7.0</v>
      </c>
      <c r="J1016" s="152">
        <v>50.0</v>
      </c>
      <c r="K1016" s="84">
        <v>4.16</v>
      </c>
      <c r="L1016" s="82" t="s">
        <v>907</v>
      </c>
    </row>
    <row r="1017" ht="15.0" customHeight="1">
      <c r="A1017" s="82" t="s">
        <v>3617</v>
      </c>
      <c r="B1017" s="82" t="s">
        <v>3618</v>
      </c>
      <c r="C1017" s="82" t="s">
        <v>94</v>
      </c>
      <c r="D1017" s="85" t="s">
        <v>3627</v>
      </c>
      <c r="E1017" s="79" t="s">
        <v>3628</v>
      </c>
      <c r="F1017" s="86" t="s">
        <v>1264</v>
      </c>
      <c r="G1017" s="82">
        <v>6.0</v>
      </c>
      <c r="H1017" s="82">
        <v>1.0</v>
      </c>
      <c r="I1017" s="82">
        <v>7.0</v>
      </c>
      <c r="J1017" s="152">
        <v>50.0</v>
      </c>
      <c r="K1017" s="84">
        <v>4.16</v>
      </c>
      <c r="L1017" s="82" t="s">
        <v>907</v>
      </c>
    </row>
    <row r="1018" ht="15.0" customHeight="1">
      <c r="A1018" s="82" t="s">
        <v>3617</v>
      </c>
      <c r="B1018" s="82" t="s">
        <v>3618</v>
      </c>
      <c r="C1018" s="82" t="s">
        <v>94</v>
      </c>
      <c r="D1018" s="85" t="s">
        <v>3629</v>
      </c>
      <c r="E1018" s="79" t="s">
        <v>3630</v>
      </c>
      <c r="F1018" s="86" t="s">
        <v>1264</v>
      </c>
      <c r="G1018" s="82">
        <v>6.0</v>
      </c>
      <c r="H1018" s="82">
        <v>1.0</v>
      </c>
      <c r="I1018" s="82">
        <v>7.0</v>
      </c>
      <c r="J1018" s="152">
        <v>50.0</v>
      </c>
      <c r="K1018" s="84">
        <v>4.16</v>
      </c>
      <c r="L1018" s="82" t="s">
        <v>907</v>
      </c>
    </row>
    <row r="1019" ht="15.0" customHeight="1">
      <c r="A1019" s="82" t="s">
        <v>3617</v>
      </c>
      <c r="B1019" s="82" t="s">
        <v>3618</v>
      </c>
      <c r="C1019" s="82" t="s">
        <v>94</v>
      </c>
      <c r="D1019" s="85" t="s">
        <v>3631</v>
      </c>
      <c r="E1019" s="79" t="s">
        <v>3632</v>
      </c>
      <c r="F1019" s="86" t="s">
        <v>1264</v>
      </c>
      <c r="G1019" s="82">
        <v>6.0</v>
      </c>
      <c r="H1019" s="82">
        <v>1.0</v>
      </c>
      <c r="I1019" s="82">
        <v>7.0</v>
      </c>
      <c r="J1019" s="152">
        <v>50.0</v>
      </c>
      <c r="K1019" s="84">
        <v>4.16</v>
      </c>
      <c r="L1019" s="82" t="s">
        <v>907</v>
      </c>
    </row>
    <row r="1020" ht="15.0" customHeight="1">
      <c r="A1020" s="82" t="s">
        <v>3617</v>
      </c>
      <c r="B1020" s="82" t="s">
        <v>3618</v>
      </c>
      <c r="C1020" s="82" t="s">
        <v>94</v>
      </c>
      <c r="D1020" s="85" t="s">
        <v>3633</v>
      </c>
      <c r="E1020" s="79" t="s">
        <v>3634</v>
      </c>
      <c r="F1020" s="86" t="s">
        <v>1264</v>
      </c>
      <c r="G1020" s="82">
        <v>6.0</v>
      </c>
      <c r="H1020" s="82">
        <v>1.0</v>
      </c>
      <c r="I1020" s="82">
        <v>7.0</v>
      </c>
      <c r="J1020" s="152">
        <v>50.0</v>
      </c>
      <c r="K1020" s="84">
        <v>4.16</v>
      </c>
      <c r="L1020" s="82" t="s">
        <v>907</v>
      </c>
    </row>
    <row r="1021" ht="15.0" customHeight="1">
      <c r="A1021" s="82" t="s">
        <v>3617</v>
      </c>
      <c r="B1021" s="82" t="s">
        <v>3618</v>
      </c>
      <c r="C1021" s="82" t="s">
        <v>94</v>
      </c>
      <c r="D1021" s="85" t="s">
        <v>3635</v>
      </c>
      <c r="E1021" s="79" t="s">
        <v>3636</v>
      </c>
      <c r="F1021" s="86" t="s">
        <v>1264</v>
      </c>
      <c r="G1021" s="82">
        <v>6.0</v>
      </c>
      <c r="H1021" s="82">
        <v>1.0</v>
      </c>
      <c r="I1021" s="82">
        <v>7.0</v>
      </c>
      <c r="J1021" s="152">
        <v>50.0</v>
      </c>
      <c r="K1021" s="84">
        <v>4.16</v>
      </c>
      <c r="L1021" s="82" t="s">
        <v>907</v>
      </c>
    </row>
    <row r="1022" ht="15.0" customHeight="1">
      <c r="A1022" s="82" t="s">
        <v>3637</v>
      </c>
      <c r="B1022" s="82" t="s">
        <v>3638</v>
      </c>
      <c r="C1022" s="82" t="s">
        <v>94</v>
      </c>
      <c r="D1022" s="85" t="s">
        <v>3639</v>
      </c>
      <c r="E1022" s="79" t="s">
        <v>3640</v>
      </c>
      <c r="F1022" s="86" t="s">
        <v>1264</v>
      </c>
      <c r="G1022" s="82">
        <v>3.0</v>
      </c>
      <c r="H1022" s="82">
        <v>1.0</v>
      </c>
      <c r="I1022" s="82">
        <v>3.0</v>
      </c>
      <c r="J1022" s="152">
        <v>50.0</v>
      </c>
      <c r="K1022" s="84">
        <f>J1022/G1022</f>
        <v>16.66666667</v>
      </c>
      <c r="L1022" s="82" t="s">
        <v>907</v>
      </c>
    </row>
    <row r="1023" ht="15.0" customHeight="1">
      <c r="A1023" s="82" t="s">
        <v>3641</v>
      </c>
      <c r="B1023" s="82" t="s">
        <v>3642</v>
      </c>
      <c r="C1023" s="82" t="s">
        <v>94</v>
      </c>
      <c r="D1023" s="85" t="s">
        <v>3643</v>
      </c>
      <c r="E1023" s="79" t="s">
        <v>3644</v>
      </c>
      <c r="F1023" s="86" t="s">
        <v>1264</v>
      </c>
      <c r="G1023" s="82">
        <v>2.0</v>
      </c>
      <c r="H1023" s="82">
        <v>1.0</v>
      </c>
      <c r="I1023" s="82">
        <v>2.0</v>
      </c>
      <c r="J1023" s="152">
        <v>50.0</v>
      </c>
      <c r="K1023" s="84">
        <v>12.5</v>
      </c>
      <c r="L1023" s="82" t="s">
        <v>907</v>
      </c>
    </row>
    <row r="1024" ht="15.0" customHeight="1">
      <c r="A1024" s="82" t="s">
        <v>3641</v>
      </c>
      <c r="B1024" s="82" t="s">
        <v>3642</v>
      </c>
      <c r="C1024" s="82" t="s">
        <v>94</v>
      </c>
      <c r="D1024" s="85" t="s">
        <v>3645</v>
      </c>
      <c r="E1024" s="79" t="s">
        <v>3646</v>
      </c>
      <c r="F1024" s="86" t="s">
        <v>1264</v>
      </c>
      <c r="G1024" s="82">
        <v>2.0</v>
      </c>
      <c r="H1024" s="82">
        <v>1.0</v>
      </c>
      <c r="I1024" s="82">
        <v>2.0</v>
      </c>
      <c r="J1024" s="152">
        <v>50.0</v>
      </c>
      <c r="K1024" s="84">
        <v>12.5</v>
      </c>
      <c r="L1024" s="82" t="s">
        <v>907</v>
      </c>
    </row>
    <row r="1025" ht="15.0" customHeight="1">
      <c r="A1025" s="82" t="s">
        <v>3641</v>
      </c>
      <c r="B1025" s="82" t="s">
        <v>3642</v>
      </c>
      <c r="C1025" s="82" t="s">
        <v>94</v>
      </c>
      <c r="D1025" s="85" t="s">
        <v>3647</v>
      </c>
      <c r="E1025" s="79" t="s">
        <v>3648</v>
      </c>
      <c r="F1025" s="86" t="s">
        <v>1264</v>
      </c>
      <c r="G1025" s="82">
        <v>2.0</v>
      </c>
      <c r="H1025" s="82">
        <v>1.0</v>
      </c>
      <c r="I1025" s="82">
        <v>2.0</v>
      </c>
      <c r="J1025" s="152">
        <v>50.0</v>
      </c>
      <c r="K1025" s="84">
        <v>12.5</v>
      </c>
      <c r="L1025" s="82" t="s">
        <v>907</v>
      </c>
    </row>
    <row r="1026" ht="15.0" customHeight="1">
      <c r="A1026" s="82" t="s">
        <v>3641</v>
      </c>
      <c r="B1026" s="82" t="s">
        <v>3642</v>
      </c>
      <c r="C1026" s="82" t="s">
        <v>94</v>
      </c>
      <c r="D1026" s="85" t="s">
        <v>3649</v>
      </c>
      <c r="E1026" s="79" t="s">
        <v>3650</v>
      </c>
      <c r="F1026" s="86" t="s">
        <v>1264</v>
      </c>
      <c r="G1026" s="82">
        <v>2.0</v>
      </c>
      <c r="H1026" s="82">
        <v>1.0</v>
      </c>
      <c r="I1026" s="82">
        <v>2.0</v>
      </c>
      <c r="J1026" s="152">
        <v>50.0</v>
      </c>
      <c r="K1026" s="84">
        <v>12.5</v>
      </c>
      <c r="L1026" s="82" t="s">
        <v>907</v>
      </c>
    </row>
    <row r="1027" ht="15.0" customHeight="1">
      <c r="A1027" s="82" t="s">
        <v>3641</v>
      </c>
      <c r="B1027" s="82" t="s">
        <v>3642</v>
      </c>
      <c r="C1027" s="82" t="s">
        <v>94</v>
      </c>
      <c r="D1027" s="85" t="s">
        <v>3651</v>
      </c>
      <c r="E1027" s="79" t="s">
        <v>3652</v>
      </c>
      <c r="F1027" s="86" t="s">
        <v>1264</v>
      </c>
      <c r="G1027" s="82">
        <v>2.0</v>
      </c>
      <c r="H1027" s="82">
        <v>1.0</v>
      </c>
      <c r="I1027" s="82">
        <v>2.0</v>
      </c>
      <c r="J1027" s="152">
        <v>50.0</v>
      </c>
      <c r="K1027" s="84">
        <v>12.5</v>
      </c>
      <c r="L1027" s="82" t="s">
        <v>907</v>
      </c>
    </row>
    <row r="1028" ht="15.0" customHeight="1">
      <c r="A1028" s="82" t="s">
        <v>3641</v>
      </c>
      <c r="B1028" s="82" t="s">
        <v>3653</v>
      </c>
      <c r="C1028" s="82" t="s">
        <v>94</v>
      </c>
      <c r="D1028" s="85" t="s">
        <v>3654</v>
      </c>
      <c r="E1028" s="79" t="s">
        <v>3655</v>
      </c>
      <c r="F1028" s="86" t="s">
        <v>1264</v>
      </c>
      <c r="G1028" s="82">
        <v>7.0</v>
      </c>
      <c r="H1028" s="82">
        <v>1.0</v>
      </c>
      <c r="I1028" s="82">
        <v>7.0</v>
      </c>
      <c r="J1028" s="152">
        <v>50.0</v>
      </c>
      <c r="K1028" s="84">
        <v>3.57</v>
      </c>
      <c r="L1028" s="82" t="s">
        <v>907</v>
      </c>
    </row>
    <row r="1029" ht="15.0" customHeight="1">
      <c r="A1029" s="82" t="s">
        <v>3641</v>
      </c>
      <c r="B1029" s="82" t="s">
        <v>3653</v>
      </c>
      <c r="C1029" s="82" t="s">
        <v>94</v>
      </c>
      <c r="D1029" s="85" t="s">
        <v>3656</v>
      </c>
      <c r="E1029" s="79" t="s">
        <v>3657</v>
      </c>
      <c r="F1029" s="86" t="s">
        <v>1264</v>
      </c>
      <c r="G1029" s="82">
        <v>7.0</v>
      </c>
      <c r="H1029" s="82">
        <v>1.0</v>
      </c>
      <c r="I1029" s="82">
        <v>7.0</v>
      </c>
      <c r="J1029" s="152">
        <v>50.0</v>
      </c>
      <c r="K1029" s="84">
        <v>3.57</v>
      </c>
      <c r="L1029" s="82" t="s">
        <v>907</v>
      </c>
    </row>
    <row r="1030" ht="15.0" customHeight="1">
      <c r="A1030" s="82" t="s">
        <v>3641</v>
      </c>
      <c r="B1030" s="82" t="s">
        <v>3653</v>
      </c>
      <c r="C1030" s="82" t="s">
        <v>94</v>
      </c>
      <c r="D1030" s="85" t="s">
        <v>3658</v>
      </c>
      <c r="E1030" s="79" t="s">
        <v>3659</v>
      </c>
      <c r="F1030" s="86" t="s">
        <v>1264</v>
      </c>
      <c r="G1030" s="82">
        <v>7.0</v>
      </c>
      <c r="H1030" s="82">
        <v>1.0</v>
      </c>
      <c r="I1030" s="82">
        <v>7.0</v>
      </c>
      <c r="J1030" s="152">
        <v>50.0</v>
      </c>
      <c r="K1030" s="84">
        <v>3.57</v>
      </c>
      <c r="L1030" s="82" t="s">
        <v>907</v>
      </c>
    </row>
    <row r="1031" ht="15.0" customHeight="1">
      <c r="A1031" s="82" t="s">
        <v>3641</v>
      </c>
      <c r="B1031" s="82" t="s">
        <v>3653</v>
      </c>
      <c r="C1031" s="82" t="s">
        <v>94</v>
      </c>
      <c r="D1031" s="85" t="s">
        <v>3660</v>
      </c>
      <c r="E1031" s="79" t="s">
        <v>3661</v>
      </c>
      <c r="F1031" s="86" t="s">
        <v>1264</v>
      </c>
      <c r="G1031" s="82">
        <v>7.0</v>
      </c>
      <c r="H1031" s="82">
        <v>1.0</v>
      </c>
      <c r="I1031" s="82">
        <v>7.0</v>
      </c>
      <c r="J1031" s="152">
        <v>50.0</v>
      </c>
      <c r="K1031" s="84">
        <v>3.57</v>
      </c>
      <c r="L1031" s="82" t="s">
        <v>907</v>
      </c>
    </row>
    <row r="1032" ht="15.0" customHeight="1">
      <c r="A1032" s="82" t="s">
        <v>3641</v>
      </c>
      <c r="B1032" s="82" t="s">
        <v>3653</v>
      </c>
      <c r="C1032" s="82" t="s">
        <v>94</v>
      </c>
      <c r="D1032" s="85" t="s">
        <v>3662</v>
      </c>
      <c r="E1032" s="79" t="s">
        <v>3663</v>
      </c>
      <c r="F1032" s="86" t="s">
        <v>1264</v>
      </c>
      <c r="G1032" s="82">
        <v>7.0</v>
      </c>
      <c r="H1032" s="82">
        <v>1.0</v>
      </c>
      <c r="I1032" s="82">
        <v>7.0</v>
      </c>
      <c r="J1032" s="152">
        <v>50.0</v>
      </c>
      <c r="K1032" s="84">
        <v>3.57</v>
      </c>
      <c r="L1032" s="82" t="s">
        <v>907</v>
      </c>
    </row>
    <row r="1033" ht="15.0" customHeight="1">
      <c r="A1033" s="82" t="s">
        <v>3641</v>
      </c>
      <c r="B1033" s="82" t="s">
        <v>3653</v>
      </c>
      <c r="C1033" s="82" t="s">
        <v>94</v>
      </c>
      <c r="D1033" s="85" t="s">
        <v>3664</v>
      </c>
      <c r="E1033" s="79" t="s">
        <v>3665</v>
      </c>
      <c r="F1033" s="86" t="s">
        <v>1264</v>
      </c>
      <c r="G1033" s="82">
        <v>7.0</v>
      </c>
      <c r="H1033" s="82">
        <v>1.0</v>
      </c>
      <c r="I1033" s="82">
        <v>7.0</v>
      </c>
      <c r="J1033" s="152">
        <v>50.0</v>
      </c>
      <c r="K1033" s="84">
        <v>3.57</v>
      </c>
      <c r="L1033" s="82" t="s">
        <v>907</v>
      </c>
    </row>
    <row r="1034" ht="15.0" customHeight="1">
      <c r="A1034" s="82" t="s">
        <v>3641</v>
      </c>
      <c r="B1034" s="82" t="s">
        <v>3653</v>
      </c>
      <c r="C1034" s="82" t="s">
        <v>94</v>
      </c>
      <c r="D1034" s="85" t="s">
        <v>3666</v>
      </c>
      <c r="E1034" s="79" t="s">
        <v>3667</v>
      </c>
      <c r="F1034" s="86" t="s">
        <v>1264</v>
      </c>
      <c r="G1034" s="82">
        <v>7.0</v>
      </c>
      <c r="H1034" s="82">
        <v>1.0</v>
      </c>
      <c r="I1034" s="82">
        <v>7.0</v>
      </c>
      <c r="J1034" s="152">
        <v>50.0</v>
      </c>
      <c r="K1034" s="84">
        <v>3.57</v>
      </c>
      <c r="L1034" s="82" t="s">
        <v>907</v>
      </c>
    </row>
    <row r="1035" ht="15.0" customHeight="1">
      <c r="A1035" s="82" t="s">
        <v>3641</v>
      </c>
      <c r="B1035" s="82" t="s">
        <v>3653</v>
      </c>
      <c r="C1035" s="82" t="s">
        <v>94</v>
      </c>
      <c r="D1035" s="85" t="s">
        <v>3668</v>
      </c>
      <c r="E1035" s="79" t="s">
        <v>3669</v>
      </c>
      <c r="F1035" s="86" t="s">
        <v>1264</v>
      </c>
      <c r="G1035" s="82">
        <v>7.0</v>
      </c>
      <c r="H1035" s="82">
        <v>1.0</v>
      </c>
      <c r="I1035" s="82">
        <v>7.0</v>
      </c>
      <c r="J1035" s="152">
        <v>50.0</v>
      </c>
      <c r="K1035" s="84">
        <v>3.57</v>
      </c>
      <c r="L1035" s="82" t="s">
        <v>907</v>
      </c>
    </row>
    <row r="1036" ht="15.0" customHeight="1">
      <c r="A1036" s="82" t="s">
        <v>3641</v>
      </c>
      <c r="B1036" s="82" t="s">
        <v>3653</v>
      </c>
      <c r="C1036" s="82" t="s">
        <v>94</v>
      </c>
      <c r="D1036" s="85" t="s">
        <v>3670</v>
      </c>
      <c r="E1036" s="79" t="s">
        <v>3671</v>
      </c>
      <c r="F1036" s="86" t="s">
        <v>1264</v>
      </c>
      <c r="G1036" s="82">
        <v>7.0</v>
      </c>
      <c r="H1036" s="82">
        <v>1.0</v>
      </c>
      <c r="I1036" s="82">
        <v>7.0</v>
      </c>
      <c r="J1036" s="152">
        <v>50.0</v>
      </c>
      <c r="K1036" s="84">
        <v>3.57</v>
      </c>
      <c r="L1036" s="82" t="s">
        <v>907</v>
      </c>
    </row>
    <row r="1037" ht="15.0" customHeight="1">
      <c r="A1037" s="82" t="s">
        <v>3641</v>
      </c>
      <c r="B1037" s="82" t="s">
        <v>3653</v>
      </c>
      <c r="C1037" s="82" t="s">
        <v>94</v>
      </c>
      <c r="D1037" s="85" t="s">
        <v>3672</v>
      </c>
      <c r="E1037" s="79" t="s">
        <v>3673</v>
      </c>
      <c r="F1037" s="86" t="s">
        <v>1264</v>
      </c>
      <c r="G1037" s="82">
        <v>7.0</v>
      </c>
      <c r="H1037" s="82">
        <v>1.0</v>
      </c>
      <c r="I1037" s="82">
        <v>7.0</v>
      </c>
      <c r="J1037" s="152">
        <v>50.0</v>
      </c>
      <c r="K1037" s="84">
        <v>3.57</v>
      </c>
      <c r="L1037" s="82" t="s">
        <v>907</v>
      </c>
    </row>
    <row r="1038" ht="15.0" customHeight="1">
      <c r="A1038" s="82" t="s">
        <v>3641</v>
      </c>
      <c r="B1038" s="82" t="s">
        <v>3653</v>
      </c>
      <c r="C1038" s="82" t="s">
        <v>94</v>
      </c>
      <c r="D1038" s="85" t="s">
        <v>3674</v>
      </c>
      <c r="E1038" s="79" t="s">
        <v>3675</v>
      </c>
      <c r="F1038" s="86" t="s">
        <v>1264</v>
      </c>
      <c r="G1038" s="82">
        <v>7.0</v>
      </c>
      <c r="H1038" s="82">
        <v>1.0</v>
      </c>
      <c r="I1038" s="82">
        <v>7.0</v>
      </c>
      <c r="J1038" s="152">
        <v>50.0</v>
      </c>
      <c r="K1038" s="84">
        <v>3.57</v>
      </c>
      <c r="L1038" s="82" t="s">
        <v>907</v>
      </c>
    </row>
    <row r="1039" ht="15.0" customHeight="1">
      <c r="A1039" s="82" t="s">
        <v>3641</v>
      </c>
      <c r="B1039" s="82" t="s">
        <v>3653</v>
      </c>
      <c r="C1039" s="82" t="s">
        <v>94</v>
      </c>
      <c r="D1039" s="85" t="s">
        <v>3676</v>
      </c>
      <c r="E1039" s="79" t="s">
        <v>3677</v>
      </c>
      <c r="F1039" s="86" t="s">
        <v>1264</v>
      </c>
      <c r="G1039" s="82">
        <v>7.0</v>
      </c>
      <c r="H1039" s="82">
        <v>1.0</v>
      </c>
      <c r="I1039" s="82">
        <v>7.0</v>
      </c>
      <c r="J1039" s="152">
        <v>50.0</v>
      </c>
      <c r="K1039" s="84">
        <v>3.57</v>
      </c>
      <c r="L1039" s="82" t="s">
        <v>907</v>
      </c>
    </row>
    <row r="1040" ht="15.0" customHeight="1">
      <c r="A1040" s="82" t="s">
        <v>3641</v>
      </c>
      <c r="B1040" s="82" t="s">
        <v>3653</v>
      </c>
      <c r="C1040" s="82" t="s">
        <v>94</v>
      </c>
      <c r="D1040" s="85" t="s">
        <v>3678</v>
      </c>
      <c r="E1040" s="79" t="s">
        <v>3679</v>
      </c>
      <c r="F1040" s="86" t="s">
        <v>1264</v>
      </c>
      <c r="G1040" s="82">
        <v>7.0</v>
      </c>
      <c r="H1040" s="82">
        <v>1.0</v>
      </c>
      <c r="I1040" s="82">
        <v>7.0</v>
      </c>
      <c r="J1040" s="152">
        <v>50.0</v>
      </c>
      <c r="K1040" s="84">
        <v>3.57</v>
      </c>
      <c r="L1040" s="82" t="s">
        <v>907</v>
      </c>
    </row>
    <row r="1041" ht="15.0" customHeight="1">
      <c r="A1041" s="82" t="s">
        <v>3680</v>
      </c>
      <c r="B1041" s="82" t="s">
        <v>3681</v>
      </c>
      <c r="C1041" s="82" t="s">
        <v>94</v>
      </c>
      <c r="D1041" s="85" t="s">
        <v>3383</v>
      </c>
      <c r="E1041" s="79" t="s">
        <v>3384</v>
      </c>
      <c r="F1041" s="86" t="s">
        <v>1264</v>
      </c>
      <c r="G1041" s="82">
        <v>3.0</v>
      </c>
      <c r="H1041" s="82">
        <v>1.0</v>
      </c>
      <c r="I1041" s="82">
        <v>3.0</v>
      </c>
      <c r="J1041" s="152">
        <v>50.0</v>
      </c>
      <c r="K1041" s="84">
        <v>16.66</v>
      </c>
      <c r="L1041" s="82" t="s">
        <v>907</v>
      </c>
    </row>
    <row r="1042" ht="15.0" customHeight="1">
      <c r="A1042" s="82" t="s">
        <v>3682</v>
      </c>
      <c r="B1042" s="82" t="s">
        <v>3683</v>
      </c>
      <c r="C1042" s="82" t="s">
        <v>94</v>
      </c>
      <c r="D1042" s="85" t="s">
        <v>3684</v>
      </c>
      <c r="E1042" s="79" t="s">
        <v>3685</v>
      </c>
      <c r="F1042" s="86" t="s">
        <v>1264</v>
      </c>
      <c r="G1042" s="82">
        <v>3.0</v>
      </c>
      <c r="H1042" s="82">
        <v>2.0</v>
      </c>
      <c r="I1042" s="82">
        <v>3.0</v>
      </c>
      <c r="J1042" s="152">
        <v>50.0</v>
      </c>
      <c r="K1042" s="84">
        <f>J1042/G1042</f>
        <v>16.66666667</v>
      </c>
      <c r="L1042" s="82" t="s">
        <v>907</v>
      </c>
    </row>
    <row r="1043" ht="15.0" customHeight="1">
      <c r="A1043" s="82" t="s">
        <v>3686</v>
      </c>
      <c r="B1043" s="82" t="s">
        <v>3687</v>
      </c>
      <c r="C1043" s="82" t="s">
        <v>94</v>
      </c>
      <c r="D1043" s="85" t="s">
        <v>3688</v>
      </c>
      <c r="E1043" s="79" t="s">
        <v>3689</v>
      </c>
      <c r="F1043" s="86" t="s">
        <v>1264</v>
      </c>
      <c r="G1043" s="82">
        <v>4.0</v>
      </c>
      <c r="H1043" s="82">
        <v>4.0</v>
      </c>
      <c r="I1043" s="82">
        <v>8.0</v>
      </c>
      <c r="J1043" s="152">
        <v>50.0</v>
      </c>
      <c r="K1043" s="84">
        <v>6.25</v>
      </c>
      <c r="L1043" s="82" t="s">
        <v>907</v>
      </c>
    </row>
    <row r="1044" ht="15.0" customHeight="1">
      <c r="A1044" s="82" t="s">
        <v>3686</v>
      </c>
      <c r="B1044" s="82" t="s">
        <v>3687</v>
      </c>
      <c r="C1044" s="82" t="s">
        <v>94</v>
      </c>
      <c r="D1044" s="85" t="s">
        <v>3690</v>
      </c>
      <c r="E1044" s="79" t="s">
        <v>3691</v>
      </c>
      <c r="F1044" s="86" t="s">
        <v>1264</v>
      </c>
      <c r="G1044" s="82">
        <v>4.0</v>
      </c>
      <c r="H1044" s="82">
        <v>4.0</v>
      </c>
      <c r="I1044" s="82">
        <v>8.0</v>
      </c>
      <c r="J1044" s="152">
        <v>50.0</v>
      </c>
      <c r="K1044" s="84">
        <v>6.25</v>
      </c>
      <c r="L1044" s="82" t="s">
        <v>907</v>
      </c>
    </row>
    <row r="1045" ht="15.0" customHeight="1">
      <c r="A1045" s="82" t="s">
        <v>3686</v>
      </c>
      <c r="B1045" s="82" t="s">
        <v>3687</v>
      </c>
      <c r="C1045" s="82" t="s">
        <v>94</v>
      </c>
      <c r="D1045" s="85" t="s">
        <v>3692</v>
      </c>
      <c r="E1045" s="79" t="s">
        <v>3693</v>
      </c>
      <c r="F1045" s="86" t="s">
        <v>1264</v>
      </c>
      <c r="G1045" s="82">
        <v>4.0</v>
      </c>
      <c r="H1045" s="82">
        <v>4.0</v>
      </c>
      <c r="I1045" s="82">
        <v>8.0</v>
      </c>
      <c r="J1045" s="152">
        <v>50.0</v>
      </c>
      <c r="K1045" s="84">
        <v>6.25</v>
      </c>
      <c r="L1045" s="82" t="s">
        <v>907</v>
      </c>
    </row>
    <row r="1046" ht="15.0" customHeight="1">
      <c r="A1046" s="82" t="s">
        <v>3686</v>
      </c>
      <c r="B1046" s="82" t="s">
        <v>3687</v>
      </c>
      <c r="C1046" s="82" t="s">
        <v>94</v>
      </c>
      <c r="D1046" s="85" t="s">
        <v>3694</v>
      </c>
      <c r="E1046" s="79" t="s">
        <v>3695</v>
      </c>
      <c r="F1046" s="86" t="s">
        <v>1264</v>
      </c>
      <c r="G1046" s="82">
        <v>4.0</v>
      </c>
      <c r="H1046" s="82">
        <v>4.0</v>
      </c>
      <c r="I1046" s="82">
        <v>8.0</v>
      </c>
      <c r="J1046" s="152">
        <v>50.0</v>
      </c>
      <c r="K1046" s="84">
        <v>6.25</v>
      </c>
      <c r="L1046" s="82" t="s">
        <v>907</v>
      </c>
    </row>
    <row r="1047" ht="15.0" customHeight="1">
      <c r="A1047" s="82" t="s">
        <v>3686</v>
      </c>
      <c r="B1047" s="82" t="s">
        <v>3687</v>
      </c>
      <c r="C1047" s="82" t="s">
        <v>94</v>
      </c>
      <c r="D1047" s="85" t="s">
        <v>3696</v>
      </c>
      <c r="E1047" s="79" t="s">
        <v>3697</v>
      </c>
      <c r="F1047" s="86" t="s">
        <v>1264</v>
      </c>
      <c r="G1047" s="82">
        <v>4.0</v>
      </c>
      <c r="H1047" s="82">
        <v>4.0</v>
      </c>
      <c r="I1047" s="82">
        <v>8.0</v>
      </c>
      <c r="J1047" s="152">
        <v>50.0</v>
      </c>
      <c r="K1047" s="84">
        <v>6.25</v>
      </c>
      <c r="L1047" s="82" t="s">
        <v>907</v>
      </c>
    </row>
    <row r="1048" ht="15.0" customHeight="1">
      <c r="A1048" s="82" t="s">
        <v>3686</v>
      </c>
      <c r="B1048" s="82" t="s">
        <v>3687</v>
      </c>
      <c r="C1048" s="82" t="s">
        <v>94</v>
      </c>
      <c r="D1048" s="85" t="s">
        <v>3698</v>
      </c>
      <c r="E1048" s="79" t="s">
        <v>3699</v>
      </c>
      <c r="F1048" s="86" t="s">
        <v>1264</v>
      </c>
      <c r="G1048" s="82">
        <v>4.0</v>
      </c>
      <c r="H1048" s="82">
        <v>4.0</v>
      </c>
      <c r="I1048" s="82">
        <v>8.0</v>
      </c>
      <c r="J1048" s="152">
        <v>50.0</v>
      </c>
      <c r="K1048" s="84">
        <v>6.25</v>
      </c>
      <c r="L1048" s="82" t="s">
        <v>907</v>
      </c>
    </row>
    <row r="1049" ht="15.0" customHeight="1">
      <c r="A1049" s="82" t="s">
        <v>3700</v>
      </c>
      <c r="B1049" s="82" t="s">
        <v>3701</v>
      </c>
      <c r="C1049" s="82" t="s">
        <v>94</v>
      </c>
      <c r="D1049" s="85" t="s">
        <v>3702</v>
      </c>
      <c r="E1049" s="79" t="s">
        <v>3703</v>
      </c>
      <c r="F1049" s="86" t="s">
        <v>1264</v>
      </c>
      <c r="G1049" s="82">
        <v>2.0</v>
      </c>
      <c r="H1049" s="82">
        <v>1.0</v>
      </c>
      <c r="I1049" s="82">
        <v>5.0</v>
      </c>
      <c r="J1049" s="152">
        <v>50.0</v>
      </c>
      <c r="K1049" s="84">
        <f t="shared" ref="K1049:K1058" si="32">J1049/G1049</f>
        <v>25</v>
      </c>
      <c r="L1049" s="82" t="s">
        <v>907</v>
      </c>
    </row>
    <row r="1050" ht="15.0" customHeight="1">
      <c r="A1050" s="82" t="s">
        <v>3700</v>
      </c>
      <c r="B1050" s="82" t="s">
        <v>3701</v>
      </c>
      <c r="C1050" s="82" t="s">
        <v>94</v>
      </c>
      <c r="D1050" s="85" t="s">
        <v>3704</v>
      </c>
      <c r="E1050" s="79" t="s">
        <v>3705</v>
      </c>
      <c r="F1050" s="86" t="s">
        <v>1264</v>
      </c>
      <c r="G1050" s="82">
        <v>2.0</v>
      </c>
      <c r="H1050" s="82">
        <v>1.0</v>
      </c>
      <c r="I1050" s="82">
        <v>5.0</v>
      </c>
      <c r="J1050" s="152">
        <v>50.0</v>
      </c>
      <c r="K1050" s="84">
        <f t="shared" si="32"/>
        <v>25</v>
      </c>
      <c r="L1050" s="82" t="s">
        <v>907</v>
      </c>
    </row>
    <row r="1051" ht="15.0" customHeight="1">
      <c r="A1051" s="82" t="s">
        <v>3700</v>
      </c>
      <c r="B1051" s="82" t="s">
        <v>3701</v>
      </c>
      <c r="C1051" s="82" t="s">
        <v>94</v>
      </c>
      <c r="D1051" s="85" t="s">
        <v>3706</v>
      </c>
      <c r="E1051" s="79" t="s">
        <v>3707</v>
      </c>
      <c r="F1051" s="86" t="s">
        <v>1264</v>
      </c>
      <c r="G1051" s="82">
        <v>2.0</v>
      </c>
      <c r="H1051" s="82">
        <v>1.0</v>
      </c>
      <c r="I1051" s="82">
        <v>5.0</v>
      </c>
      <c r="J1051" s="152">
        <v>50.0</v>
      </c>
      <c r="K1051" s="84">
        <f t="shared" si="32"/>
        <v>25</v>
      </c>
      <c r="L1051" s="82" t="s">
        <v>907</v>
      </c>
    </row>
    <row r="1052" ht="15.0" customHeight="1">
      <c r="A1052" s="82" t="s">
        <v>3700</v>
      </c>
      <c r="B1052" s="82" t="s">
        <v>3701</v>
      </c>
      <c r="C1052" s="82" t="s">
        <v>94</v>
      </c>
      <c r="D1052" s="85" t="s">
        <v>3708</v>
      </c>
      <c r="E1052" s="79" t="s">
        <v>3709</v>
      </c>
      <c r="F1052" s="86" t="s">
        <v>1264</v>
      </c>
      <c r="G1052" s="82">
        <v>2.0</v>
      </c>
      <c r="H1052" s="82">
        <v>1.0</v>
      </c>
      <c r="I1052" s="82">
        <v>5.0</v>
      </c>
      <c r="J1052" s="152">
        <v>50.0</v>
      </c>
      <c r="K1052" s="84">
        <f t="shared" si="32"/>
        <v>25</v>
      </c>
      <c r="L1052" s="82" t="s">
        <v>907</v>
      </c>
    </row>
    <row r="1053" ht="15.0" customHeight="1">
      <c r="A1053" s="82" t="s">
        <v>3700</v>
      </c>
      <c r="B1053" s="82" t="s">
        <v>3701</v>
      </c>
      <c r="C1053" s="82" t="s">
        <v>94</v>
      </c>
      <c r="D1053" s="85" t="s">
        <v>3710</v>
      </c>
      <c r="E1053" s="79" t="s">
        <v>3711</v>
      </c>
      <c r="F1053" s="86" t="s">
        <v>1264</v>
      </c>
      <c r="G1053" s="82">
        <v>2.0</v>
      </c>
      <c r="H1053" s="82">
        <v>1.0</v>
      </c>
      <c r="I1053" s="82">
        <v>5.0</v>
      </c>
      <c r="J1053" s="152">
        <v>50.0</v>
      </c>
      <c r="K1053" s="84">
        <f t="shared" si="32"/>
        <v>25</v>
      </c>
      <c r="L1053" s="82" t="s">
        <v>907</v>
      </c>
    </row>
    <row r="1054" ht="15.0" customHeight="1">
      <c r="A1054" s="82" t="s">
        <v>3700</v>
      </c>
      <c r="B1054" s="82" t="s">
        <v>3701</v>
      </c>
      <c r="C1054" s="82" t="s">
        <v>94</v>
      </c>
      <c r="D1054" s="85" t="s">
        <v>3712</v>
      </c>
      <c r="E1054" s="79" t="s">
        <v>3713</v>
      </c>
      <c r="F1054" s="86" t="s">
        <v>1264</v>
      </c>
      <c r="G1054" s="82">
        <v>2.0</v>
      </c>
      <c r="H1054" s="82">
        <v>1.0</v>
      </c>
      <c r="I1054" s="82">
        <v>5.0</v>
      </c>
      <c r="J1054" s="152">
        <v>50.0</v>
      </c>
      <c r="K1054" s="84">
        <f t="shared" si="32"/>
        <v>25</v>
      </c>
      <c r="L1054" s="82" t="s">
        <v>907</v>
      </c>
    </row>
    <row r="1055" ht="15.0" customHeight="1">
      <c r="A1055" s="82" t="s">
        <v>3700</v>
      </c>
      <c r="B1055" s="82" t="s">
        <v>3701</v>
      </c>
      <c r="C1055" s="82" t="s">
        <v>94</v>
      </c>
      <c r="D1055" s="85" t="s">
        <v>3714</v>
      </c>
      <c r="E1055" s="79" t="s">
        <v>3490</v>
      </c>
      <c r="F1055" s="86" t="s">
        <v>1264</v>
      </c>
      <c r="G1055" s="82">
        <v>2.0</v>
      </c>
      <c r="H1055" s="82">
        <v>1.0</v>
      </c>
      <c r="I1055" s="82">
        <v>5.0</v>
      </c>
      <c r="J1055" s="152">
        <v>50.0</v>
      </c>
      <c r="K1055" s="84">
        <f t="shared" si="32"/>
        <v>25</v>
      </c>
      <c r="L1055" s="82" t="s">
        <v>907</v>
      </c>
    </row>
    <row r="1056" ht="15.0" customHeight="1">
      <c r="A1056" s="82" t="s">
        <v>3700</v>
      </c>
      <c r="B1056" s="82" t="s">
        <v>3701</v>
      </c>
      <c r="C1056" s="82" t="s">
        <v>94</v>
      </c>
      <c r="D1056" s="85" t="s">
        <v>3715</v>
      </c>
      <c r="E1056" s="79" t="s">
        <v>3716</v>
      </c>
      <c r="F1056" s="86" t="s">
        <v>1264</v>
      </c>
      <c r="G1056" s="82">
        <v>2.0</v>
      </c>
      <c r="H1056" s="82">
        <v>1.0</v>
      </c>
      <c r="I1056" s="82">
        <v>5.0</v>
      </c>
      <c r="J1056" s="152">
        <v>50.0</v>
      </c>
      <c r="K1056" s="84">
        <f t="shared" si="32"/>
        <v>25</v>
      </c>
      <c r="L1056" s="82" t="s">
        <v>907</v>
      </c>
    </row>
    <row r="1057" ht="15.0" customHeight="1">
      <c r="A1057" s="82" t="s">
        <v>3700</v>
      </c>
      <c r="B1057" s="82" t="s">
        <v>3701</v>
      </c>
      <c r="C1057" s="82" t="s">
        <v>94</v>
      </c>
      <c r="D1057" s="85" t="s">
        <v>3717</v>
      </c>
      <c r="E1057" s="79" t="s">
        <v>3718</v>
      </c>
      <c r="F1057" s="86" t="s">
        <v>1264</v>
      </c>
      <c r="G1057" s="82">
        <v>2.0</v>
      </c>
      <c r="H1057" s="82">
        <v>1.0</v>
      </c>
      <c r="I1057" s="82">
        <v>5.0</v>
      </c>
      <c r="J1057" s="152">
        <v>50.0</v>
      </c>
      <c r="K1057" s="84">
        <f t="shared" si="32"/>
        <v>25</v>
      </c>
      <c r="L1057" s="82" t="s">
        <v>907</v>
      </c>
    </row>
    <row r="1058" ht="15.0" customHeight="1">
      <c r="A1058" s="82" t="s">
        <v>3700</v>
      </c>
      <c r="B1058" s="82" t="s">
        <v>3701</v>
      </c>
      <c r="C1058" s="82" t="s">
        <v>94</v>
      </c>
      <c r="D1058" s="85" t="s">
        <v>3719</v>
      </c>
      <c r="E1058" s="79" t="s">
        <v>3720</v>
      </c>
      <c r="F1058" s="86" t="s">
        <v>1264</v>
      </c>
      <c r="G1058" s="82">
        <v>2.0</v>
      </c>
      <c r="H1058" s="82">
        <v>1.0</v>
      </c>
      <c r="I1058" s="82">
        <v>5.0</v>
      </c>
      <c r="J1058" s="152">
        <v>50.0</v>
      </c>
      <c r="K1058" s="84">
        <f t="shared" si="32"/>
        <v>25</v>
      </c>
      <c r="L1058" s="82" t="s">
        <v>907</v>
      </c>
    </row>
    <row r="1059" ht="15.0" customHeight="1">
      <c r="A1059" s="82" t="s">
        <v>3721</v>
      </c>
      <c r="B1059" s="82" t="s">
        <v>3722</v>
      </c>
      <c r="C1059" s="82" t="s">
        <v>94</v>
      </c>
      <c r="D1059" s="85" t="s">
        <v>3723</v>
      </c>
      <c r="E1059" s="79" t="s">
        <v>3724</v>
      </c>
      <c r="F1059" s="86" t="s">
        <v>1264</v>
      </c>
      <c r="G1059" s="82">
        <v>3.0</v>
      </c>
      <c r="H1059" s="82">
        <v>3.0</v>
      </c>
      <c r="I1059" s="82">
        <v>5.0</v>
      </c>
      <c r="J1059" s="152">
        <v>50.0</v>
      </c>
      <c r="K1059" s="84">
        <v>8.33</v>
      </c>
      <c r="L1059" s="82" t="s">
        <v>907</v>
      </c>
    </row>
    <row r="1060" ht="15.0" customHeight="1">
      <c r="A1060" s="82" t="s">
        <v>3721</v>
      </c>
      <c r="B1060" s="82" t="s">
        <v>3722</v>
      </c>
      <c r="C1060" s="82" t="s">
        <v>94</v>
      </c>
      <c r="D1060" s="85" t="s">
        <v>3725</v>
      </c>
      <c r="E1060" s="79" t="s">
        <v>3726</v>
      </c>
      <c r="F1060" s="86" t="s">
        <v>1264</v>
      </c>
      <c r="G1060" s="82">
        <v>3.0</v>
      </c>
      <c r="H1060" s="82">
        <v>3.0</v>
      </c>
      <c r="I1060" s="82">
        <v>5.0</v>
      </c>
      <c r="J1060" s="152">
        <v>50.0</v>
      </c>
      <c r="K1060" s="84">
        <v>8.33</v>
      </c>
      <c r="L1060" s="82" t="s">
        <v>907</v>
      </c>
    </row>
    <row r="1061" ht="15.0" customHeight="1">
      <c r="A1061" s="82" t="s">
        <v>3727</v>
      </c>
      <c r="B1061" s="82" t="s">
        <v>3728</v>
      </c>
      <c r="C1061" s="82" t="s">
        <v>94</v>
      </c>
      <c r="D1061" s="85" t="s">
        <v>3729</v>
      </c>
      <c r="E1061" s="79" t="s">
        <v>3730</v>
      </c>
      <c r="F1061" s="86" t="s">
        <v>1264</v>
      </c>
      <c r="G1061" s="82">
        <v>5.0</v>
      </c>
      <c r="H1061" s="82">
        <v>1.0</v>
      </c>
      <c r="I1061" s="82">
        <v>5.0</v>
      </c>
      <c r="J1061" s="152">
        <v>50.0</v>
      </c>
      <c r="K1061" s="84">
        <v>5.0</v>
      </c>
      <c r="L1061" s="82" t="s">
        <v>907</v>
      </c>
    </row>
    <row r="1062" ht="15.0" customHeight="1">
      <c r="A1062" s="82" t="s">
        <v>3727</v>
      </c>
      <c r="B1062" s="82" t="s">
        <v>3728</v>
      </c>
      <c r="C1062" s="82" t="s">
        <v>94</v>
      </c>
      <c r="D1062" s="85" t="s">
        <v>3731</v>
      </c>
      <c r="E1062" s="79" t="s">
        <v>3732</v>
      </c>
      <c r="F1062" s="86" t="s">
        <v>1264</v>
      </c>
      <c r="G1062" s="82">
        <v>5.0</v>
      </c>
      <c r="H1062" s="82">
        <v>1.0</v>
      </c>
      <c r="I1062" s="82">
        <v>5.0</v>
      </c>
      <c r="J1062" s="152">
        <v>50.0</v>
      </c>
      <c r="K1062" s="84">
        <v>5.0</v>
      </c>
      <c r="L1062" s="82" t="s">
        <v>907</v>
      </c>
    </row>
    <row r="1063" ht="15.0" customHeight="1">
      <c r="A1063" s="82" t="s">
        <v>3733</v>
      </c>
      <c r="B1063" s="82" t="s">
        <v>3734</v>
      </c>
      <c r="C1063" s="82" t="s">
        <v>94</v>
      </c>
      <c r="D1063" s="85" t="s">
        <v>3735</v>
      </c>
      <c r="E1063" s="79" t="s">
        <v>3736</v>
      </c>
      <c r="F1063" s="86" t="s">
        <v>1264</v>
      </c>
      <c r="G1063" s="82">
        <v>6.0</v>
      </c>
      <c r="H1063" s="82">
        <v>1.0</v>
      </c>
      <c r="I1063" s="82">
        <v>6.0</v>
      </c>
      <c r="J1063" s="152">
        <v>50.0</v>
      </c>
      <c r="K1063" s="84">
        <v>4.16</v>
      </c>
      <c r="L1063" s="82" t="s">
        <v>907</v>
      </c>
    </row>
    <row r="1064" ht="15.0" customHeight="1">
      <c r="A1064" s="82" t="s">
        <v>3733</v>
      </c>
      <c r="B1064" s="82" t="s">
        <v>3734</v>
      </c>
      <c r="C1064" s="82" t="s">
        <v>94</v>
      </c>
      <c r="D1064" s="85" t="s">
        <v>3737</v>
      </c>
      <c r="E1064" s="79" t="s">
        <v>3738</v>
      </c>
      <c r="F1064" s="86" t="s">
        <v>1264</v>
      </c>
      <c r="G1064" s="82">
        <v>6.0</v>
      </c>
      <c r="H1064" s="82">
        <v>1.0</v>
      </c>
      <c r="I1064" s="82">
        <v>6.0</v>
      </c>
      <c r="J1064" s="152">
        <v>50.0</v>
      </c>
      <c r="K1064" s="84">
        <v>4.16</v>
      </c>
      <c r="L1064" s="82" t="s">
        <v>907</v>
      </c>
    </row>
    <row r="1065" ht="15.0" customHeight="1">
      <c r="A1065" s="82" t="s">
        <v>3733</v>
      </c>
      <c r="B1065" s="82" t="s">
        <v>3734</v>
      </c>
      <c r="C1065" s="82" t="s">
        <v>94</v>
      </c>
      <c r="D1065" s="85" t="s">
        <v>3739</v>
      </c>
      <c r="E1065" s="79" t="s">
        <v>3740</v>
      </c>
      <c r="F1065" s="86" t="s">
        <v>1264</v>
      </c>
      <c r="G1065" s="82">
        <v>6.0</v>
      </c>
      <c r="H1065" s="82">
        <v>1.0</v>
      </c>
      <c r="I1065" s="82">
        <v>6.0</v>
      </c>
      <c r="J1065" s="152">
        <v>50.0</v>
      </c>
      <c r="K1065" s="84">
        <v>4.16</v>
      </c>
      <c r="L1065" s="82" t="s">
        <v>907</v>
      </c>
    </row>
    <row r="1066" ht="15.0" customHeight="1">
      <c r="A1066" s="82" t="s">
        <v>3733</v>
      </c>
      <c r="B1066" s="82" t="s">
        <v>3734</v>
      </c>
      <c r="C1066" s="82" t="s">
        <v>94</v>
      </c>
      <c r="D1066" s="85" t="s">
        <v>3741</v>
      </c>
      <c r="E1066" s="79" t="s">
        <v>3742</v>
      </c>
      <c r="F1066" s="86" t="s">
        <v>1264</v>
      </c>
      <c r="G1066" s="82">
        <v>6.0</v>
      </c>
      <c r="H1066" s="82">
        <v>1.0</v>
      </c>
      <c r="I1066" s="82">
        <v>6.0</v>
      </c>
      <c r="J1066" s="152">
        <v>50.0</v>
      </c>
      <c r="K1066" s="84">
        <v>4.16</v>
      </c>
      <c r="L1066" s="82" t="s">
        <v>907</v>
      </c>
    </row>
    <row r="1067" ht="15.0" customHeight="1">
      <c r="A1067" s="82" t="s">
        <v>3733</v>
      </c>
      <c r="B1067" s="82" t="s">
        <v>3734</v>
      </c>
      <c r="C1067" s="82" t="s">
        <v>94</v>
      </c>
      <c r="D1067" s="82" t="s">
        <v>3743</v>
      </c>
      <c r="E1067" s="79" t="s">
        <v>3744</v>
      </c>
      <c r="F1067" s="86" t="s">
        <v>1264</v>
      </c>
      <c r="G1067" s="82">
        <v>6.0</v>
      </c>
      <c r="H1067" s="82">
        <v>1.0</v>
      </c>
      <c r="I1067" s="82">
        <v>6.0</v>
      </c>
      <c r="J1067" s="152">
        <v>50.0</v>
      </c>
      <c r="K1067" s="84">
        <v>4.16</v>
      </c>
      <c r="L1067" s="82" t="s">
        <v>907</v>
      </c>
    </row>
    <row r="1068" ht="15.0" customHeight="1">
      <c r="A1068" s="82" t="s">
        <v>3733</v>
      </c>
      <c r="B1068" s="82" t="s">
        <v>3734</v>
      </c>
      <c r="C1068" s="82" t="s">
        <v>94</v>
      </c>
      <c r="D1068" s="85" t="s">
        <v>3745</v>
      </c>
      <c r="E1068" s="79" t="s">
        <v>3746</v>
      </c>
      <c r="F1068" s="86" t="s">
        <v>1264</v>
      </c>
      <c r="G1068" s="82">
        <v>6.0</v>
      </c>
      <c r="H1068" s="82">
        <v>1.0</v>
      </c>
      <c r="I1068" s="82">
        <v>6.0</v>
      </c>
      <c r="J1068" s="152">
        <v>50.0</v>
      </c>
      <c r="K1068" s="84">
        <v>4.16</v>
      </c>
      <c r="L1068" s="82" t="s">
        <v>907</v>
      </c>
    </row>
    <row r="1069" ht="15.0" customHeight="1">
      <c r="A1069" s="82" t="s">
        <v>3733</v>
      </c>
      <c r="B1069" s="82" t="s">
        <v>3734</v>
      </c>
      <c r="C1069" s="82" t="s">
        <v>94</v>
      </c>
      <c r="D1069" s="85" t="s">
        <v>3747</v>
      </c>
      <c r="E1069" s="79" t="s">
        <v>3748</v>
      </c>
      <c r="F1069" s="86" t="s">
        <v>1264</v>
      </c>
      <c r="G1069" s="82">
        <v>6.0</v>
      </c>
      <c r="H1069" s="82">
        <v>1.0</v>
      </c>
      <c r="I1069" s="82">
        <v>6.0</v>
      </c>
      <c r="J1069" s="152">
        <v>50.0</v>
      </c>
      <c r="K1069" s="84">
        <v>4.16</v>
      </c>
      <c r="L1069" s="82" t="s">
        <v>907</v>
      </c>
    </row>
    <row r="1070" ht="15.0" customHeight="1">
      <c r="A1070" s="82" t="s">
        <v>3749</v>
      </c>
      <c r="B1070" s="82" t="s">
        <v>3750</v>
      </c>
      <c r="C1070" s="82" t="s">
        <v>94</v>
      </c>
      <c r="D1070" s="85" t="s">
        <v>3751</v>
      </c>
      <c r="E1070" s="79" t="s">
        <v>3752</v>
      </c>
      <c r="F1070" s="86" t="s">
        <v>1264</v>
      </c>
      <c r="G1070" s="82">
        <v>1.0</v>
      </c>
      <c r="H1070" s="82">
        <v>1.0</v>
      </c>
      <c r="I1070" s="82">
        <v>4.0</v>
      </c>
      <c r="J1070" s="152">
        <v>50.0</v>
      </c>
      <c r="K1070" s="84">
        <f>J1070/G1070</f>
        <v>50</v>
      </c>
      <c r="L1070" s="82" t="s">
        <v>907</v>
      </c>
    </row>
    <row r="1071" ht="15.0" customHeight="1">
      <c r="A1071" s="82" t="s">
        <v>3749</v>
      </c>
      <c r="B1071" s="82" t="s">
        <v>3750</v>
      </c>
      <c r="C1071" s="82" t="s">
        <v>94</v>
      </c>
      <c r="D1071" s="85" t="s">
        <v>3753</v>
      </c>
      <c r="E1071" s="79" t="s">
        <v>3754</v>
      </c>
      <c r="F1071" s="86" t="s">
        <v>1264</v>
      </c>
      <c r="G1071" s="82">
        <v>1.0</v>
      </c>
      <c r="H1071" s="82">
        <v>1.0</v>
      </c>
      <c r="I1071" s="82">
        <v>4.0</v>
      </c>
      <c r="J1071" s="152">
        <v>50.0</v>
      </c>
      <c r="K1071" s="84" t="s">
        <v>3755</v>
      </c>
      <c r="L1071" s="82" t="s">
        <v>907</v>
      </c>
    </row>
    <row r="1072" ht="15.0" customHeight="1">
      <c r="A1072" s="82" t="s">
        <v>3749</v>
      </c>
      <c r="B1072" s="82" t="s">
        <v>3750</v>
      </c>
      <c r="C1072" s="82" t="s">
        <v>94</v>
      </c>
      <c r="D1072" s="85" t="s">
        <v>3756</v>
      </c>
      <c r="E1072" s="79" t="s">
        <v>3757</v>
      </c>
      <c r="F1072" s="86" t="s">
        <v>1264</v>
      </c>
      <c r="G1072" s="82">
        <v>1.0</v>
      </c>
      <c r="H1072" s="82">
        <v>1.0</v>
      </c>
      <c r="I1072" s="82">
        <v>4.0</v>
      </c>
      <c r="J1072" s="152">
        <v>50.0</v>
      </c>
      <c r="K1072" s="84">
        <f t="shared" ref="K1072:K1075" si="33">J1072/G1072</f>
        <v>50</v>
      </c>
      <c r="L1072" s="82" t="s">
        <v>907</v>
      </c>
    </row>
    <row r="1073" ht="15.0" customHeight="1">
      <c r="A1073" s="82" t="s">
        <v>3749</v>
      </c>
      <c r="B1073" s="82" t="s">
        <v>3750</v>
      </c>
      <c r="C1073" s="82" t="s">
        <v>94</v>
      </c>
      <c r="D1073" s="85" t="s">
        <v>3523</v>
      </c>
      <c r="E1073" s="79" t="s">
        <v>3758</v>
      </c>
      <c r="F1073" s="86" t="s">
        <v>1264</v>
      </c>
      <c r="G1073" s="82">
        <v>1.0</v>
      </c>
      <c r="H1073" s="82">
        <v>1.0</v>
      </c>
      <c r="I1073" s="82">
        <v>4.0</v>
      </c>
      <c r="J1073" s="152">
        <v>50.0</v>
      </c>
      <c r="K1073" s="84">
        <f t="shared" si="33"/>
        <v>50</v>
      </c>
      <c r="L1073" s="82" t="s">
        <v>907</v>
      </c>
    </row>
    <row r="1074" ht="15.0" customHeight="1">
      <c r="A1074" s="82" t="s">
        <v>3749</v>
      </c>
      <c r="B1074" s="82" t="s">
        <v>3750</v>
      </c>
      <c r="C1074" s="82" t="s">
        <v>94</v>
      </c>
      <c r="D1074" s="85" t="s">
        <v>3759</v>
      </c>
      <c r="E1074" s="79" t="s">
        <v>3760</v>
      </c>
      <c r="F1074" s="86" t="s">
        <v>259</v>
      </c>
      <c r="G1074" s="82">
        <v>1.0</v>
      </c>
      <c r="H1074" s="82">
        <v>1.0</v>
      </c>
      <c r="I1074" s="82">
        <v>4.0</v>
      </c>
      <c r="J1074" s="152">
        <v>50.0</v>
      </c>
      <c r="K1074" s="84">
        <f t="shared" si="33"/>
        <v>50</v>
      </c>
      <c r="L1074" s="82" t="s">
        <v>907</v>
      </c>
    </row>
    <row r="1075" ht="15.0" customHeight="1">
      <c r="A1075" s="82" t="s">
        <v>3749</v>
      </c>
      <c r="B1075" s="82" t="s">
        <v>3750</v>
      </c>
      <c r="C1075" s="82" t="s">
        <v>94</v>
      </c>
      <c r="D1075" s="85" t="s">
        <v>3761</v>
      </c>
      <c r="E1075" s="79" t="s">
        <v>3762</v>
      </c>
      <c r="F1075" s="86" t="s">
        <v>259</v>
      </c>
      <c r="G1075" s="82">
        <v>1.0</v>
      </c>
      <c r="H1075" s="82">
        <v>1.0</v>
      </c>
      <c r="I1075" s="82">
        <v>4.0</v>
      </c>
      <c r="J1075" s="152">
        <v>50.0</v>
      </c>
      <c r="K1075" s="84">
        <f t="shared" si="33"/>
        <v>50</v>
      </c>
      <c r="L1075" s="82" t="s">
        <v>907</v>
      </c>
    </row>
    <row r="1076" ht="15.0" customHeight="1">
      <c r="A1076" s="82" t="s">
        <v>3763</v>
      </c>
      <c r="B1076" s="82" t="s">
        <v>3764</v>
      </c>
      <c r="C1076" s="82" t="s">
        <v>94</v>
      </c>
      <c r="D1076" s="85" t="s">
        <v>3765</v>
      </c>
      <c r="E1076" s="79" t="s">
        <v>3766</v>
      </c>
      <c r="F1076" s="86" t="s">
        <v>1264</v>
      </c>
      <c r="G1076" s="82">
        <v>6.0</v>
      </c>
      <c r="H1076" s="82">
        <v>1.0</v>
      </c>
      <c r="I1076" s="82">
        <v>6.0</v>
      </c>
      <c r="J1076" s="152">
        <v>50.0</v>
      </c>
      <c r="K1076" s="84">
        <v>4.16</v>
      </c>
      <c r="L1076" s="82" t="s">
        <v>907</v>
      </c>
    </row>
    <row r="1077" ht="15.0" customHeight="1">
      <c r="A1077" s="82" t="s">
        <v>3763</v>
      </c>
      <c r="B1077" s="82" t="s">
        <v>3764</v>
      </c>
      <c r="C1077" s="82" t="s">
        <v>94</v>
      </c>
      <c r="D1077" s="85" t="s">
        <v>3767</v>
      </c>
      <c r="E1077" s="79" t="s">
        <v>3768</v>
      </c>
      <c r="F1077" s="86" t="s">
        <v>1264</v>
      </c>
      <c r="G1077" s="82">
        <v>6.0</v>
      </c>
      <c r="H1077" s="82">
        <v>1.0</v>
      </c>
      <c r="I1077" s="82">
        <v>6.0</v>
      </c>
      <c r="J1077" s="152">
        <v>50.0</v>
      </c>
      <c r="K1077" s="84">
        <v>4.16</v>
      </c>
      <c r="L1077" s="82" t="s">
        <v>907</v>
      </c>
    </row>
    <row r="1078" ht="15.0" customHeight="1">
      <c r="A1078" s="82" t="s">
        <v>3763</v>
      </c>
      <c r="B1078" s="82" t="s">
        <v>3764</v>
      </c>
      <c r="C1078" s="82" t="s">
        <v>94</v>
      </c>
      <c r="D1078" s="85" t="s">
        <v>3769</v>
      </c>
      <c r="E1078" s="79" t="s">
        <v>3770</v>
      </c>
      <c r="F1078" s="86" t="s">
        <v>1264</v>
      </c>
      <c r="G1078" s="82">
        <v>6.0</v>
      </c>
      <c r="H1078" s="82">
        <v>1.0</v>
      </c>
      <c r="I1078" s="82">
        <v>6.0</v>
      </c>
      <c r="J1078" s="152">
        <v>50.0</v>
      </c>
      <c r="K1078" s="84">
        <v>4.16</v>
      </c>
      <c r="L1078" s="82" t="s">
        <v>907</v>
      </c>
    </row>
    <row r="1079" ht="15.0" customHeight="1">
      <c r="A1079" s="82" t="s">
        <v>3763</v>
      </c>
      <c r="B1079" s="82" t="s">
        <v>3764</v>
      </c>
      <c r="C1079" s="82" t="s">
        <v>94</v>
      </c>
      <c r="D1079" s="85" t="s">
        <v>3771</v>
      </c>
      <c r="E1079" s="79" t="s">
        <v>3772</v>
      </c>
      <c r="F1079" s="86" t="s">
        <v>1264</v>
      </c>
      <c r="G1079" s="82">
        <v>6.0</v>
      </c>
      <c r="H1079" s="82">
        <v>1.0</v>
      </c>
      <c r="I1079" s="82">
        <v>6.0</v>
      </c>
      <c r="J1079" s="152">
        <v>50.0</v>
      </c>
      <c r="K1079" s="84">
        <v>4.16</v>
      </c>
      <c r="L1079" s="82" t="s">
        <v>907</v>
      </c>
    </row>
    <row r="1080" ht="15.0" customHeight="1">
      <c r="A1080" s="82" t="s">
        <v>3763</v>
      </c>
      <c r="B1080" s="82" t="s">
        <v>3764</v>
      </c>
      <c r="C1080" s="82" t="s">
        <v>94</v>
      </c>
      <c r="D1080" s="85" t="s">
        <v>3773</v>
      </c>
      <c r="E1080" s="79" t="s">
        <v>3774</v>
      </c>
      <c r="F1080" s="86" t="s">
        <v>1264</v>
      </c>
      <c r="G1080" s="82">
        <v>6.0</v>
      </c>
      <c r="H1080" s="82">
        <v>1.0</v>
      </c>
      <c r="I1080" s="82">
        <v>6.0</v>
      </c>
      <c r="J1080" s="152">
        <v>50.0</v>
      </c>
      <c r="K1080" s="84">
        <v>4.16</v>
      </c>
      <c r="L1080" s="82" t="s">
        <v>907</v>
      </c>
    </row>
    <row r="1081" ht="15.0" customHeight="1">
      <c r="A1081" s="82" t="s">
        <v>3763</v>
      </c>
      <c r="B1081" s="82" t="s">
        <v>3764</v>
      </c>
      <c r="C1081" s="82" t="s">
        <v>94</v>
      </c>
      <c r="D1081" s="85" t="s">
        <v>3775</v>
      </c>
      <c r="E1081" s="79" t="s">
        <v>3776</v>
      </c>
      <c r="F1081" s="86" t="s">
        <v>1264</v>
      </c>
      <c r="G1081" s="82">
        <v>6.0</v>
      </c>
      <c r="H1081" s="82">
        <v>1.0</v>
      </c>
      <c r="I1081" s="82">
        <v>6.0</v>
      </c>
      <c r="J1081" s="152">
        <v>50.0</v>
      </c>
      <c r="K1081" s="84">
        <v>4.16</v>
      </c>
      <c r="L1081" s="82" t="s">
        <v>907</v>
      </c>
    </row>
    <row r="1082" ht="15.0" customHeight="1">
      <c r="A1082" s="82" t="s">
        <v>3777</v>
      </c>
      <c r="B1082" s="82" t="s">
        <v>3778</v>
      </c>
      <c r="C1082" s="82" t="s">
        <v>94</v>
      </c>
      <c r="D1082" s="85" t="s">
        <v>3779</v>
      </c>
      <c r="E1082" s="79" t="s">
        <v>3780</v>
      </c>
      <c r="F1082" s="86" t="s">
        <v>1264</v>
      </c>
      <c r="G1082" s="82">
        <v>2.0</v>
      </c>
      <c r="H1082" s="82">
        <v>1.0</v>
      </c>
      <c r="I1082" s="82">
        <v>3.0</v>
      </c>
      <c r="J1082" s="152">
        <v>50.0</v>
      </c>
      <c r="K1082" s="84">
        <f t="shared" ref="K1082:K1094" si="34">J1082/G1082</f>
        <v>25</v>
      </c>
      <c r="L1082" s="82" t="s">
        <v>907</v>
      </c>
    </row>
    <row r="1083" ht="15.0" customHeight="1">
      <c r="A1083" s="82" t="s">
        <v>3777</v>
      </c>
      <c r="B1083" s="82" t="s">
        <v>3778</v>
      </c>
      <c r="C1083" s="82" t="s">
        <v>94</v>
      </c>
      <c r="D1083" s="85" t="s">
        <v>3781</v>
      </c>
      <c r="E1083" s="79" t="s">
        <v>3782</v>
      </c>
      <c r="F1083" s="86" t="s">
        <v>1264</v>
      </c>
      <c r="G1083" s="82">
        <v>2.0</v>
      </c>
      <c r="H1083" s="82">
        <v>1.0</v>
      </c>
      <c r="I1083" s="82">
        <v>3.0</v>
      </c>
      <c r="J1083" s="152">
        <v>50.0</v>
      </c>
      <c r="K1083" s="84">
        <f t="shared" si="34"/>
        <v>25</v>
      </c>
      <c r="L1083" s="82" t="s">
        <v>907</v>
      </c>
    </row>
    <row r="1084" ht="15.0" customHeight="1">
      <c r="A1084" s="82" t="s">
        <v>3777</v>
      </c>
      <c r="B1084" s="82" t="s">
        <v>3778</v>
      </c>
      <c r="C1084" s="82" t="s">
        <v>94</v>
      </c>
      <c r="D1084" s="85" t="s">
        <v>3783</v>
      </c>
      <c r="E1084" s="79" t="s">
        <v>3784</v>
      </c>
      <c r="F1084" s="86" t="s">
        <v>1264</v>
      </c>
      <c r="G1084" s="82">
        <v>2.0</v>
      </c>
      <c r="H1084" s="82">
        <v>1.0</v>
      </c>
      <c r="I1084" s="82">
        <v>3.0</v>
      </c>
      <c r="J1084" s="152">
        <v>50.0</v>
      </c>
      <c r="K1084" s="84">
        <f t="shared" si="34"/>
        <v>25</v>
      </c>
      <c r="L1084" s="82" t="s">
        <v>907</v>
      </c>
    </row>
    <row r="1085" ht="15.0" customHeight="1">
      <c r="A1085" s="82" t="s">
        <v>3777</v>
      </c>
      <c r="B1085" s="82" t="s">
        <v>3778</v>
      </c>
      <c r="C1085" s="82" t="s">
        <v>94</v>
      </c>
      <c r="D1085" s="85" t="s">
        <v>3785</v>
      </c>
      <c r="E1085" s="79" t="s">
        <v>3786</v>
      </c>
      <c r="F1085" s="86" t="s">
        <v>1264</v>
      </c>
      <c r="G1085" s="82">
        <v>2.0</v>
      </c>
      <c r="H1085" s="82">
        <v>1.0</v>
      </c>
      <c r="I1085" s="82">
        <v>3.0</v>
      </c>
      <c r="J1085" s="152">
        <v>50.0</v>
      </c>
      <c r="K1085" s="84">
        <f t="shared" si="34"/>
        <v>25</v>
      </c>
      <c r="L1085" s="82" t="s">
        <v>907</v>
      </c>
    </row>
    <row r="1086" ht="15.0" customHeight="1">
      <c r="A1086" s="82" t="s">
        <v>3777</v>
      </c>
      <c r="B1086" s="82" t="s">
        <v>3778</v>
      </c>
      <c r="C1086" s="82" t="s">
        <v>94</v>
      </c>
      <c r="D1086" s="85" t="s">
        <v>3787</v>
      </c>
      <c r="E1086" s="79" t="s">
        <v>3788</v>
      </c>
      <c r="F1086" s="86" t="s">
        <v>259</v>
      </c>
      <c r="G1086" s="82">
        <v>2.0</v>
      </c>
      <c r="H1086" s="82">
        <v>1.0</v>
      </c>
      <c r="I1086" s="82">
        <v>3.0</v>
      </c>
      <c r="J1086" s="152">
        <v>50.0</v>
      </c>
      <c r="K1086" s="84">
        <f t="shared" si="34"/>
        <v>25</v>
      </c>
      <c r="L1086" s="82" t="s">
        <v>907</v>
      </c>
    </row>
    <row r="1087" ht="15.0" customHeight="1">
      <c r="A1087" s="82" t="s">
        <v>3777</v>
      </c>
      <c r="B1087" s="82" t="s">
        <v>3778</v>
      </c>
      <c r="C1087" s="82" t="s">
        <v>94</v>
      </c>
      <c r="D1087" s="85" t="s">
        <v>3789</v>
      </c>
      <c r="E1087" s="79" t="s">
        <v>3790</v>
      </c>
      <c r="F1087" s="86" t="s">
        <v>259</v>
      </c>
      <c r="G1087" s="82">
        <v>2.0</v>
      </c>
      <c r="H1087" s="82">
        <v>1.0</v>
      </c>
      <c r="I1087" s="82">
        <v>3.0</v>
      </c>
      <c r="J1087" s="152">
        <v>50.0</v>
      </c>
      <c r="K1087" s="84">
        <f t="shared" si="34"/>
        <v>25</v>
      </c>
      <c r="L1087" s="82" t="s">
        <v>907</v>
      </c>
    </row>
    <row r="1088" ht="15.0" customHeight="1">
      <c r="A1088" s="82" t="s">
        <v>3791</v>
      </c>
      <c r="B1088" s="82" t="s">
        <v>2228</v>
      </c>
      <c r="C1088" s="82" t="s">
        <v>94</v>
      </c>
      <c r="D1088" s="85" t="s">
        <v>3792</v>
      </c>
      <c r="E1088" s="79" t="s">
        <v>3793</v>
      </c>
      <c r="F1088" s="86" t="s">
        <v>1264</v>
      </c>
      <c r="G1088" s="82">
        <v>4.0</v>
      </c>
      <c r="H1088" s="82">
        <v>2.0</v>
      </c>
      <c r="I1088" s="82">
        <v>6.0</v>
      </c>
      <c r="J1088" s="152">
        <v>50.0</v>
      </c>
      <c r="K1088" s="84">
        <f t="shared" si="34"/>
        <v>12.5</v>
      </c>
      <c r="L1088" s="82" t="s">
        <v>907</v>
      </c>
    </row>
    <row r="1089" ht="15.0" customHeight="1">
      <c r="A1089" s="82" t="s">
        <v>3794</v>
      </c>
      <c r="B1089" s="82" t="s">
        <v>3795</v>
      </c>
      <c r="C1089" s="82" t="s">
        <v>94</v>
      </c>
      <c r="D1089" s="85" t="s">
        <v>3796</v>
      </c>
      <c r="E1089" s="79" t="s">
        <v>3797</v>
      </c>
      <c r="F1089" s="86" t="s">
        <v>1264</v>
      </c>
      <c r="G1089" s="82">
        <v>1.0</v>
      </c>
      <c r="H1089" s="82">
        <v>1.0</v>
      </c>
      <c r="I1089" s="82">
        <v>5.0</v>
      </c>
      <c r="J1089" s="152">
        <v>50.0</v>
      </c>
      <c r="K1089" s="84">
        <f t="shared" si="34"/>
        <v>50</v>
      </c>
      <c r="L1089" s="82" t="s">
        <v>907</v>
      </c>
    </row>
    <row r="1090" ht="15.0" customHeight="1">
      <c r="A1090" s="82" t="s">
        <v>3794</v>
      </c>
      <c r="B1090" s="82" t="s">
        <v>3795</v>
      </c>
      <c r="C1090" s="82" t="s">
        <v>94</v>
      </c>
      <c r="D1090" s="85" t="s">
        <v>3798</v>
      </c>
      <c r="E1090" s="79" t="s">
        <v>3799</v>
      </c>
      <c r="F1090" s="86" t="s">
        <v>1264</v>
      </c>
      <c r="G1090" s="82">
        <v>1.0</v>
      </c>
      <c r="H1090" s="82">
        <v>1.0</v>
      </c>
      <c r="I1090" s="82">
        <v>5.0</v>
      </c>
      <c r="J1090" s="152">
        <v>50.0</v>
      </c>
      <c r="K1090" s="84">
        <f t="shared" si="34"/>
        <v>50</v>
      </c>
      <c r="L1090" s="82" t="s">
        <v>907</v>
      </c>
    </row>
    <row r="1091" ht="15.0" customHeight="1">
      <c r="A1091" s="82" t="s">
        <v>3794</v>
      </c>
      <c r="B1091" s="82" t="s">
        <v>3795</v>
      </c>
      <c r="C1091" s="82" t="s">
        <v>94</v>
      </c>
      <c r="D1091" s="85" t="s">
        <v>3517</v>
      </c>
      <c r="E1091" s="79" t="s">
        <v>3518</v>
      </c>
      <c r="F1091" s="86" t="s">
        <v>1264</v>
      </c>
      <c r="G1091" s="82">
        <v>1.0</v>
      </c>
      <c r="H1091" s="82">
        <v>1.0</v>
      </c>
      <c r="I1091" s="82">
        <v>5.0</v>
      </c>
      <c r="J1091" s="152">
        <v>50.0</v>
      </c>
      <c r="K1091" s="84">
        <f t="shared" si="34"/>
        <v>50</v>
      </c>
      <c r="L1091" s="82" t="s">
        <v>907</v>
      </c>
    </row>
    <row r="1092" ht="15.0" customHeight="1">
      <c r="A1092" s="82" t="s">
        <v>3794</v>
      </c>
      <c r="B1092" s="82" t="s">
        <v>3795</v>
      </c>
      <c r="C1092" s="82" t="s">
        <v>94</v>
      </c>
      <c r="D1092" s="85" t="s">
        <v>3533</v>
      </c>
      <c r="E1092" s="79" t="s">
        <v>3534</v>
      </c>
      <c r="F1092" s="86" t="s">
        <v>1264</v>
      </c>
      <c r="G1092" s="82">
        <v>1.0</v>
      </c>
      <c r="H1092" s="82">
        <v>1.0</v>
      </c>
      <c r="I1092" s="82">
        <v>5.0</v>
      </c>
      <c r="J1092" s="152">
        <v>50.0</v>
      </c>
      <c r="K1092" s="84">
        <f t="shared" si="34"/>
        <v>50</v>
      </c>
      <c r="L1092" s="82" t="s">
        <v>907</v>
      </c>
    </row>
    <row r="1093" ht="15.0" customHeight="1">
      <c r="A1093" s="82" t="s">
        <v>3794</v>
      </c>
      <c r="B1093" s="82" t="s">
        <v>3795</v>
      </c>
      <c r="C1093" s="82" t="s">
        <v>94</v>
      </c>
      <c r="D1093" s="85" t="s">
        <v>3800</v>
      </c>
      <c r="E1093" s="79" t="s">
        <v>3536</v>
      </c>
      <c r="F1093" s="86" t="s">
        <v>1264</v>
      </c>
      <c r="G1093" s="82">
        <v>1.0</v>
      </c>
      <c r="H1093" s="82">
        <v>1.0</v>
      </c>
      <c r="I1093" s="82">
        <v>5.0</v>
      </c>
      <c r="J1093" s="152">
        <v>50.0</v>
      </c>
      <c r="K1093" s="84">
        <f t="shared" si="34"/>
        <v>50</v>
      </c>
      <c r="L1093" s="82" t="s">
        <v>907</v>
      </c>
    </row>
    <row r="1094" ht="15.0" customHeight="1">
      <c r="A1094" s="82" t="s">
        <v>3794</v>
      </c>
      <c r="B1094" s="82" t="s">
        <v>3795</v>
      </c>
      <c r="C1094" s="82" t="s">
        <v>94</v>
      </c>
      <c r="D1094" s="85" t="s">
        <v>3801</v>
      </c>
      <c r="E1094" s="79" t="s">
        <v>3802</v>
      </c>
      <c r="F1094" s="86" t="s">
        <v>259</v>
      </c>
      <c r="G1094" s="82">
        <v>1.0</v>
      </c>
      <c r="H1094" s="82">
        <v>1.0</v>
      </c>
      <c r="I1094" s="82">
        <v>5.0</v>
      </c>
      <c r="J1094" s="152">
        <v>50.0</v>
      </c>
      <c r="K1094" s="84">
        <f t="shared" si="34"/>
        <v>50</v>
      </c>
      <c r="L1094" s="82" t="s">
        <v>907</v>
      </c>
    </row>
    <row r="1095" ht="15.0" customHeight="1">
      <c r="A1095" s="82" t="s">
        <v>3803</v>
      </c>
      <c r="B1095" s="82" t="s">
        <v>3804</v>
      </c>
      <c r="C1095" s="82" t="s">
        <v>94</v>
      </c>
      <c r="D1095" s="85" t="s">
        <v>3805</v>
      </c>
      <c r="E1095" s="79" t="s">
        <v>3806</v>
      </c>
      <c r="F1095" s="86" t="s">
        <v>1264</v>
      </c>
      <c r="G1095" s="82">
        <v>1.0</v>
      </c>
      <c r="H1095" s="82">
        <v>1.0</v>
      </c>
      <c r="I1095" s="82">
        <v>5.0</v>
      </c>
      <c r="J1095" s="152">
        <v>50.0</v>
      </c>
      <c r="K1095" s="84">
        <v>25.0</v>
      </c>
      <c r="L1095" s="82" t="s">
        <v>907</v>
      </c>
    </row>
    <row r="1096" ht="15.0" customHeight="1">
      <c r="A1096" s="82" t="s">
        <v>3803</v>
      </c>
      <c r="B1096" s="82" t="s">
        <v>3804</v>
      </c>
      <c r="C1096" s="82" t="s">
        <v>94</v>
      </c>
      <c r="D1096" s="85" t="s">
        <v>3807</v>
      </c>
      <c r="E1096" s="79" t="s">
        <v>3808</v>
      </c>
      <c r="F1096" s="86" t="s">
        <v>1264</v>
      </c>
      <c r="G1096" s="82">
        <v>1.0</v>
      </c>
      <c r="H1096" s="82">
        <v>1.0</v>
      </c>
      <c r="I1096" s="82">
        <v>5.0</v>
      </c>
      <c r="J1096" s="152">
        <v>50.0</v>
      </c>
      <c r="K1096" s="84">
        <v>25.0</v>
      </c>
      <c r="L1096" s="82" t="s">
        <v>907</v>
      </c>
    </row>
    <row r="1097" ht="15.0" customHeight="1">
      <c r="A1097" s="82" t="s">
        <v>3803</v>
      </c>
      <c r="B1097" s="82" t="s">
        <v>3804</v>
      </c>
      <c r="C1097" s="82" t="s">
        <v>94</v>
      </c>
      <c r="D1097" s="85" t="s">
        <v>3809</v>
      </c>
      <c r="E1097" s="79" t="s">
        <v>3810</v>
      </c>
      <c r="F1097" s="86" t="s">
        <v>1264</v>
      </c>
      <c r="G1097" s="82">
        <v>1.0</v>
      </c>
      <c r="H1097" s="82">
        <v>1.0</v>
      </c>
      <c r="I1097" s="82">
        <v>5.0</v>
      </c>
      <c r="J1097" s="152">
        <v>50.0</v>
      </c>
      <c r="K1097" s="84">
        <v>25.0</v>
      </c>
      <c r="L1097" s="82" t="s">
        <v>907</v>
      </c>
    </row>
    <row r="1098" ht="15.0" customHeight="1">
      <c r="A1098" s="82" t="s">
        <v>3811</v>
      </c>
      <c r="B1098" s="82" t="s">
        <v>3812</v>
      </c>
      <c r="C1098" s="82" t="s">
        <v>94</v>
      </c>
      <c r="D1098" s="85" t="s">
        <v>3813</v>
      </c>
      <c r="E1098" s="79" t="s">
        <v>3814</v>
      </c>
      <c r="F1098" s="86" t="s">
        <v>1264</v>
      </c>
      <c r="G1098" s="82">
        <v>1.0</v>
      </c>
      <c r="H1098" s="82">
        <v>1.0</v>
      </c>
      <c r="I1098" s="82">
        <v>4.0</v>
      </c>
      <c r="J1098" s="152">
        <v>50.0</v>
      </c>
      <c r="K1098" s="84">
        <f t="shared" ref="K1098:K1104" si="35">J1098/G1098</f>
        <v>50</v>
      </c>
      <c r="L1098" s="82" t="s">
        <v>907</v>
      </c>
    </row>
    <row r="1099" ht="15.0" customHeight="1">
      <c r="A1099" s="82" t="s">
        <v>3811</v>
      </c>
      <c r="B1099" s="82" t="s">
        <v>3812</v>
      </c>
      <c r="C1099" s="82" t="s">
        <v>94</v>
      </c>
      <c r="D1099" s="85" t="s">
        <v>3815</v>
      </c>
      <c r="E1099" s="79" t="s">
        <v>3816</v>
      </c>
      <c r="F1099" s="86" t="s">
        <v>1264</v>
      </c>
      <c r="G1099" s="82">
        <v>1.0</v>
      </c>
      <c r="H1099" s="82">
        <v>1.0</v>
      </c>
      <c r="I1099" s="82">
        <v>4.0</v>
      </c>
      <c r="J1099" s="152">
        <v>50.0</v>
      </c>
      <c r="K1099" s="84">
        <f t="shared" si="35"/>
        <v>50</v>
      </c>
      <c r="L1099" s="82" t="s">
        <v>907</v>
      </c>
    </row>
    <row r="1100" ht="15.0" customHeight="1">
      <c r="A1100" s="82" t="s">
        <v>3811</v>
      </c>
      <c r="B1100" s="82" t="s">
        <v>3812</v>
      </c>
      <c r="C1100" s="82" t="s">
        <v>94</v>
      </c>
      <c r="D1100" s="85" t="s">
        <v>3817</v>
      </c>
      <c r="E1100" s="79" t="s">
        <v>3818</v>
      </c>
      <c r="F1100" s="86" t="s">
        <v>1264</v>
      </c>
      <c r="G1100" s="82">
        <v>1.0</v>
      </c>
      <c r="H1100" s="82">
        <v>1.0</v>
      </c>
      <c r="I1100" s="82">
        <v>4.0</v>
      </c>
      <c r="J1100" s="152">
        <v>50.0</v>
      </c>
      <c r="K1100" s="84">
        <f t="shared" si="35"/>
        <v>50</v>
      </c>
      <c r="L1100" s="82" t="s">
        <v>907</v>
      </c>
    </row>
    <row r="1101" ht="15.0" customHeight="1">
      <c r="A1101" s="82" t="s">
        <v>3811</v>
      </c>
      <c r="B1101" s="82" t="s">
        <v>3812</v>
      </c>
      <c r="C1101" s="82" t="s">
        <v>94</v>
      </c>
      <c r="D1101" s="85" t="s">
        <v>3819</v>
      </c>
      <c r="E1101" s="79" t="s">
        <v>3820</v>
      </c>
      <c r="F1101" s="86" t="s">
        <v>1264</v>
      </c>
      <c r="G1101" s="82">
        <v>1.0</v>
      </c>
      <c r="H1101" s="82">
        <v>1.0</v>
      </c>
      <c r="I1101" s="82">
        <v>4.0</v>
      </c>
      <c r="J1101" s="152">
        <v>50.0</v>
      </c>
      <c r="K1101" s="84">
        <f t="shared" si="35"/>
        <v>50</v>
      </c>
      <c r="L1101" s="82" t="s">
        <v>907</v>
      </c>
    </row>
    <row r="1102" ht="15.0" customHeight="1">
      <c r="A1102" s="82" t="s">
        <v>3811</v>
      </c>
      <c r="B1102" s="82" t="s">
        <v>3812</v>
      </c>
      <c r="C1102" s="82" t="s">
        <v>94</v>
      </c>
      <c r="D1102" s="85" t="s">
        <v>3821</v>
      </c>
      <c r="E1102" s="79" t="s">
        <v>3822</v>
      </c>
      <c r="F1102" s="86" t="s">
        <v>1264</v>
      </c>
      <c r="G1102" s="82">
        <v>1.0</v>
      </c>
      <c r="H1102" s="82">
        <v>1.0</v>
      </c>
      <c r="I1102" s="82">
        <v>4.0</v>
      </c>
      <c r="J1102" s="152">
        <v>50.0</v>
      </c>
      <c r="K1102" s="84">
        <f t="shared" si="35"/>
        <v>50</v>
      </c>
      <c r="L1102" s="82" t="s">
        <v>907</v>
      </c>
    </row>
    <row r="1103" ht="15.0" customHeight="1">
      <c r="A1103" s="82" t="s">
        <v>3811</v>
      </c>
      <c r="B1103" s="82" t="s">
        <v>3812</v>
      </c>
      <c r="C1103" s="82" t="s">
        <v>94</v>
      </c>
      <c r="D1103" s="85" t="s">
        <v>3823</v>
      </c>
      <c r="E1103" s="79" t="s">
        <v>3824</v>
      </c>
      <c r="F1103" s="86" t="s">
        <v>1264</v>
      </c>
      <c r="G1103" s="82">
        <v>1.0</v>
      </c>
      <c r="H1103" s="82">
        <v>1.0</v>
      </c>
      <c r="I1103" s="82">
        <v>4.0</v>
      </c>
      <c r="J1103" s="152">
        <v>50.0</v>
      </c>
      <c r="K1103" s="84">
        <f t="shared" si="35"/>
        <v>50</v>
      </c>
      <c r="L1103" s="82" t="s">
        <v>907</v>
      </c>
    </row>
    <row r="1104" ht="15.0" customHeight="1">
      <c r="A1104" s="82" t="s">
        <v>3811</v>
      </c>
      <c r="B1104" s="82" t="s">
        <v>3812</v>
      </c>
      <c r="C1104" s="82" t="s">
        <v>94</v>
      </c>
      <c r="D1104" s="85" t="s">
        <v>3825</v>
      </c>
      <c r="E1104" s="79" t="s">
        <v>3826</v>
      </c>
      <c r="F1104" s="86" t="s">
        <v>259</v>
      </c>
      <c r="G1104" s="82">
        <v>1.0</v>
      </c>
      <c r="H1104" s="82">
        <v>1.0</v>
      </c>
      <c r="I1104" s="82">
        <v>4.0</v>
      </c>
      <c r="J1104" s="152">
        <v>50.0</v>
      </c>
      <c r="K1104" s="84">
        <f t="shared" si="35"/>
        <v>50</v>
      </c>
      <c r="L1104" s="82" t="s">
        <v>907</v>
      </c>
    </row>
    <row r="1105" ht="15.0" customHeight="1">
      <c r="A1105" s="82" t="s">
        <v>3827</v>
      </c>
      <c r="B1105" s="82" t="s">
        <v>3828</v>
      </c>
      <c r="C1105" s="82" t="s">
        <v>94</v>
      </c>
      <c r="D1105" s="85" t="s">
        <v>3829</v>
      </c>
      <c r="E1105" s="79" t="s">
        <v>3830</v>
      </c>
      <c r="F1105" s="86" t="s">
        <v>1264</v>
      </c>
      <c r="G1105" s="82">
        <v>6.0</v>
      </c>
      <c r="H1105" s="82">
        <v>1.0</v>
      </c>
      <c r="I1105" s="82">
        <v>7.0</v>
      </c>
      <c r="J1105" s="152">
        <v>50.0</v>
      </c>
      <c r="K1105" s="84">
        <v>4.16</v>
      </c>
      <c r="L1105" s="82" t="s">
        <v>907</v>
      </c>
    </row>
    <row r="1106" ht="15.0" customHeight="1">
      <c r="A1106" s="82" t="s">
        <v>3827</v>
      </c>
      <c r="B1106" s="82" t="s">
        <v>3828</v>
      </c>
      <c r="C1106" s="82" t="s">
        <v>94</v>
      </c>
      <c r="D1106" s="85" t="s">
        <v>3831</v>
      </c>
      <c r="E1106" s="79" t="s">
        <v>3832</v>
      </c>
      <c r="F1106" s="86" t="s">
        <v>1264</v>
      </c>
      <c r="G1106" s="82">
        <v>6.0</v>
      </c>
      <c r="H1106" s="82">
        <v>1.0</v>
      </c>
      <c r="I1106" s="82">
        <v>7.0</v>
      </c>
      <c r="J1106" s="152">
        <v>50.0</v>
      </c>
      <c r="K1106" s="84">
        <v>4.16</v>
      </c>
      <c r="L1106" s="82" t="s">
        <v>907</v>
      </c>
    </row>
    <row r="1107" ht="15.0" customHeight="1">
      <c r="A1107" s="82" t="s">
        <v>3827</v>
      </c>
      <c r="B1107" s="82" t="s">
        <v>3828</v>
      </c>
      <c r="C1107" s="82" t="s">
        <v>94</v>
      </c>
      <c r="D1107" s="85" t="s">
        <v>3833</v>
      </c>
      <c r="E1107" s="79" t="s">
        <v>3834</v>
      </c>
      <c r="F1107" s="86" t="s">
        <v>1264</v>
      </c>
      <c r="G1107" s="82">
        <v>6.0</v>
      </c>
      <c r="H1107" s="82">
        <v>1.0</v>
      </c>
      <c r="I1107" s="82">
        <v>7.0</v>
      </c>
      <c r="J1107" s="152">
        <v>50.0</v>
      </c>
      <c r="K1107" s="84">
        <v>4.16</v>
      </c>
      <c r="L1107" s="82" t="s">
        <v>907</v>
      </c>
    </row>
    <row r="1108" ht="15.0" customHeight="1">
      <c r="A1108" s="82" t="s">
        <v>3827</v>
      </c>
      <c r="B1108" s="82" t="s">
        <v>3828</v>
      </c>
      <c r="C1108" s="82" t="s">
        <v>94</v>
      </c>
      <c r="D1108" s="85" t="s">
        <v>3835</v>
      </c>
      <c r="E1108" s="79" t="s">
        <v>3836</v>
      </c>
      <c r="F1108" s="86" t="s">
        <v>1264</v>
      </c>
      <c r="G1108" s="82">
        <v>6.0</v>
      </c>
      <c r="H1108" s="82">
        <v>1.0</v>
      </c>
      <c r="I1108" s="82">
        <v>7.0</v>
      </c>
      <c r="J1108" s="152">
        <v>50.0</v>
      </c>
      <c r="K1108" s="84">
        <v>4.16</v>
      </c>
      <c r="L1108" s="82" t="s">
        <v>907</v>
      </c>
    </row>
    <row r="1109" ht="15.0" customHeight="1">
      <c r="A1109" s="82" t="s">
        <v>3827</v>
      </c>
      <c r="B1109" s="82" t="s">
        <v>3828</v>
      </c>
      <c r="C1109" s="82" t="s">
        <v>94</v>
      </c>
      <c r="D1109" s="85" t="s">
        <v>3837</v>
      </c>
      <c r="E1109" s="79" t="s">
        <v>3838</v>
      </c>
      <c r="F1109" s="86" t="s">
        <v>1264</v>
      </c>
      <c r="G1109" s="82">
        <v>6.0</v>
      </c>
      <c r="H1109" s="82">
        <v>1.0</v>
      </c>
      <c r="I1109" s="82">
        <v>7.0</v>
      </c>
      <c r="J1109" s="152">
        <v>50.0</v>
      </c>
      <c r="K1109" s="84">
        <v>4.16</v>
      </c>
      <c r="L1109" s="82" t="s">
        <v>907</v>
      </c>
    </row>
    <row r="1110" ht="15.0" customHeight="1">
      <c r="A1110" s="82" t="s">
        <v>3827</v>
      </c>
      <c r="B1110" s="82" t="s">
        <v>3828</v>
      </c>
      <c r="C1110" s="82" t="s">
        <v>94</v>
      </c>
      <c r="D1110" s="85" t="s">
        <v>3839</v>
      </c>
      <c r="E1110" s="79" t="s">
        <v>3840</v>
      </c>
      <c r="F1110" s="86" t="s">
        <v>1264</v>
      </c>
      <c r="G1110" s="82">
        <v>6.0</v>
      </c>
      <c r="H1110" s="82">
        <v>1.0</v>
      </c>
      <c r="I1110" s="82">
        <v>7.0</v>
      </c>
      <c r="J1110" s="152">
        <v>50.0</v>
      </c>
      <c r="K1110" s="84">
        <v>4.16</v>
      </c>
      <c r="L1110" s="82" t="s">
        <v>907</v>
      </c>
    </row>
    <row r="1111" ht="15.0" customHeight="1">
      <c r="A1111" s="82" t="s">
        <v>3827</v>
      </c>
      <c r="B1111" s="82" t="s">
        <v>3828</v>
      </c>
      <c r="C1111" s="82" t="s">
        <v>94</v>
      </c>
      <c r="D1111" s="85" t="s">
        <v>3841</v>
      </c>
      <c r="E1111" s="79" t="s">
        <v>3842</v>
      </c>
      <c r="F1111" s="86" t="s">
        <v>1264</v>
      </c>
      <c r="G1111" s="82">
        <v>6.0</v>
      </c>
      <c r="H1111" s="82">
        <v>1.0</v>
      </c>
      <c r="I1111" s="82">
        <v>7.0</v>
      </c>
      <c r="J1111" s="152">
        <v>50.0</v>
      </c>
      <c r="K1111" s="84">
        <v>4.16</v>
      </c>
      <c r="L1111" s="82" t="s">
        <v>907</v>
      </c>
    </row>
    <row r="1112" ht="15.0" customHeight="1">
      <c r="A1112" s="82" t="s">
        <v>3827</v>
      </c>
      <c r="B1112" s="82" t="s">
        <v>3828</v>
      </c>
      <c r="C1112" s="82" t="s">
        <v>94</v>
      </c>
      <c r="D1112" s="85" t="s">
        <v>3843</v>
      </c>
      <c r="E1112" s="79" t="s">
        <v>3844</v>
      </c>
      <c r="F1112" s="86" t="s">
        <v>1264</v>
      </c>
      <c r="G1112" s="82">
        <v>6.0</v>
      </c>
      <c r="H1112" s="82">
        <v>1.0</v>
      </c>
      <c r="I1112" s="82">
        <v>7.0</v>
      </c>
      <c r="J1112" s="152">
        <v>50.0</v>
      </c>
      <c r="K1112" s="84">
        <v>4.16</v>
      </c>
      <c r="L1112" s="82" t="s">
        <v>907</v>
      </c>
    </row>
    <row r="1113" ht="15.0" customHeight="1">
      <c r="A1113" s="82" t="s">
        <v>3845</v>
      </c>
      <c r="B1113" s="82" t="s">
        <v>3846</v>
      </c>
      <c r="C1113" s="82" t="s">
        <v>94</v>
      </c>
      <c r="D1113" s="85" t="s">
        <v>3847</v>
      </c>
      <c r="E1113" s="79" t="s">
        <v>3848</v>
      </c>
      <c r="F1113" s="86" t="s">
        <v>1264</v>
      </c>
      <c r="G1113" s="82">
        <v>2.0</v>
      </c>
      <c r="H1113" s="82">
        <v>2.0</v>
      </c>
      <c r="I1113" s="82">
        <v>2.0</v>
      </c>
      <c r="J1113" s="152">
        <v>50.0</v>
      </c>
      <c r="K1113" s="84">
        <f>J1113/G1113</f>
        <v>25</v>
      </c>
      <c r="L1113" s="82" t="s">
        <v>907</v>
      </c>
    </row>
    <row r="1114" ht="15.0" customHeight="1">
      <c r="A1114" s="82" t="s">
        <v>3845</v>
      </c>
      <c r="B1114" s="82" t="s">
        <v>3846</v>
      </c>
      <c r="C1114" s="82" t="s">
        <v>94</v>
      </c>
      <c r="D1114" s="85" t="s">
        <v>3849</v>
      </c>
      <c r="E1114" s="79" t="s">
        <v>1990</v>
      </c>
      <c r="F1114" s="86" t="s">
        <v>1264</v>
      </c>
      <c r="G1114" s="82">
        <v>2.0</v>
      </c>
      <c r="H1114" s="82">
        <v>2.0</v>
      </c>
      <c r="I1114" s="82">
        <v>2.0</v>
      </c>
      <c r="J1114" s="152">
        <v>50.0</v>
      </c>
      <c r="K1114" s="84">
        <v>25.0</v>
      </c>
      <c r="L1114" s="82" t="s">
        <v>907</v>
      </c>
    </row>
    <row r="1115" ht="15.0" customHeight="1">
      <c r="A1115" s="82" t="s">
        <v>3850</v>
      </c>
      <c r="B1115" s="82" t="s">
        <v>3851</v>
      </c>
      <c r="C1115" s="82" t="s">
        <v>94</v>
      </c>
      <c r="D1115" s="85" t="s">
        <v>3852</v>
      </c>
      <c r="E1115" s="79" t="s">
        <v>3853</v>
      </c>
      <c r="F1115" s="86" t="s">
        <v>1264</v>
      </c>
      <c r="G1115" s="82">
        <v>5.0</v>
      </c>
      <c r="H1115" s="82">
        <v>1.0</v>
      </c>
      <c r="I1115" s="82">
        <v>5.0</v>
      </c>
      <c r="J1115" s="152">
        <v>50.0</v>
      </c>
      <c r="K1115" s="84">
        <v>5.0</v>
      </c>
      <c r="L1115" s="82" t="s">
        <v>907</v>
      </c>
    </row>
    <row r="1116" ht="15.0" customHeight="1">
      <c r="A1116" s="82" t="s">
        <v>3850</v>
      </c>
      <c r="B1116" s="82" t="s">
        <v>3851</v>
      </c>
      <c r="C1116" s="82" t="s">
        <v>94</v>
      </c>
      <c r="D1116" s="85" t="s">
        <v>3854</v>
      </c>
      <c r="E1116" s="79" t="s">
        <v>3855</v>
      </c>
      <c r="F1116" s="86" t="s">
        <v>1264</v>
      </c>
      <c r="G1116" s="82">
        <v>5.0</v>
      </c>
      <c r="H1116" s="82">
        <v>1.0</v>
      </c>
      <c r="I1116" s="82">
        <v>5.0</v>
      </c>
      <c r="J1116" s="152">
        <v>50.0</v>
      </c>
      <c r="K1116" s="84">
        <v>5.0</v>
      </c>
      <c r="L1116" s="82" t="s">
        <v>907</v>
      </c>
    </row>
    <row r="1117" ht="15.0" customHeight="1">
      <c r="A1117" s="82" t="s">
        <v>3850</v>
      </c>
      <c r="B1117" s="82" t="s">
        <v>3851</v>
      </c>
      <c r="C1117" s="82" t="s">
        <v>94</v>
      </c>
      <c r="D1117" s="85" t="s">
        <v>3856</v>
      </c>
      <c r="E1117" s="79" t="s">
        <v>3857</v>
      </c>
      <c r="F1117" s="86" t="s">
        <v>1264</v>
      </c>
      <c r="G1117" s="82">
        <v>5.0</v>
      </c>
      <c r="H1117" s="82">
        <v>1.0</v>
      </c>
      <c r="I1117" s="82">
        <v>5.0</v>
      </c>
      <c r="J1117" s="152">
        <v>50.0</v>
      </c>
      <c r="K1117" s="84">
        <v>5.0</v>
      </c>
      <c r="L1117" s="82" t="s">
        <v>907</v>
      </c>
    </row>
    <row r="1118" ht="15.0" customHeight="1">
      <c r="A1118" s="82" t="s">
        <v>3850</v>
      </c>
      <c r="B1118" s="82" t="s">
        <v>3851</v>
      </c>
      <c r="C1118" s="82" t="s">
        <v>94</v>
      </c>
      <c r="D1118" s="85" t="s">
        <v>3858</v>
      </c>
      <c r="E1118" s="79" t="s">
        <v>3859</v>
      </c>
      <c r="F1118" s="86" t="s">
        <v>1264</v>
      </c>
      <c r="G1118" s="82">
        <v>5.0</v>
      </c>
      <c r="H1118" s="82">
        <v>1.0</v>
      </c>
      <c r="I1118" s="82">
        <v>5.0</v>
      </c>
      <c r="J1118" s="152">
        <v>50.0</v>
      </c>
      <c r="K1118" s="84">
        <v>5.0</v>
      </c>
      <c r="L1118" s="82" t="s">
        <v>907</v>
      </c>
    </row>
    <row r="1119" ht="15.0" customHeight="1">
      <c r="A1119" s="82" t="s">
        <v>3850</v>
      </c>
      <c r="B1119" s="82" t="s">
        <v>3860</v>
      </c>
      <c r="C1119" s="82" t="s">
        <v>94</v>
      </c>
      <c r="D1119" s="85" t="s">
        <v>3861</v>
      </c>
      <c r="E1119" s="79" t="s">
        <v>3862</v>
      </c>
      <c r="F1119" s="86" t="s">
        <v>1264</v>
      </c>
      <c r="G1119" s="82">
        <v>5.0</v>
      </c>
      <c r="H1119" s="82">
        <v>1.0</v>
      </c>
      <c r="I1119" s="82">
        <v>5.0</v>
      </c>
      <c r="J1119" s="152">
        <v>50.0</v>
      </c>
      <c r="K1119" s="84">
        <v>5.0</v>
      </c>
      <c r="L1119" s="82" t="s">
        <v>907</v>
      </c>
    </row>
    <row r="1120" ht="15.0" customHeight="1">
      <c r="A1120" s="82" t="s">
        <v>3850</v>
      </c>
      <c r="B1120" s="82" t="s">
        <v>3860</v>
      </c>
      <c r="C1120" s="82" t="s">
        <v>94</v>
      </c>
      <c r="D1120" s="85" t="s">
        <v>3863</v>
      </c>
      <c r="E1120" s="79" t="s">
        <v>3864</v>
      </c>
      <c r="F1120" s="86" t="s">
        <v>1264</v>
      </c>
      <c r="G1120" s="82">
        <v>5.0</v>
      </c>
      <c r="H1120" s="82">
        <v>1.0</v>
      </c>
      <c r="I1120" s="82">
        <v>5.0</v>
      </c>
      <c r="J1120" s="152">
        <v>50.0</v>
      </c>
      <c r="K1120" s="84">
        <v>5.0</v>
      </c>
      <c r="L1120" s="82" t="s">
        <v>907</v>
      </c>
    </row>
    <row r="1121" ht="15.0" customHeight="1">
      <c r="A1121" s="82" t="s">
        <v>3850</v>
      </c>
      <c r="B1121" s="82" t="s">
        <v>3860</v>
      </c>
      <c r="C1121" s="82" t="s">
        <v>94</v>
      </c>
      <c r="D1121" s="85" t="s">
        <v>3865</v>
      </c>
      <c r="E1121" s="79" t="s">
        <v>3866</v>
      </c>
      <c r="F1121" s="86" t="s">
        <v>1264</v>
      </c>
      <c r="G1121" s="82">
        <v>5.0</v>
      </c>
      <c r="H1121" s="82">
        <v>1.0</v>
      </c>
      <c r="I1121" s="82">
        <v>5.0</v>
      </c>
      <c r="J1121" s="152">
        <v>50.0</v>
      </c>
      <c r="K1121" s="84">
        <v>5.0</v>
      </c>
      <c r="L1121" s="82" t="s">
        <v>907</v>
      </c>
    </row>
    <row r="1122" ht="15.0" customHeight="1">
      <c r="A1122" s="82" t="s">
        <v>3850</v>
      </c>
      <c r="B1122" s="82" t="s">
        <v>3860</v>
      </c>
      <c r="C1122" s="82" t="s">
        <v>94</v>
      </c>
      <c r="D1122" s="85" t="s">
        <v>3867</v>
      </c>
      <c r="E1122" s="79" t="s">
        <v>3868</v>
      </c>
      <c r="F1122" s="86" t="s">
        <v>1264</v>
      </c>
      <c r="G1122" s="82">
        <v>5.0</v>
      </c>
      <c r="H1122" s="82">
        <v>1.0</v>
      </c>
      <c r="I1122" s="82">
        <v>5.0</v>
      </c>
      <c r="J1122" s="152">
        <v>50.0</v>
      </c>
      <c r="K1122" s="84">
        <v>5.0</v>
      </c>
      <c r="L1122" s="82" t="s">
        <v>907</v>
      </c>
    </row>
    <row r="1123" ht="15.0" customHeight="1">
      <c r="A1123" s="82" t="s">
        <v>3850</v>
      </c>
      <c r="B1123" s="82" t="s">
        <v>3860</v>
      </c>
      <c r="C1123" s="82" t="s">
        <v>94</v>
      </c>
      <c r="D1123" s="85" t="s">
        <v>3869</v>
      </c>
      <c r="E1123" s="79" t="s">
        <v>3870</v>
      </c>
      <c r="F1123" s="86" t="s">
        <v>1264</v>
      </c>
      <c r="G1123" s="82">
        <v>5.0</v>
      </c>
      <c r="H1123" s="82">
        <v>1.0</v>
      </c>
      <c r="I1123" s="82">
        <v>5.0</v>
      </c>
      <c r="J1123" s="152">
        <v>50.0</v>
      </c>
      <c r="K1123" s="84">
        <v>5.0</v>
      </c>
      <c r="L1123" s="82" t="s">
        <v>907</v>
      </c>
    </row>
    <row r="1124" ht="15.0" customHeight="1">
      <c r="A1124" s="82" t="s">
        <v>3871</v>
      </c>
      <c r="B1124" s="82" t="s">
        <v>3872</v>
      </c>
      <c r="C1124" s="82" t="s">
        <v>94</v>
      </c>
      <c r="D1124" s="85" t="s">
        <v>3873</v>
      </c>
      <c r="E1124" s="79" t="s">
        <v>3874</v>
      </c>
      <c r="F1124" s="86" t="s">
        <v>1264</v>
      </c>
      <c r="G1124" s="82">
        <v>1.0</v>
      </c>
      <c r="H1124" s="82">
        <v>1.0</v>
      </c>
      <c r="I1124" s="82">
        <v>5.0</v>
      </c>
      <c r="J1124" s="152">
        <v>50.0</v>
      </c>
      <c r="K1124" s="84">
        <f>J1124/G1124</f>
        <v>50</v>
      </c>
      <c r="L1124" s="82" t="s">
        <v>907</v>
      </c>
    </row>
    <row r="1125" ht="15.0" customHeight="1">
      <c r="A1125" s="82" t="s">
        <v>3875</v>
      </c>
      <c r="B1125" s="82" t="s">
        <v>3876</v>
      </c>
      <c r="C1125" s="82" t="s">
        <v>94</v>
      </c>
      <c r="D1125" s="85" t="s">
        <v>3877</v>
      </c>
      <c r="E1125" s="79" t="s">
        <v>3878</v>
      </c>
      <c r="F1125" s="86" t="s">
        <v>1264</v>
      </c>
      <c r="G1125" s="82">
        <v>3.0</v>
      </c>
      <c r="H1125" s="82">
        <v>1.0</v>
      </c>
      <c r="I1125" s="82">
        <v>6.0</v>
      </c>
      <c r="J1125" s="152">
        <v>50.0</v>
      </c>
      <c r="K1125" s="84">
        <v>16.66</v>
      </c>
      <c r="L1125" s="82" t="s">
        <v>907</v>
      </c>
    </row>
    <row r="1126" ht="15.0" customHeight="1">
      <c r="A1126" s="82" t="s">
        <v>3875</v>
      </c>
      <c r="B1126" s="82" t="s">
        <v>3876</v>
      </c>
      <c r="C1126" s="82" t="s">
        <v>94</v>
      </c>
      <c r="D1126" s="85" t="s">
        <v>3879</v>
      </c>
      <c r="E1126" s="79" t="s">
        <v>3880</v>
      </c>
      <c r="F1126" s="86" t="s">
        <v>1264</v>
      </c>
      <c r="G1126" s="82">
        <v>3.0</v>
      </c>
      <c r="H1126" s="82">
        <v>1.0</v>
      </c>
      <c r="I1126" s="82">
        <v>6.0</v>
      </c>
      <c r="J1126" s="152">
        <v>50.0</v>
      </c>
      <c r="K1126" s="84">
        <v>16.66</v>
      </c>
      <c r="L1126" s="82" t="s">
        <v>907</v>
      </c>
    </row>
    <row r="1127" ht="15.0" customHeight="1">
      <c r="A1127" s="82" t="s">
        <v>3875</v>
      </c>
      <c r="B1127" s="82" t="s">
        <v>3876</v>
      </c>
      <c r="C1127" s="82" t="s">
        <v>94</v>
      </c>
      <c r="D1127" s="85" t="s">
        <v>3881</v>
      </c>
      <c r="E1127" s="79"/>
      <c r="F1127" s="86" t="s">
        <v>1264</v>
      </c>
      <c r="G1127" s="82">
        <v>3.0</v>
      </c>
      <c r="H1127" s="82">
        <v>1.0</v>
      </c>
      <c r="I1127" s="82">
        <v>6.0</v>
      </c>
      <c r="J1127" s="152">
        <v>50.0</v>
      </c>
      <c r="K1127" s="84">
        <v>16.66</v>
      </c>
      <c r="L1127" s="82" t="s">
        <v>907</v>
      </c>
    </row>
    <row r="1128" ht="15.0" customHeight="1">
      <c r="A1128" s="82" t="s">
        <v>3875</v>
      </c>
      <c r="B1128" s="82" t="s">
        <v>3876</v>
      </c>
      <c r="C1128" s="82" t="s">
        <v>94</v>
      </c>
      <c r="D1128" s="85" t="s">
        <v>3882</v>
      </c>
      <c r="E1128" s="79" t="s">
        <v>3883</v>
      </c>
      <c r="F1128" s="86" t="s">
        <v>1264</v>
      </c>
      <c r="G1128" s="82">
        <v>3.0</v>
      </c>
      <c r="H1128" s="82">
        <v>1.0</v>
      </c>
      <c r="I1128" s="82">
        <v>6.0</v>
      </c>
      <c r="J1128" s="152">
        <v>50.0</v>
      </c>
      <c r="K1128" s="84">
        <v>16.66</v>
      </c>
      <c r="L1128" s="82" t="s">
        <v>907</v>
      </c>
    </row>
    <row r="1129" ht="15.0" customHeight="1">
      <c r="A1129" s="82" t="s">
        <v>3875</v>
      </c>
      <c r="B1129" s="82" t="s">
        <v>3876</v>
      </c>
      <c r="C1129" s="82" t="s">
        <v>94</v>
      </c>
      <c r="D1129" s="85" t="s">
        <v>3884</v>
      </c>
      <c r="E1129" s="79" t="s">
        <v>3885</v>
      </c>
      <c r="F1129" s="86" t="s">
        <v>1264</v>
      </c>
      <c r="G1129" s="82">
        <v>3.0</v>
      </c>
      <c r="H1129" s="82">
        <v>1.0</v>
      </c>
      <c r="I1129" s="82">
        <v>6.0</v>
      </c>
      <c r="J1129" s="152">
        <v>50.0</v>
      </c>
      <c r="K1129" s="84">
        <v>16.66</v>
      </c>
      <c r="L1129" s="82" t="s">
        <v>907</v>
      </c>
    </row>
    <row r="1130" ht="15.0" customHeight="1">
      <c r="A1130" s="82" t="s">
        <v>3875</v>
      </c>
      <c r="B1130" s="82" t="s">
        <v>1988</v>
      </c>
      <c r="C1130" s="82" t="s">
        <v>94</v>
      </c>
      <c r="D1130" s="85" t="s">
        <v>3886</v>
      </c>
      <c r="E1130" s="79" t="s">
        <v>3887</v>
      </c>
      <c r="F1130" s="86" t="s">
        <v>1264</v>
      </c>
      <c r="G1130" s="82">
        <v>2.0</v>
      </c>
      <c r="H1130" s="82">
        <v>2.0</v>
      </c>
      <c r="I1130" s="82">
        <v>2.0</v>
      </c>
      <c r="J1130" s="152">
        <v>50.0</v>
      </c>
      <c r="K1130" s="84">
        <v>12.5</v>
      </c>
      <c r="L1130" s="82" t="s">
        <v>907</v>
      </c>
    </row>
    <row r="1131" ht="15.0" customHeight="1">
      <c r="A1131" s="82" t="s">
        <v>3888</v>
      </c>
      <c r="B1131" s="82" t="s">
        <v>3889</v>
      </c>
      <c r="C1131" s="82" t="s">
        <v>94</v>
      </c>
      <c r="D1131" s="85" t="s">
        <v>3890</v>
      </c>
      <c r="E1131" s="79" t="s">
        <v>3891</v>
      </c>
      <c r="F1131" s="86" t="s">
        <v>1264</v>
      </c>
      <c r="G1131" s="82">
        <v>1.0</v>
      </c>
      <c r="H1131" s="82">
        <v>1.0</v>
      </c>
      <c r="I1131" s="82">
        <v>8.0</v>
      </c>
      <c r="J1131" s="152">
        <v>50.0</v>
      </c>
      <c r="K1131" s="84">
        <f t="shared" ref="K1131:K1134" si="36">J1131/G1131</f>
        <v>50</v>
      </c>
      <c r="L1131" s="82" t="s">
        <v>907</v>
      </c>
    </row>
    <row r="1132" ht="15.0" customHeight="1">
      <c r="A1132" s="82" t="s">
        <v>931</v>
      </c>
      <c r="B1132" s="82" t="s">
        <v>930</v>
      </c>
      <c r="C1132" s="82" t="s">
        <v>94</v>
      </c>
      <c r="D1132" s="85" t="s">
        <v>3892</v>
      </c>
      <c r="E1132" s="79" t="s">
        <v>3893</v>
      </c>
      <c r="F1132" s="86" t="s">
        <v>1264</v>
      </c>
      <c r="G1132" s="82">
        <v>4.0</v>
      </c>
      <c r="H1132" s="82">
        <v>1.0</v>
      </c>
      <c r="I1132" s="82">
        <v>4.0</v>
      </c>
      <c r="J1132" s="152">
        <v>50.0</v>
      </c>
      <c r="K1132" s="84">
        <f t="shared" si="36"/>
        <v>12.5</v>
      </c>
      <c r="L1132" s="82" t="s">
        <v>907</v>
      </c>
    </row>
    <row r="1133" ht="15.0" customHeight="1">
      <c r="A1133" s="82" t="s">
        <v>931</v>
      </c>
      <c r="B1133" s="82" t="s">
        <v>930</v>
      </c>
      <c r="C1133" s="82" t="s">
        <v>94</v>
      </c>
      <c r="D1133" s="85" t="s">
        <v>3894</v>
      </c>
      <c r="E1133" s="79" t="s">
        <v>3895</v>
      </c>
      <c r="F1133" s="86" t="s">
        <v>1264</v>
      </c>
      <c r="G1133" s="82">
        <v>4.0</v>
      </c>
      <c r="H1133" s="82">
        <v>1.0</v>
      </c>
      <c r="I1133" s="82">
        <v>4.0</v>
      </c>
      <c r="J1133" s="152">
        <v>50.0</v>
      </c>
      <c r="K1133" s="84">
        <f t="shared" si="36"/>
        <v>12.5</v>
      </c>
      <c r="L1133" s="82" t="s">
        <v>907</v>
      </c>
    </row>
    <row r="1134" ht="15.0" customHeight="1">
      <c r="A1134" s="82" t="s">
        <v>931</v>
      </c>
      <c r="B1134" s="82" t="s">
        <v>930</v>
      </c>
      <c r="C1134" s="82" t="s">
        <v>94</v>
      </c>
      <c r="D1134" s="85" t="s">
        <v>3896</v>
      </c>
      <c r="E1134" s="79" t="s">
        <v>3897</v>
      </c>
      <c r="F1134" s="86" t="s">
        <v>1264</v>
      </c>
      <c r="G1134" s="82">
        <v>4.0</v>
      </c>
      <c r="H1134" s="82">
        <v>1.0</v>
      </c>
      <c r="I1134" s="82">
        <v>4.0</v>
      </c>
      <c r="J1134" s="152">
        <v>50.0</v>
      </c>
      <c r="K1134" s="84">
        <f t="shared" si="36"/>
        <v>12.5</v>
      </c>
      <c r="L1134" s="82" t="s">
        <v>907</v>
      </c>
    </row>
    <row r="1135" ht="15.0" customHeight="1">
      <c r="A1135" s="82" t="s">
        <v>3898</v>
      </c>
      <c r="B1135" s="82" t="s">
        <v>3899</v>
      </c>
      <c r="C1135" s="82" t="s">
        <v>94</v>
      </c>
      <c r="D1135" s="85" t="s">
        <v>3900</v>
      </c>
      <c r="E1135" s="79" t="s">
        <v>3901</v>
      </c>
      <c r="F1135" s="86" t="s">
        <v>1264</v>
      </c>
      <c r="G1135" s="82">
        <v>4.0</v>
      </c>
      <c r="H1135" s="82">
        <v>3.0</v>
      </c>
      <c r="I1135" s="82">
        <v>4.0</v>
      </c>
      <c r="J1135" s="152">
        <v>50.0</v>
      </c>
      <c r="K1135" s="84">
        <v>6.25</v>
      </c>
      <c r="L1135" s="82" t="s">
        <v>907</v>
      </c>
    </row>
    <row r="1136" ht="15.0" customHeight="1">
      <c r="A1136" s="82" t="s">
        <v>3898</v>
      </c>
      <c r="B1136" s="82" t="s">
        <v>3899</v>
      </c>
      <c r="C1136" s="82" t="s">
        <v>94</v>
      </c>
      <c r="D1136" s="85" t="s">
        <v>3902</v>
      </c>
      <c r="E1136" s="79"/>
      <c r="F1136" s="86" t="s">
        <v>1264</v>
      </c>
      <c r="G1136" s="82">
        <v>4.0</v>
      </c>
      <c r="H1136" s="82">
        <v>3.0</v>
      </c>
      <c r="I1136" s="82">
        <v>4.0</v>
      </c>
      <c r="J1136" s="152">
        <v>50.0</v>
      </c>
      <c r="K1136" s="84">
        <v>6.25</v>
      </c>
      <c r="L1136" s="82" t="s">
        <v>907</v>
      </c>
    </row>
    <row r="1137" ht="15.0" customHeight="1">
      <c r="A1137" s="82" t="s">
        <v>3903</v>
      </c>
      <c r="B1137" s="82" t="s">
        <v>3904</v>
      </c>
      <c r="C1137" s="82" t="s">
        <v>94</v>
      </c>
      <c r="D1137" s="85" t="s">
        <v>3905</v>
      </c>
      <c r="E1137" s="79" t="s">
        <v>3906</v>
      </c>
      <c r="F1137" s="86" t="s">
        <v>1264</v>
      </c>
      <c r="G1137" s="82">
        <v>2.0</v>
      </c>
      <c r="H1137" s="82">
        <v>2.0</v>
      </c>
      <c r="I1137" s="82">
        <v>2.0</v>
      </c>
      <c r="J1137" s="152">
        <v>50.0</v>
      </c>
      <c r="K1137" s="84">
        <f t="shared" ref="K1137:K1141" si="37">J1137/G1137</f>
        <v>25</v>
      </c>
      <c r="L1137" s="82" t="s">
        <v>907</v>
      </c>
    </row>
    <row r="1138" ht="15.0" customHeight="1">
      <c r="A1138" s="82" t="s">
        <v>3907</v>
      </c>
      <c r="B1138" s="82" t="s">
        <v>3908</v>
      </c>
      <c r="C1138" s="82" t="s">
        <v>94</v>
      </c>
      <c r="D1138" s="85" t="s">
        <v>3909</v>
      </c>
      <c r="E1138" s="79" t="s">
        <v>3910</v>
      </c>
      <c r="F1138" s="86" t="s">
        <v>1264</v>
      </c>
      <c r="G1138" s="82">
        <v>3.0</v>
      </c>
      <c r="H1138" s="82">
        <v>2.0</v>
      </c>
      <c r="I1138" s="82">
        <v>3.0</v>
      </c>
      <c r="J1138" s="152">
        <v>50.0</v>
      </c>
      <c r="K1138" s="84">
        <f t="shared" si="37"/>
        <v>16.66666667</v>
      </c>
      <c r="L1138" s="82" t="s">
        <v>907</v>
      </c>
    </row>
    <row r="1139" ht="15.0" customHeight="1">
      <c r="A1139" s="82" t="s">
        <v>3907</v>
      </c>
      <c r="B1139" s="82" t="s">
        <v>3908</v>
      </c>
      <c r="C1139" s="82" t="s">
        <v>94</v>
      </c>
      <c r="D1139" s="85" t="s">
        <v>3911</v>
      </c>
      <c r="E1139" s="79" t="s">
        <v>3912</v>
      </c>
      <c r="F1139" s="86" t="s">
        <v>1264</v>
      </c>
      <c r="G1139" s="82">
        <v>3.0</v>
      </c>
      <c r="H1139" s="82">
        <v>2.0</v>
      </c>
      <c r="I1139" s="82">
        <v>3.0</v>
      </c>
      <c r="J1139" s="152">
        <v>50.0</v>
      </c>
      <c r="K1139" s="84">
        <f t="shared" si="37"/>
        <v>16.66666667</v>
      </c>
      <c r="L1139" s="82" t="s">
        <v>907</v>
      </c>
    </row>
    <row r="1140" ht="15.0" customHeight="1">
      <c r="A1140" s="82" t="s">
        <v>3907</v>
      </c>
      <c r="B1140" s="82" t="s">
        <v>3908</v>
      </c>
      <c r="C1140" s="82" t="s">
        <v>94</v>
      </c>
      <c r="D1140" s="85" t="s">
        <v>3913</v>
      </c>
      <c r="E1140" s="79" t="s">
        <v>3914</v>
      </c>
      <c r="F1140" s="86" t="s">
        <v>1264</v>
      </c>
      <c r="G1140" s="82">
        <v>3.0</v>
      </c>
      <c r="H1140" s="82">
        <v>2.0</v>
      </c>
      <c r="I1140" s="82">
        <v>3.0</v>
      </c>
      <c r="J1140" s="152">
        <v>50.0</v>
      </c>
      <c r="K1140" s="84">
        <f t="shared" si="37"/>
        <v>16.66666667</v>
      </c>
      <c r="L1140" s="82" t="s">
        <v>907</v>
      </c>
    </row>
    <row r="1141" ht="15.0" customHeight="1">
      <c r="A1141" s="82" t="s">
        <v>3907</v>
      </c>
      <c r="B1141" s="82" t="s">
        <v>3908</v>
      </c>
      <c r="C1141" s="82" t="s">
        <v>94</v>
      </c>
      <c r="D1141" s="85" t="s">
        <v>3915</v>
      </c>
      <c r="E1141" s="79" t="s">
        <v>3916</v>
      </c>
      <c r="F1141" s="86" t="s">
        <v>1264</v>
      </c>
      <c r="G1141" s="82">
        <v>3.0</v>
      </c>
      <c r="H1141" s="82">
        <v>2.0</v>
      </c>
      <c r="I1141" s="82">
        <v>3.0</v>
      </c>
      <c r="J1141" s="152">
        <v>50.0</v>
      </c>
      <c r="K1141" s="84">
        <f t="shared" si="37"/>
        <v>16.66666667</v>
      </c>
      <c r="L1141" s="82" t="s">
        <v>907</v>
      </c>
    </row>
    <row r="1142" ht="15.0" customHeight="1">
      <c r="A1142" s="82" t="s">
        <v>3917</v>
      </c>
      <c r="B1142" s="82" t="s">
        <v>3918</v>
      </c>
      <c r="C1142" s="82" t="s">
        <v>94</v>
      </c>
      <c r="D1142" s="85" t="s">
        <v>3919</v>
      </c>
      <c r="E1142" s="79" t="s">
        <v>3920</v>
      </c>
      <c r="F1142" s="86" t="s">
        <v>1264</v>
      </c>
      <c r="G1142" s="82">
        <v>7.0</v>
      </c>
      <c r="H1142" s="82">
        <v>1.0</v>
      </c>
      <c r="I1142" s="82">
        <v>7.0</v>
      </c>
      <c r="J1142" s="152">
        <v>50.0</v>
      </c>
      <c r="K1142" s="84">
        <v>3.57</v>
      </c>
      <c r="L1142" s="82" t="s">
        <v>907</v>
      </c>
    </row>
    <row r="1143" ht="15.0" customHeight="1">
      <c r="A1143" s="82" t="s">
        <v>3921</v>
      </c>
      <c r="B1143" s="82" t="s">
        <v>3922</v>
      </c>
      <c r="C1143" s="82" t="s">
        <v>94</v>
      </c>
      <c r="D1143" s="85" t="s">
        <v>3923</v>
      </c>
      <c r="E1143" s="79" t="s">
        <v>3924</v>
      </c>
      <c r="F1143" s="86" t="s">
        <v>1264</v>
      </c>
      <c r="G1143" s="82">
        <v>7.0</v>
      </c>
      <c r="H1143" s="82">
        <v>1.0</v>
      </c>
      <c r="I1143" s="82">
        <v>7.0</v>
      </c>
      <c r="J1143" s="152">
        <v>50.0</v>
      </c>
      <c r="K1143" s="84">
        <f t="shared" ref="K1143:K1146" si="38">J1143/G1143</f>
        <v>7.142857143</v>
      </c>
      <c r="L1143" s="82" t="s">
        <v>907</v>
      </c>
    </row>
    <row r="1144" ht="15.0" customHeight="1">
      <c r="A1144" s="82" t="s">
        <v>3921</v>
      </c>
      <c r="B1144" s="82" t="s">
        <v>3922</v>
      </c>
      <c r="C1144" s="82" t="s">
        <v>94</v>
      </c>
      <c r="D1144" s="85" t="s">
        <v>3925</v>
      </c>
      <c r="E1144" s="79" t="s">
        <v>3926</v>
      </c>
      <c r="F1144" s="86" t="s">
        <v>1264</v>
      </c>
      <c r="G1144" s="82">
        <v>7.0</v>
      </c>
      <c r="H1144" s="82">
        <v>1.0</v>
      </c>
      <c r="I1144" s="82">
        <v>7.0</v>
      </c>
      <c r="J1144" s="152">
        <v>50.0</v>
      </c>
      <c r="K1144" s="84">
        <f t="shared" si="38"/>
        <v>7.142857143</v>
      </c>
      <c r="L1144" s="82" t="s">
        <v>907</v>
      </c>
    </row>
    <row r="1145" ht="15.0" customHeight="1">
      <c r="A1145" s="82" t="s">
        <v>3921</v>
      </c>
      <c r="B1145" s="82" t="s">
        <v>3922</v>
      </c>
      <c r="C1145" s="82" t="s">
        <v>94</v>
      </c>
      <c r="D1145" s="85" t="s">
        <v>3927</v>
      </c>
      <c r="E1145" s="79" t="s">
        <v>3928</v>
      </c>
      <c r="F1145" s="86" t="s">
        <v>1264</v>
      </c>
      <c r="G1145" s="82">
        <v>7.0</v>
      </c>
      <c r="H1145" s="82">
        <v>1.0</v>
      </c>
      <c r="I1145" s="82">
        <v>7.0</v>
      </c>
      <c r="J1145" s="152">
        <v>50.0</v>
      </c>
      <c r="K1145" s="84">
        <f t="shared" si="38"/>
        <v>7.142857143</v>
      </c>
      <c r="L1145" s="82" t="s">
        <v>907</v>
      </c>
    </row>
    <row r="1146" ht="15.0" customHeight="1">
      <c r="A1146" s="82" t="s">
        <v>3929</v>
      </c>
      <c r="B1146" s="82" t="s">
        <v>3930</v>
      </c>
      <c r="C1146" s="82" t="s">
        <v>94</v>
      </c>
      <c r="D1146" s="85" t="s">
        <v>3931</v>
      </c>
      <c r="E1146" s="79" t="s">
        <v>3932</v>
      </c>
      <c r="F1146" s="86" t="s">
        <v>1264</v>
      </c>
      <c r="G1146" s="82">
        <v>1.0</v>
      </c>
      <c r="H1146" s="82">
        <v>1.0</v>
      </c>
      <c r="I1146" s="82">
        <v>4.0</v>
      </c>
      <c r="J1146" s="152">
        <v>50.0</v>
      </c>
      <c r="K1146" s="84">
        <f t="shared" si="38"/>
        <v>50</v>
      </c>
      <c r="L1146" s="82" t="s">
        <v>907</v>
      </c>
    </row>
    <row r="1147" ht="15.0" customHeight="1">
      <c r="A1147" s="82" t="s">
        <v>3933</v>
      </c>
      <c r="B1147" s="82" t="s">
        <v>3934</v>
      </c>
      <c r="C1147" s="82" t="s">
        <v>94</v>
      </c>
      <c r="D1147" s="85" t="s">
        <v>3935</v>
      </c>
      <c r="E1147" s="79" t="s">
        <v>3936</v>
      </c>
      <c r="F1147" s="86" t="s">
        <v>1264</v>
      </c>
      <c r="G1147" s="82">
        <v>5.0</v>
      </c>
      <c r="H1147" s="82">
        <v>1.0</v>
      </c>
      <c r="I1147" s="82">
        <v>5.0</v>
      </c>
      <c r="J1147" s="152">
        <v>50.0</v>
      </c>
      <c r="K1147" s="84">
        <v>3.33</v>
      </c>
      <c r="L1147" s="82" t="s">
        <v>907</v>
      </c>
    </row>
    <row r="1148" ht="15.0" customHeight="1">
      <c r="A1148" s="82" t="s">
        <v>3933</v>
      </c>
      <c r="B1148" s="82" t="s">
        <v>3934</v>
      </c>
      <c r="C1148" s="82" t="s">
        <v>94</v>
      </c>
      <c r="D1148" s="85" t="s">
        <v>3937</v>
      </c>
      <c r="E1148" s="79" t="s">
        <v>3938</v>
      </c>
      <c r="F1148" s="86" t="s">
        <v>1264</v>
      </c>
      <c r="G1148" s="82">
        <v>5.0</v>
      </c>
      <c r="H1148" s="82">
        <v>1.0</v>
      </c>
      <c r="I1148" s="82">
        <v>5.0</v>
      </c>
      <c r="J1148" s="152">
        <v>50.0</v>
      </c>
      <c r="K1148" s="84">
        <v>3.33</v>
      </c>
      <c r="L1148" s="82" t="s">
        <v>907</v>
      </c>
    </row>
    <row r="1149" ht="15.0" customHeight="1">
      <c r="A1149" s="82" t="s">
        <v>3933</v>
      </c>
      <c r="B1149" s="82" t="s">
        <v>3934</v>
      </c>
      <c r="C1149" s="82" t="s">
        <v>94</v>
      </c>
      <c r="D1149" s="85" t="s">
        <v>3939</v>
      </c>
      <c r="E1149" s="79" t="s">
        <v>3940</v>
      </c>
      <c r="F1149" s="86" t="s">
        <v>1264</v>
      </c>
      <c r="G1149" s="82">
        <v>5.0</v>
      </c>
      <c r="H1149" s="82">
        <v>1.0</v>
      </c>
      <c r="I1149" s="82">
        <v>5.0</v>
      </c>
      <c r="J1149" s="152">
        <v>50.0</v>
      </c>
      <c r="K1149" s="84">
        <v>3.33</v>
      </c>
      <c r="L1149" s="82" t="s">
        <v>907</v>
      </c>
    </row>
    <row r="1150" ht="15.0" customHeight="1">
      <c r="A1150" s="82" t="s">
        <v>3941</v>
      </c>
      <c r="B1150" s="82" t="s">
        <v>3942</v>
      </c>
      <c r="C1150" s="82" t="s">
        <v>94</v>
      </c>
      <c r="D1150" s="85" t="s">
        <v>3943</v>
      </c>
      <c r="E1150" s="79" t="s">
        <v>3944</v>
      </c>
      <c r="F1150" s="86" t="s">
        <v>1264</v>
      </c>
      <c r="G1150" s="82">
        <v>3.0</v>
      </c>
      <c r="H1150" s="82">
        <v>1.0</v>
      </c>
      <c r="I1150" s="82">
        <v>3.0</v>
      </c>
      <c r="J1150" s="152">
        <v>50.0</v>
      </c>
      <c r="K1150" s="84">
        <f t="shared" ref="K1150:K1153" si="39">J1150/G1150</f>
        <v>16.66666667</v>
      </c>
      <c r="L1150" s="82" t="s">
        <v>907</v>
      </c>
    </row>
    <row r="1151" ht="15.0" customHeight="1">
      <c r="A1151" s="82" t="s">
        <v>3945</v>
      </c>
      <c r="B1151" s="82" t="s">
        <v>3946</v>
      </c>
      <c r="C1151" s="82" t="s">
        <v>94</v>
      </c>
      <c r="D1151" s="85" t="s">
        <v>3947</v>
      </c>
      <c r="E1151" s="79" t="s">
        <v>3948</v>
      </c>
      <c r="F1151" s="86" t="s">
        <v>1264</v>
      </c>
      <c r="G1151" s="82">
        <v>3.0</v>
      </c>
      <c r="H1151" s="82">
        <v>1.0</v>
      </c>
      <c r="I1151" s="82">
        <v>3.0</v>
      </c>
      <c r="J1151" s="152">
        <v>50.0</v>
      </c>
      <c r="K1151" s="84">
        <f t="shared" si="39"/>
        <v>16.66666667</v>
      </c>
      <c r="L1151" s="82" t="s">
        <v>907</v>
      </c>
    </row>
    <row r="1152" ht="15.0" customHeight="1">
      <c r="A1152" s="82" t="s">
        <v>3949</v>
      </c>
      <c r="B1152" s="82" t="s">
        <v>3950</v>
      </c>
      <c r="C1152" s="82" t="s">
        <v>94</v>
      </c>
      <c r="D1152" s="85" t="s">
        <v>3951</v>
      </c>
      <c r="E1152" s="79" t="s">
        <v>3952</v>
      </c>
      <c r="F1152" s="86" t="s">
        <v>1264</v>
      </c>
      <c r="G1152" s="82">
        <v>6.0</v>
      </c>
      <c r="H1152" s="82">
        <v>1.0</v>
      </c>
      <c r="I1152" s="82">
        <v>6.0</v>
      </c>
      <c r="J1152" s="152">
        <v>50.0</v>
      </c>
      <c r="K1152" s="84">
        <f t="shared" si="39"/>
        <v>8.333333333</v>
      </c>
      <c r="L1152" s="82" t="s">
        <v>907</v>
      </c>
    </row>
    <row r="1153" ht="15.0" customHeight="1">
      <c r="A1153" s="82" t="s">
        <v>3949</v>
      </c>
      <c r="B1153" s="82" t="s">
        <v>3950</v>
      </c>
      <c r="C1153" s="82" t="s">
        <v>94</v>
      </c>
      <c r="D1153" s="85" t="s">
        <v>3953</v>
      </c>
      <c r="E1153" s="79" t="s">
        <v>3954</v>
      </c>
      <c r="F1153" s="86" t="s">
        <v>1264</v>
      </c>
      <c r="G1153" s="82">
        <v>6.0</v>
      </c>
      <c r="H1153" s="82">
        <v>1.0</v>
      </c>
      <c r="I1153" s="82">
        <v>6.0</v>
      </c>
      <c r="J1153" s="152">
        <v>50.0</v>
      </c>
      <c r="K1153" s="84">
        <f t="shared" si="39"/>
        <v>8.333333333</v>
      </c>
      <c r="L1153" s="82" t="s">
        <v>907</v>
      </c>
    </row>
    <row r="1154" ht="15.0" customHeight="1">
      <c r="A1154" s="82" t="s">
        <v>3955</v>
      </c>
      <c r="B1154" s="82" t="s">
        <v>1341</v>
      </c>
      <c r="C1154" s="82" t="s">
        <v>94</v>
      </c>
      <c r="D1154" s="85" t="s">
        <v>3956</v>
      </c>
      <c r="E1154" s="79" t="s">
        <v>3957</v>
      </c>
      <c r="F1154" s="86" t="s">
        <v>1264</v>
      </c>
      <c r="G1154" s="82">
        <v>3.0</v>
      </c>
      <c r="H1154" s="82">
        <v>3.0</v>
      </c>
      <c r="I1154" s="82">
        <v>3.0</v>
      </c>
      <c r="J1154" s="152">
        <v>50.0</v>
      </c>
      <c r="K1154" s="84">
        <v>8.33</v>
      </c>
      <c r="L1154" s="82" t="s">
        <v>907</v>
      </c>
    </row>
    <row r="1155" ht="15.0" customHeight="1">
      <c r="A1155" s="82" t="s">
        <v>3958</v>
      </c>
      <c r="B1155" s="82" t="s">
        <v>1346</v>
      </c>
      <c r="C1155" s="82" t="s">
        <v>94</v>
      </c>
      <c r="D1155" s="85" t="s">
        <v>3959</v>
      </c>
      <c r="E1155" s="79" t="s">
        <v>3960</v>
      </c>
      <c r="F1155" s="86" t="s">
        <v>1264</v>
      </c>
      <c r="G1155" s="82">
        <v>3.0</v>
      </c>
      <c r="H1155" s="82">
        <v>3.0</v>
      </c>
      <c r="I1155" s="82">
        <v>3.0</v>
      </c>
      <c r="J1155" s="152">
        <v>50.0</v>
      </c>
      <c r="K1155" s="84">
        <v>8.33</v>
      </c>
      <c r="L1155" s="82" t="s">
        <v>907</v>
      </c>
    </row>
    <row r="1156" ht="15.0" customHeight="1">
      <c r="A1156" s="82" t="s">
        <v>3961</v>
      </c>
      <c r="B1156" s="82" t="s">
        <v>3962</v>
      </c>
      <c r="C1156" s="82" t="s">
        <v>94</v>
      </c>
      <c r="D1156" s="85" t="s">
        <v>3963</v>
      </c>
      <c r="E1156" s="79" t="s">
        <v>3964</v>
      </c>
      <c r="F1156" s="86" t="s">
        <v>1264</v>
      </c>
      <c r="G1156" s="82">
        <v>6.0</v>
      </c>
      <c r="H1156" s="82">
        <v>1.0</v>
      </c>
      <c r="I1156" s="82">
        <v>6.0</v>
      </c>
      <c r="J1156" s="152">
        <v>50.0</v>
      </c>
      <c r="K1156" s="84">
        <v>4.16</v>
      </c>
      <c r="L1156" s="82" t="s">
        <v>907</v>
      </c>
    </row>
    <row r="1157" ht="15.0" customHeight="1">
      <c r="A1157" s="82" t="s">
        <v>3955</v>
      </c>
      <c r="B1157" s="82" t="s">
        <v>1350</v>
      </c>
      <c r="C1157" s="82" t="s">
        <v>94</v>
      </c>
      <c r="D1157" s="85" t="s">
        <v>3965</v>
      </c>
      <c r="E1157" s="79" t="s">
        <v>3966</v>
      </c>
      <c r="F1157" s="86" t="s">
        <v>1264</v>
      </c>
      <c r="G1157" s="82">
        <v>3.0</v>
      </c>
      <c r="H1157" s="82">
        <v>3.0</v>
      </c>
      <c r="I1157" s="82">
        <v>3.0</v>
      </c>
      <c r="J1157" s="152">
        <v>50.0</v>
      </c>
      <c r="K1157" s="84">
        <v>8.33</v>
      </c>
      <c r="L1157" s="82" t="s">
        <v>907</v>
      </c>
    </row>
    <row r="1158" ht="15.0" customHeight="1">
      <c r="A1158" s="82" t="s">
        <v>1638</v>
      </c>
      <c r="B1158" s="82" t="s">
        <v>1639</v>
      </c>
      <c r="C1158" s="82" t="s">
        <v>94</v>
      </c>
      <c r="D1158" s="82" t="s">
        <v>3967</v>
      </c>
      <c r="E1158" s="154" t="s">
        <v>1641</v>
      </c>
      <c r="F1158" s="100" t="s">
        <v>259</v>
      </c>
      <c r="G1158" s="83">
        <v>3.0</v>
      </c>
      <c r="H1158" s="82">
        <v>3.0</v>
      </c>
      <c r="I1158" s="82">
        <v>4.0</v>
      </c>
      <c r="J1158" s="152">
        <v>50.0</v>
      </c>
      <c r="K1158" s="84">
        <f t="shared" ref="K1158:K1185" si="40">J1158/G1158</f>
        <v>16.66666667</v>
      </c>
      <c r="L1158" s="82" t="s">
        <v>954</v>
      </c>
    </row>
    <row r="1159" ht="15.0" customHeight="1">
      <c r="A1159" s="82" t="s">
        <v>1638</v>
      </c>
      <c r="B1159" s="82" t="s">
        <v>1639</v>
      </c>
      <c r="C1159" s="82" t="s">
        <v>94</v>
      </c>
      <c r="D1159" s="82" t="s">
        <v>3968</v>
      </c>
      <c r="E1159" s="154" t="s">
        <v>1643</v>
      </c>
      <c r="F1159" s="100" t="s">
        <v>259</v>
      </c>
      <c r="G1159" s="83">
        <v>3.0</v>
      </c>
      <c r="H1159" s="82">
        <v>3.0</v>
      </c>
      <c r="I1159" s="82">
        <v>4.0</v>
      </c>
      <c r="J1159" s="152">
        <v>50.0</v>
      </c>
      <c r="K1159" s="84">
        <f t="shared" si="40"/>
        <v>16.66666667</v>
      </c>
      <c r="L1159" s="82" t="s">
        <v>954</v>
      </c>
    </row>
    <row r="1160" ht="15.0" customHeight="1">
      <c r="A1160" s="82" t="s">
        <v>1638</v>
      </c>
      <c r="B1160" s="82" t="s">
        <v>1639</v>
      </c>
      <c r="C1160" s="82" t="s">
        <v>94</v>
      </c>
      <c r="D1160" s="82" t="s">
        <v>3969</v>
      </c>
      <c r="E1160" s="154" t="s">
        <v>1645</v>
      </c>
      <c r="F1160" s="100" t="s">
        <v>259</v>
      </c>
      <c r="G1160" s="83">
        <v>3.0</v>
      </c>
      <c r="H1160" s="82">
        <v>3.0</v>
      </c>
      <c r="I1160" s="82">
        <v>4.0</v>
      </c>
      <c r="J1160" s="152">
        <v>50.0</v>
      </c>
      <c r="K1160" s="84">
        <f t="shared" si="40"/>
        <v>16.66666667</v>
      </c>
      <c r="L1160" s="82" t="s">
        <v>954</v>
      </c>
    </row>
    <row r="1161" ht="15.0" customHeight="1">
      <c r="A1161" s="82" t="s">
        <v>1638</v>
      </c>
      <c r="B1161" s="82" t="s">
        <v>1639</v>
      </c>
      <c r="C1161" s="82" t="s">
        <v>94</v>
      </c>
      <c r="D1161" s="82" t="s">
        <v>3970</v>
      </c>
      <c r="E1161" s="154" t="s">
        <v>1573</v>
      </c>
      <c r="F1161" s="100" t="s">
        <v>259</v>
      </c>
      <c r="G1161" s="83">
        <v>3.0</v>
      </c>
      <c r="H1161" s="82">
        <v>3.0</v>
      </c>
      <c r="I1161" s="82">
        <v>4.0</v>
      </c>
      <c r="J1161" s="152">
        <v>50.0</v>
      </c>
      <c r="K1161" s="84">
        <f t="shared" si="40"/>
        <v>16.66666667</v>
      </c>
      <c r="L1161" s="82" t="s">
        <v>954</v>
      </c>
    </row>
    <row r="1162" ht="15.0" customHeight="1">
      <c r="A1162" s="82" t="s">
        <v>1638</v>
      </c>
      <c r="B1162" s="82" t="s">
        <v>1639</v>
      </c>
      <c r="C1162" s="82" t="s">
        <v>94</v>
      </c>
      <c r="D1162" s="82" t="s">
        <v>3971</v>
      </c>
      <c r="E1162" s="154" t="s">
        <v>1648</v>
      </c>
      <c r="F1162" s="100" t="s">
        <v>259</v>
      </c>
      <c r="G1162" s="83">
        <v>3.0</v>
      </c>
      <c r="H1162" s="82">
        <v>3.0</v>
      </c>
      <c r="I1162" s="82">
        <v>4.0</v>
      </c>
      <c r="J1162" s="152">
        <v>50.0</v>
      </c>
      <c r="K1162" s="84">
        <f t="shared" si="40"/>
        <v>16.66666667</v>
      </c>
      <c r="L1162" s="82" t="s">
        <v>954</v>
      </c>
    </row>
    <row r="1163" ht="15.0" customHeight="1">
      <c r="A1163" s="82" t="s">
        <v>3972</v>
      </c>
      <c r="B1163" s="82" t="s">
        <v>3973</v>
      </c>
      <c r="C1163" s="82" t="s">
        <v>94</v>
      </c>
      <c r="D1163" s="82" t="s">
        <v>3974</v>
      </c>
      <c r="E1163" s="79" t="s">
        <v>1978</v>
      </c>
      <c r="F1163" s="86" t="s">
        <v>1256</v>
      </c>
      <c r="G1163" s="82">
        <v>2.0</v>
      </c>
      <c r="H1163" s="82">
        <v>2.0</v>
      </c>
      <c r="I1163" s="82">
        <v>2.0</v>
      </c>
      <c r="J1163" s="152">
        <v>50.0</v>
      </c>
      <c r="K1163" s="84">
        <f t="shared" si="40"/>
        <v>25</v>
      </c>
      <c r="L1163" s="82" t="s">
        <v>954</v>
      </c>
    </row>
    <row r="1164" ht="15.0" customHeight="1">
      <c r="A1164" s="82" t="s">
        <v>3975</v>
      </c>
      <c r="B1164" s="82" t="s">
        <v>3976</v>
      </c>
      <c r="C1164" s="85" t="s">
        <v>94</v>
      </c>
      <c r="D1164" s="82" t="s">
        <v>3977</v>
      </c>
      <c r="E1164" s="79" t="s">
        <v>3978</v>
      </c>
      <c r="F1164" s="82" t="s">
        <v>1256</v>
      </c>
      <c r="G1164" s="82">
        <v>2.0</v>
      </c>
      <c r="H1164" s="82">
        <v>2.0</v>
      </c>
      <c r="I1164" s="82">
        <v>2.0</v>
      </c>
      <c r="J1164" s="152">
        <v>50.0</v>
      </c>
      <c r="K1164" s="84">
        <f t="shared" si="40"/>
        <v>25</v>
      </c>
      <c r="L1164" s="82" t="s">
        <v>954</v>
      </c>
    </row>
    <row r="1165" ht="15.0" customHeight="1">
      <c r="A1165" s="82" t="s">
        <v>3975</v>
      </c>
      <c r="B1165" s="82" t="s">
        <v>3976</v>
      </c>
      <c r="C1165" s="85" t="s">
        <v>94</v>
      </c>
      <c r="D1165" s="82" t="s">
        <v>3979</v>
      </c>
      <c r="E1165" s="79" t="s">
        <v>3980</v>
      </c>
      <c r="F1165" s="82" t="s">
        <v>1256</v>
      </c>
      <c r="G1165" s="82">
        <v>2.0</v>
      </c>
      <c r="H1165" s="82">
        <v>2.0</v>
      </c>
      <c r="I1165" s="82">
        <v>2.0</v>
      </c>
      <c r="J1165" s="152">
        <v>50.0</v>
      </c>
      <c r="K1165" s="84">
        <f t="shared" si="40"/>
        <v>25</v>
      </c>
      <c r="L1165" s="82" t="s">
        <v>954</v>
      </c>
    </row>
    <row r="1166" ht="15.0" customHeight="1">
      <c r="A1166" s="82" t="s">
        <v>3975</v>
      </c>
      <c r="B1166" s="82" t="s">
        <v>3976</v>
      </c>
      <c r="C1166" s="85" t="s">
        <v>94</v>
      </c>
      <c r="D1166" s="82" t="s">
        <v>3981</v>
      </c>
      <c r="E1166" s="79" t="s">
        <v>246</v>
      </c>
      <c r="F1166" s="82" t="s">
        <v>1256</v>
      </c>
      <c r="G1166" s="82">
        <v>2.0</v>
      </c>
      <c r="H1166" s="82">
        <v>2.0</v>
      </c>
      <c r="I1166" s="82">
        <v>2.0</v>
      </c>
      <c r="J1166" s="152">
        <v>50.0</v>
      </c>
      <c r="K1166" s="84">
        <f t="shared" si="40"/>
        <v>25</v>
      </c>
      <c r="L1166" s="82" t="s">
        <v>954</v>
      </c>
    </row>
    <row r="1167" ht="15.0" customHeight="1">
      <c r="A1167" s="82" t="s">
        <v>3975</v>
      </c>
      <c r="B1167" s="82" t="s">
        <v>3976</v>
      </c>
      <c r="C1167" s="85" t="s">
        <v>94</v>
      </c>
      <c r="D1167" s="82" t="s">
        <v>3982</v>
      </c>
      <c r="E1167" s="79" t="s">
        <v>1692</v>
      </c>
      <c r="F1167" s="82" t="s">
        <v>259</v>
      </c>
      <c r="G1167" s="82">
        <v>2.0</v>
      </c>
      <c r="H1167" s="82">
        <v>2.0</v>
      </c>
      <c r="I1167" s="82">
        <v>2.0</v>
      </c>
      <c r="J1167" s="152">
        <v>50.0</v>
      </c>
      <c r="K1167" s="84">
        <f t="shared" si="40"/>
        <v>25</v>
      </c>
      <c r="L1167" s="82" t="s">
        <v>954</v>
      </c>
    </row>
    <row r="1168" ht="15.0" customHeight="1">
      <c r="A1168" s="82" t="s">
        <v>1714</v>
      </c>
      <c r="B1168" s="82" t="s">
        <v>1715</v>
      </c>
      <c r="C1168" s="82" t="s">
        <v>52</v>
      </c>
      <c r="D1168" s="82" t="s">
        <v>3983</v>
      </c>
      <c r="E1168" s="79" t="s">
        <v>1717</v>
      </c>
      <c r="F1168" s="86" t="s">
        <v>1256</v>
      </c>
      <c r="G1168" s="82">
        <v>5.0</v>
      </c>
      <c r="H1168" s="82">
        <v>5.0</v>
      </c>
      <c r="I1168" s="82">
        <v>5.0</v>
      </c>
      <c r="J1168" s="152">
        <v>50.0</v>
      </c>
      <c r="K1168" s="84">
        <f t="shared" si="40"/>
        <v>10</v>
      </c>
      <c r="L1168" s="82" t="s">
        <v>954</v>
      </c>
    </row>
    <row r="1169" ht="15.0" customHeight="1">
      <c r="A1169" s="82" t="s">
        <v>3984</v>
      </c>
      <c r="B1169" s="82" t="s">
        <v>3985</v>
      </c>
      <c r="C1169" s="82" t="s">
        <v>94</v>
      </c>
      <c r="D1169" s="82" t="s">
        <v>3986</v>
      </c>
      <c r="E1169" s="79" t="s">
        <v>3142</v>
      </c>
      <c r="F1169" s="86" t="s">
        <v>1264</v>
      </c>
      <c r="G1169" s="82">
        <v>6.0</v>
      </c>
      <c r="H1169" s="82">
        <v>6.0</v>
      </c>
      <c r="I1169" s="82">
        <v>6.0</v>
      </c>
      <c r="J1169" s="152">
        <v>50.0</v>
      </c>
      <c r="K1169" s="84">
        <f t="shared" si="40"/>
        <v>8.333333333</v>
      </c>
      <c r="L1169" s="82" t="s">
        <v>954</v>
      </c>
    </row>
    <row r="1170" ht="15.0" customHeight="1">
      <c r="A1170" s="82" t="s">
        <v>3984</v>
      </c>
      <c r="B1170" s="82" t="s">
        <v>3985</v>
      </c>
      <c r="C1170" s="82" t="s">
        <v>94</v>
      </c>
      <c r="D1170" s="82" t="s">
        <v>3987</v>
      </c>
      <c r="E1170" s="79" t="s">
        <v>3988</v>
      </c>
      <c r="F1170" s="86" t="s">
        <v>1264</v>
      </c>
      <c r="G1170" s="82">
        <v>6.0</v>
      </c>
      <c r="H1170" s="82">
        <v>6.0</v>
      </c>
      <c r="I1170" s="82">
        <v>6.0</v>
      </c>
      <c r="J1170" s="152">
        <v>50.0</v>
      </c>
      <c r="K1170" s="84">
        <f t="shared" si="40"/>
        <v>8.333333333</v>
      </c>
      <c r="L1170" s="82" t="s">
        <v>954</v>
      </c>
    </row>
    <row r="1171" ht="15.0" customHeight="1">
      <c r="A1171" s="82" t="s">
        <v>3984</v>
      </c>
      <c r="B1171" s="82" t="s">
        <v>3985</v>
      </c>
      <c r="C1171" s="82" t="s">
        <v>94</v>
      </c>
      <c r="D1171" s="100" t="s">
        <v>3989</v>
      </c>
      <c r="E1171" s="79" t="s">
        <v>3990</v>
      </c>
      <c r="F1171" s="86" t="s">
        <v>1264</v>
      </c>
      <c r="G1171" s="82">
        <v>6.0</v>
      </c>
      <c r="H1171" s="82">
        <v>6.0</v>
      </c>
      <c r="I1171" s="82">
        <v>6.0</v>
      </c>
      <c r="J1171" s="152">
        <v>50.0</v>
      </c>
      <c r="K1171" s="84">
        <f t="shared" si="40"/>
        <v>8.333333333</v>
      </c>
      <c r="L1171" s="82" t="s">
        <v>954</v>
      </c>
    </row>
    <row r="1172" ht="15.0" customHeight="1">
      <c r="A1172" s="82" t="s">
        <v>3984</v>
      </c>
      <c r="B1172" s="82" t="s">
        <v>3985</v>
      </c>
      <c r="C1172" s="82" t="s">
        <v>94</v>
      </c>
      <c r="D1172" s="82" t="s">
        <v>3991</v>
      </c>
      <c r="E1172" s="79" t="s">
        <v>3992</v>
      </c>
      <c r="F1172" s="86" t="s">
        <v>259</v>
      </c>
      <c r="G1172" s="82">
        <v>6.0</v>
      </c>
      <c r="H1172" s="82">
        <v>6.0</v>
      </c>
      <c r="I1172" s="82">
        <v>6.0</v>
      </c>
      <c r="J1172" s="152">
        <v>50.0</v>
      </c>
      <c r="K1172" s="84">
        <f t="shared" si="40"/>
        <v>8.333333333</v>
      </c>
      <c r="L1172" s="82" t="s">
        <v>954</v>
      </c>
    </row>
    <row r="1173" ht="15.0" customHeight="1">
      <c r="A1173" s="78" t="s">
        <v>3993</v>
      </c>
      <c r="B1173" s="82" t="s">
        <v>3994</v>
      </c>
      <c r="C1173" s="78" t="s">
        <v>94</v>
      </c>
      <c r="D1173" s="82" t="s">
        <v>3995</v>
      </c>
      <c r="E1173" s="79" t="s">
        <v>2042</v>
      </c>
      <c r="F1173" s="86" t="s">
        <v>1256</v>
      </c>
      <c r="G1173" s="82">
        <v>4.0</v>
      </c>
      <c r="H1173" s="82">
        <v>4.0</v>
      </c>
      <c r="I1173" s="82">
        <v>4.0</v>
      </c>
      <c r="J1173" s="152">
        <v>50.0</v>
      </c>
      <c r="K1173" s="84">
        <f t="shared" si="40"/>
        <v>12.5</v>
      </c>
      <c r="L1173" s="82" t="s">
        <v>954</v>
      </c>
    </row>
    <row r="1174" ht="15.0" customHeight="1">
      <c r="A1174" s="78" t="s">
        <v>3993</v>
      </c>
      <c r="B1174" s="82" t="s">
        <v>3994</v>
      </c>
      <c r="C1174" s="78" t="s">
        <v>94</v>
      </c>
      <c r="D1174" s="82" t="s">
        <v>3996</v>
      </c>
      <c r="E1174" s="79" t="s">
        <v>2044</v>
      </c>
      <c r="F1174" s="86" t="s">
        <v>1256</v>
      </c>
      <c r="G1174" s="82">
        <v>4.0</v>
      </c>
      <c r="H1174" s="82">
        <v>4.0</v>
      </c>
      <c r="I1174" s="82">
        <v>4.0</v>
      </c>
      <c r="J1174" s="152">
        <v>50.0</v>
      </c>
      <c r="K1174" s="84">
        <f t="shared" si="40"/>
        <v>12.5</v>
      </c>
      <c r="L1174" s="82" t="s">
        <v>954</v>
      </c>
    </row>
    <row r="1175" ht="15.0" customHeight="1">
      <c r="A1175" s="78" t="s">
        <v>3993</v>
      </c>
      <c r="B1175" s="82" t="s">
        <v>3994</v>
      </c>
      <c r="C1175" s="78" t="s">
        <v>94</v>
      </c>
      <c r="D1175" s="82" t="s">
        <v>3997</v>
      </c>
      <c r="E1175" s="79" t="s">
        <v>2040</v>
      </c>
      <c r="F1175" s="86" t="s">
        <v>1256</v>
      </c>
      <c r="G1175" s="82">
        <v>4.0</v>
      </c>
      <c r="H1175" s="82">
        <v>4.0</v>
      </c>
      <c r="I1175" s="82">
        <v>4.0</v>
      </c>
      <c r="J1175" s="152">
        <v>50.0</v>
      </c>
      <c r="K1175" s="84">
        <f t="shared" si="40"/>
        <v>12.5</v>
      </c>
      <c r="L1175" s="82" t="s">
        <v>954</v>
      </c>
    </row>
    <row r="1176" ht="15.0" customHeight="1">
      <c r="A1176" s="78" t="s">
        <v>3993</v>
      </c>
      <c r="B1176" s="82" t="s">
        <v>3994</v>
      </c>
      <c r="C1176" s="78" t="s">
        <v>94</v>
      </c>
      <c r="D1176" s="155" t="s">
        <v>3998</v>
      </c>
      <c r="E1176" s="79" t="s">
        <v>2966</v>
      </c>
      <c r="F1176" s="86" t="s">
        <v>259</v>
      </c>
      <c r="G1176" s="82">
        <v>4.0</v>
      </c>
      <c r="H1176" s="82">
        <v>4.0</v>
      </c>
      <c r="I1176" s="82">
        <v>4.0</v>
      </c>
      <c r="J1176" s="152">
        <v>50.0</v>
      </c>
      <c r="K1176" s="84">
        <f t="shared" si="40"/>
        <v>12.5</v>
      </c>
      <c r="L1176" s="82" t="s">
        <v>954</v>
      </c>
    </row>
    <row r="1177" ht="15.0" customHeight="1">
      <c r="A1177" s="78" t="s">
        <v>3993</v>
      </c>
      <c r="B1177" s="82" t="s">
        <v>3994</v>
      </c>
      <c r="C1177" s="78" t="s">
        <v>94</v>
      </c>
      <c r="D1177" s="82" t="s">
        <v>3999</v>
      </c>
      <c r="E1177" s="79" t="s">
        <v>2960</v>
      </c>
      <c r="F1177" s="86" t="s">
        <v>259</v>
      </c>
      <c r="G1177" s="82">
        <v>4.0</v>
      </c>
      <c r="H1177" s="82">
        <v>4.0</v>
      </c>
      <c r="I1177" s="82">
        <v>4.0</v>
      </c>
      <c r="J1177" s="152">
        <v>50.0</v>
      </c>
      <c r="K1177" s="84">
        <f t="shared" si="40"/>
        <v>12.5</v>
      </c>
      <c r="L1177" s="82" t="s">
        <v>954</v>
      </c>
    </row>
    <row r="1178" ht="15.0" customHeight="1">
      <c r="A1178" s="78" t="s">
        <v>1734</v>
      </c>
      <c r="B1178" s="82" t="s">
        <v>1735</v>
      </c>
      <c r="C1178" s="82" t="s">
        <v>94</v>
      </c>
      <c r="D1178" s="82" t="s">
        <v>4000</v>
      </c>
      <c r="E1178" s="79" t="s">
        <v>1737</v>
      </c>
      <c r="F1178" s="86" t="s">
        <v>1256</v>
      </c>
      <c r="G1178" s="82">
        <v>7.0</v>
      </c>
      <c r="H1178" s="82">
        <v>7.0</v>
      </c>
      <c r="I1178" s="82">
        <v>8.0</v>
      </c>
      <c r="J1178" s="152">
        <v>50.0</v>
      </c>
      <c r="K1178" s="84">
        <f t="shared" si="40"/>
        <v>7.142857143</v>
      </c>
      <c r="L1178" s="82" t="s">
        <v>954</v>
      </c>
    </row>
    <row r="1179" ht="15.0" customHeight="1">
      <c r="A1179" s="78" t="s">
        <v>4001</v>
      </c>
      <c r="B1179" s="82" t="s">
        <v>4002</v>
      </c>
      <c r="C1179" s="82" t="s">
        <v>94</v>
      </c>
      <c r="D1179" s="82" t="s">
        <v>4003</v>
      </c>
      <c r="E1179" s="79" t="s">
        <v>246</v>
      </c>
      <c r="F1179" s="86" t="s">
        <v>1256</v>
      </c>
      <c r="G1179" s="82">
        <v>1.0</v>
      </c>
      <c r="H1179" s="82">
        <v>1.0</v>
      </c>
      <c r="I1179" s="82">
        <v>1.0</v>
      </c>
      <c r="J1179" s="152">
        <v>50.0</v>
      </c>
      <c r="K1179" s="84">
        <f t="shared" si="40"/>
        <v>50</v>
      </c>
      <c r="L1179" s="82" t="s">
        <v>954</v>
      </c>
    </row>
    <row r="1180" ht="15.0" customHeight="1">
      <c r="A1180" s="78" t="s">
        <v>4004</v>
      </c>
      <c r="B1180" s="82" t="s">
        <v>4005</v>
      </c>
      <c r="C1180" s="82" t="s">
        <v>94</v>
      </c>
      <c r="D1180" s="82" t="s">
        <v>4006</v>
      </c>
      <c r="E1180" s="79" t="s">
        <v>238</v>
      </c>
      <c r="F1180" s="86" t="s">
        <v>1256</v>
      </c>
      <c r="G1180" s="82">
        <v>5.0</v>
      </c>
      <c r="H1180" s="82">
        <v>5.0</v>
      </c>
      <c r="I1180" s="82">
        <v>5.0</v>
      </c>
      <c r="J1180" s="152">
        <v>50.0</v>
      </c>
      <c r="K1180" s="84">
        <f t="shared" si="40"/>
        <v>10</v>
      </c>
      <c r="L1180" s="82" t="s">
        <v>954</v>
      </c>
    </row>
    <row r="1181" ht="15.0" customHeight="1">
      <c r="A1181" s="85" t="s">
        <v>4007</v>
      </c>
      <c r="B1181" s="85" t="s">
        <v>4008</v>
      </c>
      <c r="C1181" s="85" t="s">
        <v>94</v>
      </c>
      <c r="D1181" s="82" t="s">
        <v>4009</v>
      </c>
      <c r="E1181" s="79" t="s">
        <v>4010</v>
      </c>
      <c r="F1181" s="86" t="s">
        <v>1256</v>
      </c>
      <c r="G1181" s="82">
        <v>4.0</v>
      </c>
      <c r="H1181" s="82">
        <v>4.0</v>
      </c>
      <c r="I1181" s="82">
        <v>4.0</v>
      </c>
      <c r="J1181" s="152">
        <v>50.0</v>
      </c>
      <c r="K1181" s="84">
        <f t="shared" si="40"/>
        <v>12.5</v>
      </c>
      <c r="L1181" s="82" t="s">
        <v>954</v>
      </c>
    </row>
    <row r="1182" ht="15.0" customHeight="1">
      <c r="A1182" s="157" t="s">
        <v>1740</v>
      </c>
      <c r="B1182" s="157" t="s">
        <v>1741</v>
      </c>
      <c r="C1182" s="157" t="s">
        <v>94</v>
      </c>
      <c r="D1182" s="82" t="s">
        <v>4011</v>
      </c>
      <c r="E1182" s="154" t="s">
        <v>1615</v>
      </c>
      <c r="F1182" s="100" t="s">
        <v>259</v>
      </c>
      <c r="G1182" s="156">
        <v>3.0</v>
      </c>
      <c r="H1182" s="156">
        <v>3.0</v>
      </c>
      <c r="I1182" s="100">
        <v>3.0</v>
      </c>
      <c r="J1182" s="100">
        <v>50.0</v>
      </c>
      <c r="K1182" s="84">
        <f t="shared" si="40"/>
        <v>16.66666667</v>
      </c>
      <c r="L1182" s="82" t="s">
        <v>954</v>
      </c>
    </row>
    <row r="1183" ht="15.0" customHeight="1">
      <c r="A1183" s="157" t="s">
        <v>1743</v>
      </c>
      <c r="B1183" s="157" t="s">
        <v>1744</v>
      </c>
      <c r="C1183" s="157" t="s">
        <v>94</v>
      </c>
      <c r="D1183" s="82" t="s">
        <v>4012</v>
      </c>
      <c r="E1183" s="79" t="s">
        <v>1615</v>
      </c>
      <c r="F1183" s="86" t="s">
        <v>259</v>
      </c>
      <c r="G1183" s="156">
        <v>5.0</v>
      </c>
      <c r="H1183" s="156">
        <v>5.0</v>
      </c>
      <c r="I1183" s="100">
        <v>5.0</v>
      </c>
      <c r="J1183" s="100">
        <v>50.0</v>
      </c>
      <c r="K1183" s="84">
        <f t="shared" si="40"/>
        <v>10</v>
      </c>
      <c r="L1183" s="82" t="s">
        <v>954</v>
      </c>
    </row>
    <row r="1184" ht="15.0" customHeight="1">
      <c r="A1184" s="78" t="s">
        <v>4013</v>
      </c>
      <c r="B1184" s="82" t="s">
        <v>4014</v>
      </c>
      <c r="C1184" s="82" t="s">
        <v>94</v>
      </c>
      <c r="D1184" s="82" t="s">
        <v>4015</v>
      </c>
      <c r="E1184" s="79" t="s">
        <v>1749</v>
      </c>
      <c r="F1184" s="86" t="s">
        <v>1256</v>
      </c>
      <c r="G1184" s="82">
        <v>8.0</v>
      </c>
      <c r="H1184" s="82">
        <v>7.0</v>
      </c>
      <c r="I1184" s="82">
        <v>8.0</v>
      </c>
      <c r="J1184" s="152">
        <v>50.0</v>
      </c>
      <c r="K1184" s="84">
        <f t="shared" si="40"/>
        <v>6.25</v>
      </c>
      <c r="L1184" s="82" t="s">
        <v>954</v>
      </c>
    </row>
    <row r="1185" ht="15.0" customHeight="1">
      <c r="A1185" s="78" t="s">
        <v>4016</v>
      </c>
      <c r="B1185" s="78" t="s">
        <v>4017</v>
      </c>
      <c r="C1185" s="78" t="s">
        <v>94</v>
      </c>
      <c r="D1185" s="82" t="s">
        <v>4018</v>
      </c>
      <c r="E1185" s="79" t="s">
        <v>238</v>
      </c>
      <c r="F1185" s="86" t="s">
        <v>1256</v>
      </c>
      <c r="G1185" s="82">
        <v>3.0</v>
      </c>
      <c r="H1185" s="82">
        <v>3.0</v>
      </c>
      <c r="I1185" s="82">
        <v>3.0</v>
      </c>
      <c r="J1185" s="152">
        <v>50.0</v>
      </c>
      <c r="K1185" s="84">
        <f t="shared" si="40"/>
        <v>16.66666667</v>
      </c>
      <c r="L1185" s="82" t="s">
        <v>954</v>
      </c>
    </row>
    <row r="1186" ht="87.75" customHeight="1">
      <c r="A1186" s="148" t="s">
        <v>4019</v>
      </c>
      <c r="B1186" s="188" t="s">
        <v>4020</v>
      </c>
      <c r="C1186" s="148" t="s">
        <v>94</v>
      </c>
      <c r="D1186" s="82" t="s">
        <v>4021</v>
      </c>
      <c r="E1186" s="161" t="s">
        <v>4022</v>
      </c>
      <c r="F1186" s="148" t="s">
        <v>4023</v>
      </c>
      <c r="G1186" s="148">
        <v>1.0</v>
      </c>
      <c r="H1186" s="148">
        <v>1.0</v>
      </c>
      <c r="I1186" s="148">
        <v>3.0</v>
      </c>
      <c r="J1186" s="148">
        <v>50.0</v>
      </c>
      <c r="K1186" s="174">
        <v>50.0</v>
      </c>
      <c r="L1186" s="82" t="s">
        <v>4024</v>
      </c>
    </row>
    <row r="1187" ht="75.75" customHeight="1">
      <c r="A1187" s="148" t="s">
        <v>4019</v>
      </c>
      <c r="B1187" s="188" t="s">
        <v>4020</v>
      </c>
      <c r="C1187" s="148" t="s">
        <v>94</v>
      </c>
      <c r="D1187" s="148" t="s">
        <v>4025</v>
      </c>
      <c r="E1187" s="161" t="s">
        <v>4026</v>
      </c>
      <c r="F1187" s="148" t="s">
        <v>4027</v>
      </c>
      <c r="G1187" s="148">
        <v>1.0</v>
      </c>
      <c r="H1187" s="148">
        <v>1.0</v>
      </c>
      <c r="I1187" s="148">
        <v>3.0</v>
      </c>
      <c r="J1187" s="173">
        <v>50.0</v>
      </c>
      <c r="K1187" s="174">
        <v>50.0</v>
      </c>
      <c r="L1187" s="82" t="s">
        <v>4024</v>
      </c>
    </row>
    <row r="1188" ht="50.25" customHeight="1">
      <c r="A1188" s="82" t="s">
        <v>3245</v>
      </c>
      <c r="B1188" s="78" t="s">
        <v>3246</v>
      </c>
      <c r="C1188" s="82" t="s">
        <v>94</v>
      </c>
      <c r="D1188" s="82" t="s">
        <v>3247</v>
      </c>
      <c r="E1188" s="79" t="s">
        <v>3248</v>
      </c>
      <c r="F1188" s="82" t="s">
        <v>259</v>
      </c>
      <c r="G1188" s="82">
        <v>2.0</v>
      </c>
      <c r="H1188" s="82">
        <v>2.0</v>
      </c>
      <c r="I1188" s="82">
        <v>3.0</v>
      </c>
      <c r="J1188" s="82">
        <v>50.0</v>
      </c>
      <c r="K1188" s="82">
        <v>25.0</v>
      </c>
      <c r="L1188" s="82" t="s">
        <v>4028</v>
      </c>
    </row>
    <row r="1189" ht="15.0" customHeight="1">
      <c r="A1189" s="82" t="s">
        <v>4029</v>
      </c>
      <c r="B1189" s="82" t="s">
        <v>4030</v>
      </c>
      <c r="C1189" s="82" t="s">
        <v>94</v>
      </c>
      <c r="D1189" s="82" t="s">
        <v>4031</v>
      </c>
      <c r="E1189" s="82" t="s">
        <v>4032</v>
      </c>
      <c r="F1189" s="82" t="s">
        <v>259</v>
      </c>
      <c r="G1189" s="82">
        <v>4.0</v>
      </c>
      <c r="H1189" s="82">
        <v>4.0</v>
      </c>
      <c r="I1189" s="82">
        <v>5.0</v>
      </c>
      <c r="J1189" s="152">
        <v>50.0</v>
      </c>
      <c r="K1189" s="84">
        <f t="shared" ref="K1189:K1190" si="41">50/4</f>
        <v>12.5</v>
      </c>
      <c r="L1189" s="82" t="s">
        <v>4028</v>
      </c>
    </row>
    <row r="1190" ht="15.0" customHeight="1">
      <c r="A1190" s="78" t="s">
        <v>4029</v>
      </c>
      <c r="B1190" s="82" t="s">
        <v>4030</v>
      </c>
      <c r="C1190" s="82" t="s">
        <v>94</v>
      </c>
      <c r="D1190" s="82" t="s">
        <v>1112</v>
      </c>
      <c r="E1190" s="82" t="s">
        <v>1116</v>
      </c>
      <c r="F1190" s="82" t="s">
        <v>259</v>
      </c>
      <c r="G1190" s="82">
        <v>4.0</v>
      </c>
      <c r="H1190" s="82">
        <v>4.0</v>
      </c>
      <c r="I1190" s="82">
        <v>5.0</v>
      </c>
      <c r="J1190" s="152">
        <v>50.0</v>
      </c>
      <c r="K1190" s="84">
        <f t="shared" si="41"/>
        <v>12.5</v>
      </c>
      <c r="L1190" s="82" t="s">
        <v>4028</v>
      </c>
    </row>
    <row r="1191" ht="15.0" customHeight="1">
      <c r="A1191" s="82" t="s">
        <v>4033</v>
      </c>
      <c r="B1191" s="82" t="s">
        <v>4034</v>
      </c>
      <c r="C1191" s="82" t="s">
        <v>94</v>
      </c>
      <c r="D1191" s="82" t="s">
        <v>4035</v>
      </c>
      <c r="E1191" s="82" t="s">
        <v>4036</v>
      </c>
      <c r="F1191" s="82" t="s">
        <v>259</v>
      </c>
      <c r="G1191" s="82">
        <v>1.0</v>
      </c>
      <c r="H1191" s="82">
        <v>1.0</v>
      </c>
      <c r="I1191" s="82">
        <v>4.0</v>
      </c>
      <c r="J1191" s="152">
        <v>50.0</v>
      </c>
      <c r="K1191" s="84">
        <v>50.0</v>
      </c>
      <c r="L1191" s="82" t="s">
        <v>4028</v>
      </c>
    </row>
    <row r="1192" ht="15.0" customHeight="1">
      <c r="A1192" s="82" t="s">
        <v>4033</v>
      </c>
      <c r="B1192" s="82" t="s">
        <v>4034</v>
      </c>
      <c r="C1192" s="82" t="s">
        <v>94</v>
      </c>
      <c r="D1192" s="82" t="s">
        <v>4037</v>
      </c>
      <c r="E1192" s="82" t="s">
        <v>4038</v>
      </c>
      <c r="F1192" s="82" t="s">
        <v>259</v>
      </c>
      <c r="G1192" s="82">
        <v>1.0</v>
      </c>
      <c r="H1192" s="82">
        <v>1.0</v>
      </c>
      <c r="I1192" s="82">
        <v>4.0</v>
      </c>
      <c r="J1192" s="152">
        <v>50.0</v>
      </c>
      <c r="K1192" s="84">
        <v>50.0</v>
      </c>
      <c r="L1192" s="82" t="s">
        <v>4028</v>
      </c>
    </row>
    <row r="1193" ht="15.0" customHeight="1">
      <c r="A1193" s="82" t="s">
        <v>3250</v>
      </c>
      <c r="B1193" s="82" t="s">
        <v>3251</v>
      </c>
      <c r="C1193" s="82" t="s">
        <v>94</v>
      </c>
      <c r="D1193" s="82" t="s">
        <v>3252</v>
      </c>
      <c r="E1193" s="79" t="s">
        <v>3253</v>
      </c>
      <c r="F1193" s="82" t="s">
        <v>259</v>
      </c>
      <c r="G1193" s="82">
        <v>2.0</v>
      </c>
      <c r="H1193" s="82">
        <v>2.0</v>
      </c>
      <c r="I1193" s="82">
        <v>2.0</v>
      </c>
      <c r="J1193" s="152">
        <v>50.0</v>
      </c>
      <c r="K1193" s="84">
        <v>25.0</v>
      </c>
      <c r="L1193" s="82" t="s">
        <v>4028</v>
      </c>
    </row>
    <row r="1194" ht="15.0" customHeight="1">
      <c r="A1194" s="82" t="s">
        <v>4039</v>
      </c>
      <c r="B1194" s="82" t="s">
        <v>4040</v>
      </c>
      <c r="C1194" s="82" t="s">
        <v>94</v>
      </c>
      <c r="D1194" s="82" t="s">
        <v>4041</v>
      </c>
      <c r="E1194" s="82" t="s">
        <v>4042</v>
      </c>
      <c r="F1194" s="82" t="s">
        <v>259</v>
      </c>
      <c r="G1194" s="82">
        <v>1.0</v>
      </c>
      <c r="H1194" s="82">
        <v>1.0</v>
      </c>
      <c r="I1194" s="82">
        <v>2.0</v>
      </c>
      <c r="J1194" s="152">
        <v>50.0</v>
      </c>
      <c r="K1194" s="84">
        <v>50.0</v>
      </c>
      <c r="L1194" s="82" t="s">
        <v>4028</v>
      </c>
    </row>
    <row r="1195" ht="15.0" customHeight="1">
      <c r="A1195" s="82" t="s">
        <v>4043</v>
      </c>
      <c r="B1195" s="82" t="s">
        <v>4044</v>
      </c>
      <c r="C1195" s="82" t="s">
        <v>94</v>
      </c>
      <c r="D1195" s="82" t="s">
        <v>4045</v>
      </c>
      <c r="E1195" s="82" t="s">
        <v>4046</v>
      </c>
      <c r="F1195" s="82" t="s">
        <v>259</v>
      </c>
      <c r="G1195" s="82">
        <v>1.0</v>
      </c>
      <c r="H1195" s="82">
        <v>1.0</v>
      </c>
      <c r="I1195" s="82">
        <v>2.0</v>
      </c>
      <c r="J1195" s="152">
        <v>50.0</v>
      </c>
      <c r="K1195" s="84">
        <v>50.0</v>
      </c>
      <c r="L1195" s="82" t="s">
        <v>4028</v>
      </c>
    </row>
    <row r="1196" ht="15.0" customHeight="1">
      <c r="A1196" s="82" t="s">
        <v>4043</v>
      </c>
      <c r="B1196" s="82" t="s">
        <v>4044</v>
      </c>
      <c r="C1196" s="82" t="s">
        <v>94</v>
      </c>
      <c r="D1196" s="82" t="s">
        <v>4047</v>
      </c>
      <c r="E1196" s="155" t="s">
        <v>4048</v>
      </c>
      <c r="F1196" s="82" t="s">
        <v>259</v>
      </c>
      <c r="G1196" s="82">
        <v>1.0</v>
      </c>
      <c r="H1196" s="82">
        <v>1.0</v>
      </c>
      <c r="I1196" s="82">
        <v>2.0</v>
      </c>
      <c r="J1196" s="152">
        <v>50.0</v>
      </c>
      <c r="K1196" s="84">
        <v>50.0</v>
      </c>
      <c r="L1196" s="82" t="s">
        <v>4028</v>
      </c>
    </row>
    <row r="1197" ht="15.0" customHeight="1">
      <c r="A1197" s="82" t="s">
        <v>4043</v>
      </c>
      <c r="B1197" s="82" t="s">
        <v>4044</v>
      </c>
      <c r="C1197" s="82" t="s">
        <v>94</v>
      </c>
      <c r="D1197" s="82" t="s">
        <v>4049</v>
      </c>
      <c r="E1197" s="82" t="s">
        <v>4050</v>
      </c>
      <c r="F1197" s="82" t="s">
        <v>259</v>
      </c>
      <c r="G1197" s="82">
        <v>1.0</v>
      </c>
      <c r="H1197" s="82">
        <v>1.0</v>
      </c>
      <c r="I1197" s="82">
        <v>2.0</v>
      </c>
      <c r="J1197" s="152">
        <v>50.0</v>
      </c>
      <c r="K1197" s="84">
        <v>50.0</v>
      </c>
      <c r="L1197" s="82" t="s">
        <v>4028</v>
      </c>
    </row>
    <row r="1198" ht="15.0" customHeight="1">
      <c r="A1198" s="82" t="s">
        <v>4051</v>
      </c>
      <c r="B1198" s="82" t="s">
        <v>4052</v>
      </c>
      <c r="C1198" s="82" t="s">
        <v>94</v>
      </c>
      <c r="D1198" s="82" t="s">
        <v>4053</v>
      </c>
      <c r="E1198" s="82" t="s">
        <v>2040</v>
      </c>
      <c r="F1198" s="82" t="s">
        <v>259</v>
      </c>
      <c r="G1198" s="82">
        <v>4.0</v>
      </c>
      <c r="H1198" s="82">
        <v>4.0</v>
      </c>
      <c r="I1198" s="82">
        <v>4.0</v>
      </c>
      <c r="J1198" s="152">
        <v>50.0</v>
      </c>
      <c r="K1198" s="84">
        <f t="shared" ref="K1198:K1204" si="42">50/4</f>
        <v>12.5</v>
      </c>
      <c r="L1198" s="82" t="s">
        <v>4028</v>
      </c>
    </row>
    <row r="1199" ht="15.0" customHeight="1">
      <c r="A1199" s="82" t="s">
        <v>4051</v>
      </c>
      <c r="B1199" s="82" t="s">
        <v>4052</v>
      </c>
      <c r="C1199" s="82" t="s">
        <v>94</v>
      </c>
      <c r="D1199" s="82" t="s">
        <v>4054</v>
      </c>
      <c r="E1199" s="79" t="s">
        <v>2042</v>
      </c>
      <c r="F1199" s="82" t="s">
        <v>259</v>
      </c>
      <c r="G1199" s="82">
        <v>4.0</v>
      </c>
      <c r="H1199" s="82">
        <v>4.0</v>
      </c>
      <c r="I1199" s="82">
        <v>4.0</v>
      </c>
      <c r="J1199" s="152">
        <v>50.0</v>
      </c>
      <c r="K1199" s="84">
        <f t="shared" si="42"/>
        <v>12.5</v>
      </c>
      <c r="L1199" s="82" t="s">
        <v>4028</v>
      </c>
    </row>
    <row r="1200" ht="15.0" customHeight="1">
      <c r="A1200" s="82" t="s">
        <v>4051</v>
      </c>
      <c r="B1200" s="82" t="s">
        <v>4052</v>
      </c>
      <c r="C1200" s="82" t="s">
        <v>94</v>
      </c>
      <c r="D1200" s="82" t="s">
        <v>4055</v>
      </c>
      <c r="E1200" s="82" t="s">
        <v>2960</v>
      </c>
      <c r="F1200" s="82" t="s">
        <v>259</v>
      </c>
      <c r="G1200" s="82">
        <v>4.0</v>
      </c>
      <c r="H1200" s="82">
        <v>4.0</v>
      </c>
      <c r="I1200" s="82">
        <v>4.0</v>
      </c>
      <c r="J1200" s="152">
        <v>50.0</v>
      </c>
      <c r="K1200" s="84">
        <f t="shared" si="42"/>
        <v>12.5</v>
      </c>
      <c r="L1200" s="82" t="s">
        <v>4028</v>
      </c>
    </row>
    <row r="1201" ht="15.0" customHeight="1">
      <c r="A1201" s="82" t="s">
        <v>4051</v>
      </c>
      <c r="B1201" s="82" t="s">
        <v>4052</v>
      </c>
      <c r="C1201" s="82" t="s">
        <v>94</v>
      </c>
      <c r="D1201" s="155" t="s">
        <v>4056</v>
      </c>
      <c r="E1201" s="82" t="s">
        <v>2962</v>
      </c>
      <c r="F1201" s="82" t="s">
        <v>259</v>
      </c>
      <c r="G1201" s="82">
        <v>4.0</v>
      </c>
      <c r="H1201" s="82">
        <v>4.0</v>
      </c>
      <c r="I1201" s="82">
        <v>4.0</v>
      </c>
      <c r="J1201" s="152">
        <v>50.0</v>
      </c>
      <c r="K1201" s="84">
        <f t="shared" si="42"/>
        <v>12.5</v>
      </c>
      <c r="L1201" s="82" t="s">
        <v>4028</v>
      </c>
    </row>
    <row r="1202" ht="15.0" customHeight="1">
      <c r="A1202" s="82" t="s">
        <v>4051</v>
      </c>
      <c r="B1202" s="82" t="s">
        <v>4052</v>
      </c>
      <c r="C1202" s="82" t="s">
        <v>94</v>
      </c>
      <c r="D1202" s="82" t="s">
        <v>4057</v>
      </c>
      <c r="E1202" s="82" t="s">
        <v>4058</v>
      </c>
      <c r="F1202" s="82" t="s">
        <v>259</v>
      </c>
      <c r="G1202" s="82">
        <v>4.0</v>
      </c>
      <c r="H1202" s="82">
        <v>4.0</v>
      </c>
      <c r="I1202" s="82">
        <v>4.0</v>
      </c>
      <c r="J1202" s="152">
        <v>50.0</v>
      </c>
      <c r="K1202" s="84">
        <f t="shared" si="42"/>
        <v>12.5</v>
      </c>
      <c r="L1202" s="82" t="s">
        <v>4028</v>
      </c>
    </row>
    <row r="1203" ht="15.0" customHeight="1">
      <c r="A1203" s="82" t="s">
        <v>4051</v>
      </c>
      <c r="B1203" s="82" t="s">
        <v>4052</v>
      </c>
      <c r="C1203" s="82" t="s">
        <v>94</v>
      </c>
      <c r="D1203" s="82" t="s">
        <v>4059</v>
      </c>
      <c r="E1203" s="82" t="s">
        <v>4060</v>
      </c>
      <c r="F1203" s="82" t="s">
        <v>259</v>
      </c>
      <c r="G1203" s="82">
        <v>4.0</v>
      </c>
      <c r="H1203" s="82">
        <v>4.0</v>
      </c>
      <c r="I1203" s="82">
        <v>4.0</v>
      </c>
      <c r="J1203" s="152">
        <v>50.0</v>
      </c>
      <c r="K1203" s="84">
        <f t="shared" si="42"/>
        <v>12.5</v>
      </c>
      <c r="L1203" s="82" t="s">
        <v>4028</v>
      </c>
    </row>
    <row r="1204" ht="15.0" customHeight="1">
      <c r="A1204" s="82" t="s">
        <v>4051</v>
      </c>
      <c r="B1204" s="82" t="s">
        <v>4052</v>
      </c>
      <c r="C1204" s="82" t="s">
        <v>94</v>
      </c>
      <c r="D1204" s="82" t="s">
        <v>4061</v>
      </c>
      <c r="E1204" s="82" t="s">
        <v>2044</v>
      </c>
      <c r="F1204" s="82" t="s">
        <v>259</v>
      </c>
      <c r="G1204" s="82">
        <v>4.0</v>
      </c>
      <c r="H1204" s="82">
        <v>4.0</v>
      </c>
      <c r="I1204" s="82">
        <v>4.0</v>
      </c>
      <c r="J1204" s="152">
        <v>50.0</v>
      </c>
      <c r="K1204" s="84">
        <f t="shared" si="42"/>
        <v>12.5</v>
      </c>
      <c r="L1204" s="82" t="s">
        <v>4028</v>
      </c>
    </row>
    <row r="1205" ht="15.0" customHeight="1">
      <c r="A1205" s="82" t="s">
        <v>3254</v>
      </c>
      <c r="B1205" s="82" t="s">
        <v>3255</v>
      </c>
      <c r="C1205" s="82" t="s">
        <v>94</v>
      </c>
      <c r="D1205" s="82" t="s">
        <v>3256</v>
      </c>
      <c r="E1205" s="82" t="s">
        <v>3257</v>
      </c>
      <c r="F1205" s="82" t="s">
        <v>259</v>
      </c>
      <c r="G1205" s="82">
        <v>3.0</v>
      </c>
      <c r="H1205" s="82">
        <v>3.0</v>
      </c>
      <c r="I1205" s="82">
        <v>4.0</v>
      </c>
      <c r="J1205" s="152">
        <v>50.0</v>
      </c>
      <c r="K1205" s="84">
        <f>50/3</f>
        <v>16.66666667</v>
      </c>
      <c r="L1205" s="82" t="s">
        <v>4028</v>
      </c>
    </row>
    <row r="1206" ht="15.0" customHeight="1">
      <c r="A1206" s="82" t="s">
        <v>4062</v>
      </c>
      <c r="B1206" s="82" t="s">
        <v>3205</v>
      </c>
      <c r="C1206" s="82" t="s">
        <v>94</v>
      </c>
      <c r="D1206" s="82" t="s">
        <v>4063</v>
      </c>
      <c r="E1206" s="82" t="s">
        <v>1759</v>
      </c>
      <c r="F1206" s="82" t="s">
        <v>259</v>
      </c>
      <c r="G1206" s="82">
        <v>6.0</v>
      </c>
      <c r="H1206" s="82">
        <v>6.0</v>
      </c>
      <c r="I1206" s="82">
        <v>7.0</v>
      </c>
      <c r="J1206" s="152">
        <v>50.0</v>
      </c>
      <c r="K1206" s="84">
        <f>50/6</f>
        <v>8.333333333</v>
      </c>
      <c r="L1206" s="82" t="s">
        <v>4028</v>
      </c>
    </row>
    <row r="1207" ht="15.0" customHeight="1">
      <c r="A1207" s="82" t="s">
        <v>4064</v>
      </c>
      <c r="B1207" s="82" t="s">
        <v>4065</v>
      </c>
      <c r="C1207" s="82" t="s">
        <v>94</v>
      </c>
      <c r="D1207" s="82" t="s">
        <v>4066</v>
      </c>
      <c r="E1207" s="82" t="s">
        <v>4067</v>
      </c>
      <c r="F1207" s="82" t="s">
        <v>259</v>
      </c>
      <c r="G1207" s="82">
        <v>2.0</v>
      </c>
      <c r="H1207" s="82">
        <v>2.0</v>
      </c>
      <c r="I1207" s="82">
        <v>5.0</v>
      </c>
      <c r="J1207" s="152">
        <v>50.0</v>
      </c>
      <c r="K1207" s="84">
        <v>25.0</v>
      </c>
      <c r="L1207" s="82" t="s">
        <v>4028</v>
      </c>
    </row>
    <row r="1208" ht="15.0" customHeight="1">
      <c r="A1208" s="82" t="s">
        <v>4068</v>
      </c>
      <c r="B1208" s="82" t="s">
        <v>4069</v>
      </c>
      <c r="C1208" s="82" t="s">
        <v>94</v>
      </c>
      <c r="D1208" s="82" t="s">
        <v>4070</v>
      </c>
      <c r="E1208" s="82" t="s">
        <v>4071</v>
      </c>
      <c r="F1208" s="82" t="s">
        <v>259</v>
      </c>
      <c r="G1208" s="82">
        <v>3.0</v>
      </c>
      <c r="H1208" s="82">
        <v>3.0</v>
      </c>
      <c r="I1208" s="82">
        <v>3.0</v>
      </c>
      <c r="J1208" s="152">
        <v>50.0</v>
      </c>
      <c r="K1208" s="84">
        <f>50/3</f>
        <v>16.66666667</v>
      </c>
      <c r="L1208" s="82" t="s">
        <v>4028</v>
      </c>
    </row>
    <row r="1209" ht="15.0" customHeight="1">
      <c r="A1209" s="82" t="s">
        <v>3258</v>
      </c>
      <c r="B1209" s="82" t="s">
        <v>3259</v>
      </c>
      <c r="C1209" s="82" t="s">
        <v>94</v>
      </c>
      <c r="D1209" s="82" t="s">
        <v>3260</v>
      </c>
      <c r="E1209" s="82" t="s">
        <v>3261</v>
      </c>
      <c r="F1209" s="82" t="s">
        <v>259</v>
      </c>
      <c r="G1209" s="82">
        <v>2.0</v>
      </c>
      <c r="H1209" s="82">
        <v>2.0</v>
      </c>
      <c r="I1209" s="82">
        <v>5.0</v>
      </c>
      <c r="J1209" s="152">
        <v>50.0</v>
      </c>
      <c r="K1209" s="84">
        <v>25.0</v>
      </c>
      <c r="L1209" s="82" t="s">
        <v>4028</v>
      </c>
    </row>
    <row r="1210" ht="15.0" customHeight="1">
      <c r="A1210" s="82" t="s">
        <v>3262</v>
      </c>
      <c r="B1210" s="82" t="s">
        <v>3263</v>
      </c>
      <c r="C1210" s="82" t="s">
        <v>94</v>
      </c>
      <c r="D1210" s="82" t="s">
        <v>3264</v>
      </c>
      <c r="E1210" s="82" t="s">
        <v>3265</v>
      </c>
      <c r="F1210" s="82" t="s">
        <v>259</v>
      </c>
      <c r="G1210" s="82">
        <v>3.0</v>
      </c>
      <c r="H1210" s="82">
        <v>3.0</v>
      </c>
      <c r="I1210" s="82">
        <v>3.0</v>
      </c>
      <c r="J1210" s="152">
        <v>50.0</v>
      </c>
      <c r="K1210" s="84">
        <f>50/3</f>
        <v>16.66666667</v>
      </c>
      <c r="L1210" s="82" t="s">
        <v>4028</v>
      </c>
    </row>
    <row r="1211" ht="15.0" customHeight="1">
      <c r="A1211" s="82" t="s">
        <v>4072</v>
      </c>
      <c r="B1211" s="78" t="s">
        <v>4073</v>
      </c>
      <c r="C1211" s="82" t="s">
        <v>94</v>
      </c>
      <c r="D1211" s="82" t="s">
        <v>4074</v>
      </c>
      <c r="E1211" s="79" t="s">
        <v>4075</v>
      </c>
      <c r="F1211" s="82" t="s">
        <v>314</v>
      </c>
      <c r="G1211" s="82">
        <v>8.0</v>
      </c>
      <c r="H1211" s="82">
        <v>7.0</v>
      </c>
      <c r="I1211" s="82">
        <v>8.0</v>
      </c>
      <c r="J1211" s="82">
        <v>50.0</v>
      </c>
      <c r="K1211" s="82">
        <v>7.14</v>
      </c>
      <c r="L1211" s="82" t="s">
        <v>4076</v>
      </c>
    </row>
    <row r="1212" ht="15.0" customHeight="1">
      <c r="A1212" s="82" t="s">
        <v>4077</v>
      </c>
      <c r="B1212" s="82" t="s">
        <v>3298</v>
      </c>
      <c r="C1212" s="82" t="s">
        <v>94</v>
      </c>
      <c r="D1212" s="82" t="s">
        <v>3299</v>
      </c>
      <c r="E1212" s="79" t="s">
        <v>3300</v>
      </c>
      <c r="F1212" s="86" t="s">
        <v>1264</v>
      </c>
      <c r="G1212" s="82">
        <v>2.0</v>
      </c>
      <c r="H1212" s="82">
        <v>2.0</v>
      </c>
      <c r="I1212" s="82">
        <v>2.0</v>
      </c>
      <c r="J1212" s="152">
        <v>50.0</v>
      </c>
      <c r="K1212" s="84">
        <f>J1212/2</f>
        <v>25</v>
      </c>
      <c r="L1212" s="82" t="s">
        <v>4078</v>
      </c>
    </row>
    <row r="1213" ht="15.0" customHeight="1">
      <c r="A1213" s="82" t="s">
        <v>4079</v>
      </c>
      <c r="B1213" s="82" t="s">
        <v>4080</v>
      </c>
      <c r="C1213" s="82" t="s">
        <v>182</v>
      </c>
      <c r="D1213" s="82" t="s">
        <v>4081</v>
      </c>
      <c r="E1213" s="79" t="s">
        <v>4082</v>
      </c>
      <c r="F1213" s="82" t="s">
        <v>890</v>
      </c>
      <c r="G1213" s="82">
        <v>3.0</v>
      </c>
      <c r="H1213" s="82">
        <v>1.0</v>
      </c>
      <c r="I1213" s="82">
        <v>3.0</v>
      </c>
      <c r="J1213" s="82">
        <v>50.0</v>
      </c>
      <c r="K1213" s="82">
        <v>16.66</v>
      </c>
      <c r="L1213" s="82" t="s">
        <v>971</v>
      </c>
    </row>
    <row r="1214" ht="15.0" customHeight="1">
      <c r="A1214" s="82" t="s">
        <v>4079</v>
      </c>
      <c r="B1214" s="82" t="s">
        <v>4080</v>
      </c>
      <c r="C1214" s="82" t="s">
        <v>182</v>
      </c>
      <c r="D1214" s="82" t="s">
        <v>4083</v>
      </c>
      <c r="E1214" s="79" t="s">
        <v>4084</v>
      </c>
      <c r="F1214" s="82" t="s">
        <v>2513</v>
      </c>
      <c r="G1214" s="82">
        <v>3.0</v>
      </c>
      <c r="H1214" s="82">
        <v>1.0</v>
      </c>
      <c r="I1214" s="82">
        <v>3.0</v>
      </c>
      <c r="J1214" s="82">
        <v>50.0</v>
      </c>
      <c r="K1214" s="82">
        <v>16.66</v>
      </c>
      <c r="L1214" s="82" t="s">
        <v>971</v>
      </c>
    </row>
    <row r="1215" ht="15.0" customHeight="1">
      <c r="A1215" s="82" t="s">
        <v>2507</v>
      </c>
      <c r="B1215" s="82" t="s">
        <v>2508</v>
      </c>
      <c r="C1215" s="82" t="s">
        <v>182</v>
      </c>
      <c r="D1215" s="82" t="s">
        <v>2518</v>
      </c>
      <c r="E1215" s="79" t="s">
        <v>2519</v>
      </c>
      <c r="F1215" s="82" t="s">
        <v>2513</v>
      </c>
      <c r="G1215" s="82">
        <v>3.0</v>
      </c>
      <c r="H1215" s="82">
        <v>3.0</v>
      </c>
      <c r="I1215" s="82">
        <v>3.0</v>
      </c>
      <c r="J1215" s="82">
        <v>50.0</v>
      </c>
      <c r="K1215" s="82">
        <v>16.66</v>
      </c>
      <c r="L1215" s="82" t="s">
        <v>971</v>
      </c>
    </row>
    <row r="1216" ht="15.0" customHeight="1">
      <c r="A1216" s="82" t="s">
        <v>2507</v>
      </c>
      <c r="B1216" s="82" t="s">
        <v>2508</v>
      </c>
      <c r="C1216" s="82" t="s">
        <v>182</v>
      </c>
      <c r="D1216" s="82" t="s">
        <v>2511</v>
      </c>
      <c r="E1216" s="79" t="s">
        <v>2512</v>
      </c>
      <c r="F1216" s="82" t="s">
        <v>2513</v>
      </c>
      <c r="G1216" s="82">
        <v>3.0</v>
      </c>
      <c r="H1216" s="82">
        <v>3.0</v>
      </c>
      <c r="I1216" s="82">
        <v>3.0</v>
      </c>
      <c r="J1216" s="82">
        <v>50.0</v>
      </c>
      <c r="K1216" s="82">
        <v>16.66</v>
      </c>
      <c r="L1216" s="82" t="s">
        <v>971</v>
      </c>
    </row>
    <row r="1217" ht="15.0" customHeight="1">
      <c r="A1217" s="82" t="s">
        <v>4085</v>
      </c>
      <c r="B1217" s="82" t="s">
        <v>4086</v>
      </c>
      <c r="C1217" s="82" t="s">
        <v>182</v>
      </c>
      <c r="D1217" s="82" t="s">
        <v>4087</v>
      </c>
      <c r="E1217" s="79" t="s">
        <v>4088</v>
      </c>
      <c r="F1217" s="82" t="s">
        <v>2513</v>
      </c>
      <c r="G1217" s="82">
        <v>2.0</v>
      </c>
      <c r="H1217" s="82">
        <v>1.0</v>
      </c>
      <c r="I1217" s="82">
        <v>2.0</v>
      </c>
      <c r="J1217" s="82">
        <v>50.0</v>
      </c>
      <c r="K1217" s="82">
        <v>25.0</v>
      </c>
      <c r="L1217" s="82" t="s">
        <v>971</v>
      </c>
    </row>
    <row r="1218" ht="15.0" customHeight="1">
      <c r="A1218" s="82" t="s">
        <v>4089</v>
      </c>
      <c r="B1218" s="82" t="s">
        <v>4080</v>
      </c>
      <c r="C1218" s="82" t="s">
        <v>182</v>
      </c>
      <c r="D1218" s="82" t="s">
        <v>4090</v>
      </c>
      <c r="E1218" s="79" t="s">
        <v>4091</v>
      </c>
      <c r="F1218" s="82" t="s">
        <v>2513</v>
      </c>
      <c r="G1218" s="82">
        <v>3.0</v>
      </c>
      <c r="H1218" s="82">
        <v>1.0</v>
      </c>
      <c r="I1218" s="82">
        <v>3.0</v>
      </c>
      <c r="J1218" s="82">
        <v>50.0</v>
      </c>
      <c r="K1218" s="82">
        <v>16.66</v>
      </c>
      <c r="L1218" s="82" t="s">
        <v>971</v>
      </c>
    </row>
    <row r="1219" ht="15.0" customHeight="1">
      <c r="A1219" s="82" t="s">
        <v>4092</v>
      </c>
      <c r="B1219" s="82" t="s">
        <v>4093</v>
      </c>
      <c r="C1219" s="82" t="s">
        <v>182</v>
      </c>
      <c r="D1219" s="82" t="s">
        <v>4094</v>
      </c>
      <c r="E1219" s="79" t="s">
        <v>4095</v>
      </c>
      <c r="F1219" s="82" t="s">
        <v>2513</v>
      </c>
      <c r="G1219" s="82">
        <v>10.0</v>
      </c>
      <c r="H1219" s="82">
        <v>1.0</v>
      </c>
      <c r="I1219" s="82">
        <v>10.0</v>
      </c>
      <c r="J1219" s="82">
        <v>50.0</v>
      </c>
      <c r="K1219" s="82">
        <v>5.0</v>
      </c>
      <c r="L1219" s="82" t="s">
        <v>971</v>
      </c>
    </row>
    <row r="1220" ht="15.0" customHeight="1">
      <c r="A1220" s="82" t="s">
        <v>4096</v>
      </c>
      <c r="B1220" s="82" t="s">
        <v>4097</v>
      </c>
      <c r="C1220" s="82" t="s">
        <v>182</v>
      </c>
      <c r="D1220" s="82" t="s">
        <v>4098</v>
      </c>
      <c r="E1220" s="79" t="s">
        <v>4099</v>
      </c>
      <c r="F1220" s="82" t="s">
        <v>2513</v>
      </c>
      <c r="G1220" s="82">
        <v>1.0</v>
      </c>
      <c r="H1220" s="82">
        <v>1.0</v>
      </c>
      <c r="I1220" s="82">
        <v>5.0</v>
      </c>
      <c r="J1220" s="82">
        <v>50.0</v>
      </c>
      <c r="K1220" s="82">
        <v>50.0</v>
      </c>
      <c r="L1220" s="82" t="s">
        <v>971</v>
      </c>
    </row>
    <row r="1221" ht="15.0" customHeight="1">
      <c r="A1221" s="82" t="s">
        <v>4100</v>
      </c>
      <c r="B1221" s="82" t="s">
        <v>4101</v>
      </c>
      <c r="C1221" s="82" t="s">
        <v>182</v>
      </c>
      <c r="D1221" s="82" t="s">
        <v>4102</v>
      </c>
      <c r="E1221" s="79" t="s">
        <v>4103</v>
      </c>
      <c r="F1221" s="82" t="s">
        <v>2513</v>
      </c>
      <c r="G1221" s="82">
        <v>8.0</v>
      </c>
      <c r="H1221" s="82">
        <v>2.0</v>
      </c>
      <c r="I1221" s="82">
        <v>8.0</v>
      </c>
      <c r="J1221" s="82">
        <v>50.0</v>
      </c>
      <c r="K1221" s="82">
        <v>6.25</v>
      </c>
      <c r="L1221" s="82" t="s">
        <v>971</v>
      </c>
    </row>
    <row r="1222" ht="15.0" customHeight="1">
      <c r="A1222" s="82" t="s">
        <v>3109</v>
      </c>
      <c r="B1222" s="82" t="s">
        <v>3110</v>
      </c>
      <c r="C1222" s="82" t="s">
        <v>182</v>
      </c>
      <c r="D1222" s="82" t="s">
        <v>3111</v>
      </c>
      <c r="E1222" s="79" t="s">
        <v>3112</v>
      </c>
      <c r="F1222" s="82" t="s">
        <v>2513</v>
      </c>
      <c r="G1222" s="82">
        <v>2.0</v>
      </c>
      <c r="H1222" s="82">
        <v>2.0</v>
      </c>
      <c r="I1222" s="82">
        <v>9.0</v>
      </c>
      <c r="J1222" s="82">
        <v>50.0</v>
      </c>
      <c r="K1222" s="82">
        <v>25.0</v>
      </c>
      <c r="L1222" s="82" t="s">
        <v>971</v>
      </c>
    </row>
    <row r="1223" ht="15.0" customHeight="1">
      <c r="A1223" s="82" t="s">
        <v>4104</v>
      </c>
      <c r="B1223" s="82" t="s">
        <v>4105</v>
      </c>
      <c r="C1223" s="82" t="s">
        <v>182</v>
      </c>
      <c r="D1223" s="82" t="s">
        <v>4106</v>
      </c>
      <c r="E1223" s="79" t="s">
        <v>4107</v>
      </c>
      <c r="F1223" s="82" t="s">
        <v>890</v>
      </c>
      <c r="G1223" s="82">
        <v>2.0</v>
      </c>
      <c r="H1223" s="82">
        <v>1.0</v>
      </c>
      <c r="I1223" s="82">
        <v>2.0</v>
      </c>
      <c r="J1223" s="82">
        <v>50.0</v>
      </c>
      <c r="K1223" s="82">
        <v>25.0</v>
      </c>
      <c r="L1223" s="82" t="s">
        <v>971</v>
      </c>
    </row>
    <row r="1224" ht="15.0" customHeight="1">
      <c r="A1224" s="82" t="s">
        <v>4108</v>
      </c>
      <c r="B1224" s="82" t="s">
        <v>4109</v>
      </c>
      <c r="C1224" s="82" t="s">
        <v>182</v>
      </c>
      <c r="D1224" s="82" t="s">
        <v>4110</v>
      </c>
      <c r="E1224" s="79" t="s">
        <v>4111</v>
      </c>
      <c r="F1224" s="82" t="s">
        <v>2513</v>
      </c>
      <c r="G1224" s="82">
        <v>1.0</v>
      </c>
      <c r="H1224" s="82">
        <v>1.0</v>
      </c>
      <c r="I1224" s="82">
        <v>1.0</v>
      </c>
      <c r="J1224" s="82">
        <v>50.0</v>
      </c>
      <c r="K1224" s="82">
        <v>50.0</v>
      </c>
      <c r="L1224" s="82" t="s">
        <v>971</v>
      </c>
    </row>
    <row r="1225" ht="15.0" customHeight="1">
      <c r="A1225" s="82" t="s">
        <v>3109</v>
      </c>
      <c r="B1225" s="82" t="s">
        <v>3110</v>
      </c>
      <c r="C1225" s="82" t="s">
        <v>182</v>
      </c>
      <c r="D1225" s="82" t="s">
        <v>3113</v>
      </c>
      <c r="E1225" s="79" t="s">
        <v>3114</v>
      </c>
      <c r="F1225" s="82" t="s">
        <v>2513</v>
      </c>
      <c r="G1225" s="82">
        <v>2.0</v>
      </c>
      <c r="H1225" s="82">
        <v>2.0</v>
      </c>
      <c r="I1225" s="82">
        <v>9.0</v>
      </c>
      <c r="J1225" s="82">
        <v>50.0</v>
      </c>
      <c r="K1225" s="82">
        <v>25.0</v>
      </c>
      <c r="L1225" s="82" t="s">
        <v>971</v>
      </c>
    </row>
    <row r="1226" ht="15.0" customHeight="1">
      <c r="A1226" s="82" t="s">
        <v>2536</v>
      </c>
      <c r="B1226" s="82" t="s">
        <v>2537</v>
      </c>
      <c r="C1226" s="82" t="s">
        <v>182</v>
      </c>
      <c r="D1226" s="82" t="s">
        <v>2546</v>
      </c>
      <c r="E1226" s="79" t="s">
        <v>2547</v>
      </c>
      <c r="F1226" s="82" t="s">
        <v>2513</v>
      </c>
      <c r="G1226" s="82">
        <v>3.0</v>
      </c>
      <c r="H1226" s="82">
        <v>3.0</v>
      </c>
      <c r="I1226" s="82">
        <v>3.0</v>
      </c>
      <c r="J1226" s="82">
        <v>50.0</v>
      </c>
      <c r="K1226" s="82">
        <v>16.66</v>
      </c>
      <c r="L1226" s="82" t="s">
        <v>971</v>
      </c>
    </row>
    <row r="1227" ht="15.0" customHeight="1">
      <c r="A1227" s="82" t="s">
        <v>2536</v>
      </c>
      <c r="B1227" s="82" t="s">
        <v>2537</v>
      </c>
      <c r="C1227" s="82" t="s">
        <v>182</v>
      </c>
      <c r="D1227" s="82" t="s">
        <v>2544</v>
      </c>
      <c r="E1227" s="79" t="s">
        <v>2545</v>
      </c>
      <c r="F1227" s="82" t="s">
        <v>890</v>
      </c>
      <c r="G1227" s="82">
        <v>3.0</v>
      </c>
      <c r="H1227" s="82">
        <v>3.0</v>
      </c>
      <c r="I1227" s="82">
        <v>3.0</v>
      </c>
      <c r="J1227" s="82">
        <v>50.0</v>
      </c>
      <c r="K1227" s="82">
        <v>16.66</v>
      </c>
      <c r="L1227" s="82" t="s">
        <v>971</v>
      </c>
    </row>
    <row r="1228" ht="15.0" customHeight="1">
      <c r="A1228" s="82" t="s">
        <v>4112</v>
      </c>
      <c r="B1228" s="82" t="s">
        <v>4080</v>
      </c>
      <c r="C1228" s="82" t="s">
        <v>182</v>
      </c>
      <c r="D1228" s="82" t="s">
        <v>4113</v>
      </c>
      <c r="E1228" s="79" t="s">
        <v>4114</v>
      </c>
      <c r="F1228" s="82" t="s">
        <v>2513</v>
      </c>
      <c r="G1228" s="82">
        <v>3.0</v>
      </c>
      <c r="H1228" s="82">
        <v>1.0</v>
      </c>
      <c r="I1228" s="82">
        <v>1.0</v>
      </c>
      <c r="J1228" s="82">
        <v>50.0</v>
      </c>
      <c r="K1228" s="82">
        <v>25.0</v>
      </c>
      <c r="L1228" s="82" t="s">
        <v>971</v>
      </c>
    </row>
    <row r="1229" ht="15.0" customHeight="1">
      <c r="A1229" s="82" t="s">
        <v>3109</v>
      </c>
      <c r="B1229" s="82" t="s">
        <v>3110</v>
      </c>
      <c r="C1229" s="82" t="s">
        <v>182</v>
      </c>
      <c r="D1229" s="82" t="s">
        <v>3115</v>
      </c>
      <c r="E1229" s="79" t="s">
        <v>3116</v>
      </c>
      <c r="F1229" s="82" t="s">
        <v>890</v>
      </c>
      <c r="G1229" s="82">
        <v>2.0</v>
      </c>
      <c r="H1229" s="82">
        <v>2.0</v>
      </c>
      <c r="I1229" s="82">
        <v>9.0</v>
      </c>
      <c r="J1229" s="82">
        <v>50.0</v>
      </c>
      <c r="K1229" s="82">
        <v>25.0</v>
      </c>
      <c r="L1229" s="82" t="s">
        <v>971</v>
      </c>
    </row>
    <row r="1230" ht="15.0" customHeight="1">
      <c r="A1230" s="82" t="s">
        <v>2619</v>
      </c>
      <c r="B1230" s="82" t="s">
        <v>2620</v>
      </c>
      <c r="C1230" s="82" t="s">
        <v>182</v>
      </c>
      <c r="D1230" s="82" t="s">
        <v>4115</v>
      </c>
      <c r="E1230" s="79" t="s">
        <v>2628</v>
      </c>
      <c r="F1230" s="82" t="s">
        <v>2513</v>
      </c>
      <c r="G1230" s="82">
        <v>5.0</v>
      </c>
      <c r="H1230" s="82">
        <v>2.0</v>
      </c>
      <c r="I1230" s="82">
        <v>5.0</v>
      </c>
      <c r="J1230" s="82">
        <v>50.0</v>
      </c>
      <c r="K1230" s="82">
        <v>10.0</v>
      </c>
      <c r="L1230" s="82" t="s">
        <v>971</v>
      </c>
    </row>
    <row r="1231" ht="15.0" customHeight="1">
      <c r="A1231" s="82" t="s">
        <v>4116</v>
      </c>
      <c r="B1231" s="82" t="s">
        <v>4117</v>
      </c>
      <c r="C1231" s="82" t="s">
        <v>182</v>
      </c>
      <c r="D1231" s="82" t="s">
        <v>4118</v>
      </c>
      <c r="E1231" s="79" t="s">
        <v>4119</v>
      </c>
      <c r="F1231" s="82" t="s">
        <v>2513</v>
      </c>
      <c r="G1231" s="82">
        <v>9.0</v>
      </c>
      <c r="H1231" s="82">
        <v>1.0</v>
      </c>
      <c r="I1231" s="82">
        <v>9.0</v>
      </c>
      <c r="J1231" s="82">
        <v>50.0</v>
      </c>
      <c r="K1231" s="82">
        <v>5.55</v>
      </c>
      <c r="L1231" s="82" t="s">
        <v>971</v>
      </c>
    </row>
    <row r="1232" ht="15.0" customHeight="1">
      <c r="A1232" s="82" t="s">
        <v>4120</v>
      </c>
      <c r="B1232" s="82" t="s">
        <v>4121</v>
      </c>
      <c r="C1232" s="82" t="s">
        <v>182</v>
      </c>
      <c r="D1232" s="82" t="s">
        <v>4122</v>
      </c>
      <c r="E1232" s="79" t="s">
        <v>4123</v>
      </c>
      <c r="F1232" s="82" t="s">
        <v>2513</v>
      </c>
      <c r="G1232" s="82">
        <v>2.0</v>
      </c>
      <c r="H1232" s="82">
        <v>1.0</v>
      </c>
      <c r="I1232" s="82">
        <v>2.0</v>
      </c>
      <c r="J1232" s="82">
        <v>50.0</v>
      </c>
      <c r="K1232" s="82">
        <v>25.0</v>
      </c>
      <c r="L1232" s="82" t="s">
        <v>971</v>
      </c>
    </row>
    <row r="1233" ht="15.0" customHeight="1">
      <c r="A1233" s="82" t="s">
        <v>4092</v>
      </c>
      <c r="B1233" s="82" t="s">
        <v>4093</v>
      </c>
      <c r="C1233" s="82" t="s">
        <v>182</v>
      </c>
      <c r="D1233" s="82" t="s">
        <v>4124</v>
      </c>
      <c r="E1233" s="79" t="s">
        <v>4125</v>
      </c>
      <c r="F1233" s="82" t="s">
        <v>2513</v>
      </c>
      <c r="G1233" s="82">
        <v>10.0</v>
      </c>
      <c r="H1233" s="82">
        <v>1.0</v>
      </c>
      <c r="I1233" s="82">
        <v>10.0</v>
      </c>
      <c r="J1233" s="82">
        <v>50.0</v>
      </c>
      <c r="K1233" s="82">
        <v>5.0</v>
      </c>
      <c r="L1233" s="82" t="s">
        <v>971</v>
      </c>
    </row>
    <row r="1234" ht="15.0" customHeight="1">
      <c r="A1234" s="82" t="s">
        <v>4104</v>
      </c>
      <c r="B1234" s="82" t="s">
        <v>4105</v>
      </c>
      <c r="C1234" s="82" t="s">
        <v>182</v>
      </c>
      <c r="D1234" s="82" t="s">
        <v>4126</v>
      </c>
      <c r="E1234" s="79" t="s">
        <v>4127</v>
      </c>
      <c r="F1234" s="82" t="s">
        <v>2513</v>
      </c>
      <c r="G1234" s="82">
        <v>2.0</v>
      </c>
      <c r="H1234" s="82">
        <v>1.0</v>
      </c>
      <c r="I1234" s="82">
        <v>2.0</v>
      </c>
      <c r="J1234" s="82">
        <v>50.0</v>
      </c>
      <c r="K1234" s="82">
        <v>25.0</v>
      </c>
      <c r="L1234" s="82" t="s">
        <v>971</v>
      </c>
    </row>
    <row r="1235" ht="15.0" customHeight="1">
      <c r="A1235" s="82" t="s">
        <v>3127</v>
      </c>
      <c r="B1235" s="82" t="s">
        <v>3128</v>
      </c>
      <c r="C1235" s="82" t="s">
        <v>182</v>
      </c>
      <c r="D1235" s="82" t="s">
        <v>4128</v>
      </c>
      <c r="E1235" s="79" t="s">
        <v>4129</v>
      </c>
      <c r="F1235" s="82" t="s">
        <v>2513</v>
      </c>
      <c r="G1235" s="82">
        <v>1.0</v>
      </c>
      <c r="H1235" s="82">
        <v>1.0</v>
      </c>
      <c r="I1235" s="82">
        <v>7.0</v>
      </c>
      <c r="J1235" s="82">
        <v>50.0</v>
      </c>
      <c r="K1235" s="82">
        <v>50.0</v>
      </c>
      <c r="L1235" s="82" t="s">
        <v>971</v>
      </c>
    </row>
    <row r="1236" ht="15.0" customHeight="1">
      <c r="A1236" s="82" t="s">
        <v>4112</v>
      </c>
      <c r="B1236" s="82" t="s">
        <v>4080</v>
      </c>
      <c r="C1236" s="82" t="s">
        <v>182</v>
      </c>
      <c r="D1236" s="82" t="s">
        <v>4130</v>
      </c>
      <c r="E1236" s="79" t="s">
        <v>4131</v>
      </c>
      <c r="F1236" s="82" t="s">
        <v>2513</v>
      </c>
      <c r="G1236" s="82">
        <v>3.0</v>
      </c>
      <c r="H1236" s="82">
        <v>1.0</v>
      </c>
      <c r="I1236" s="82">
        <v>3.0</v>
      </c>
      <c r="J1236" s="82">
        <v>50.0</v>
      </c>
      <c r="K1236" s="82">
        <v>16.66</v>
      </c>
      <c r="L1236" s="82" t="s">
        <v>971</v>
      </c>
    </row>
    <row r="1237" ht="15.0" customHeight="1">
      <c r="A1237" s="82" t="s">
        <v>3109</v>
      </c>
      <c r="B1237" s="82" t="s">
        <v>3110</v>
      </c>
      <c r="C1237" s="82" t="s">
        <v>182</v>
      </c>
      <c r="D1237" s="82" t="s">
        <v>4132</v>
      </c>
      <c r="E1237" s="79" t="s">
        <v>4133</v>
      </c>
      <c r="F1237" s="82" t="s">
        <v>2513</v>
      </c>
      <c r="G1237" s="82">
        <v>2.0</v>
      </c>
      <c r="H1237" s="82">
        <v>2.0</v>
      </c>
      <c r="I1237" s="82">
        <v>9.0</v>
      </c>
      <c r="J1237" s="82">
        <v>50.0</v>
      </c>
      <c r="K1237" s="82">
        <v>25.0</v>
      </c>
      <c r="L1237" s="82" t="s">
        <v>971</v>
      </c>
    </row>
    <row r="1238" ht="15.0" customHeight="1">
      <c r="A1238" s="82" t="s">
        <v>2536</v>
      </c>
      <c r="B1238" s="82" t="s">
        <v>2537</v>
      </c>
      <c r="C1238" s="82" t="s">
        <v>182</v>
      </c>
      <c r="D1238" s="82" t="s">
        <v>2542</v>
      </c>
      <c r="E1238" s="79" t="s">
        <v>2543</v>
      </c>
      <c r="F1238" s="82" t="s">
        <v>2513</v>
      </c>
      <c r="G1238" s="82">
        <v>3.0</v>
      </c>
      <c r="H1238" s="82">
        <v>3.0</v>
      </c>
      <c r="I1238" s="82">
        <v>3.0</v>
      </c>
      <c r="J1238" s="82">
        <v>50.0</v>
      </c>
      <c r="K1238" s="82">
        <v>16.66</v>
      </c>
      <c r="L1238" s="82" t="s">
        <v>971</v>
      </c>
    </row>
    <row r="1239" ht="15.0" customHeight="1">
      <c r="A1239" s="82" t="s">
        <v>4134</v>
      </c>
      <c r="B1239" s="82" t="s">
        <v>4135</v>
      </c>
      <c r="C1239" s="82" t="s">
        <v>182</v>
      </c>
      <c r="D1239" s="82" t="s">
        <v>4136</v>
      </c>
      <c r="E1239" s="79" t="s">
        <v>4137</v>
      </c>
      <c r="F1239" s="82" t="s">
        <v>2513</v>
      </c>
      <c r="G1239" s="82">
        <v>2.0</v>
      </c>
      <c r="H1239" s="82">
        <v>1.0</v>
      </c>
      <c r="I1239" s="82">
        <v>2.0</v>
      </c>
      <c r="J1239" s="82">
        <v>50.0</v>
      </c>
      <c r="K1239" s="82">
        <v>25.0</v>
      </c>
      <c r="L1239" s="82" t="s">
        <v>971</v>
      </c>
    </row>
    <row r="1240" ht="15.0" customHeight="1">
      <c r="A1240" s="82" t="s">
        <v>3139</v>
      </c>
      <c r="B1240" s="82" t="s">
        <v>3140</v>
      </c>
      <c r="C1240" s="82" t="s">
        <v>182</v>
      </c>
      <c r="D1240" s="82" t="s">
        <v>4138</v>
      </c>
      <c r="E1240" s="79" t="s">
        <v>3988</v>
      </c>
      <c r="F1240" s="82" t="s">
        <v>2513</v>
      </c>
      <c r="G1240" s="82">
        <v>6.0</v>
      </c>
      <c r="H1240" s="82">
        <v>5.0</v>
      </c>
      <c r="I1240" s="82">
        <v>6.0</v>
      </c>
      <c r="J1240" s="82">
        <v>50.0</v>
      </c>
      <c r="K1240" s="82">
        <v>8.33</v>
      </c>
      <c r="L1240" s="82" t="s">
        <v>971</v>
      </c>
    </row>
    <row r="1241" ht="15.0" customHeight="1">
      <c r="A1241" s="82" t="s">
        <v>4139</v>
      </c>
      <c r="B1241" s="82" t="s">
        <v>4140</v>
      </c>
      <c r="C1241" s="82" t="s">
        <v>182</v>
      </c>
      <c r="D1241" s="82" t="s">
        <v>4141</v>
      </c>
      <c r="E1241" s="79" t="s">
        <v>4142</v>
      </c>
      <c r="F1241" s="82" t="s">
        <v>2513</v>
      </c>
      <c r="G1241" s="82">
        <v>1.0</v>
      </c>
      <c r="H1241" s="82">
        <v>1.0</v>
      </c>
      <c r="I1241" s="82">
        <v>6.0</v>
      </c>
      <c r="J1241" s="82">
        <v>50.0</v>
      </c>
      <c r="K1241" s="82">
        <v>50.0</v>
      </c>
      <c r="L1241" s="82" t="s">
        <v>971</v>
      </c>
    </row>
    <row r="1242" ht="15.0" customHeight="1">
      <c r="A1242" s="82" t="s">
        <v>4092</v>
      </c>
      <c r="B1242" s="82" t="s">
        <v>4093</v>
      </c>
      <c r="C1242" s="82" t="s">
        <v>182</v>
      </c>
      <c r="D1242" s="82" t="s">
        <v>4143</v>
      </c>
      <c r="E1242" s="79" t="s">
        <v>4144</v>
      </c>
      <c r="F1242" s="82" t="s">
        <v>2513</v>
      </c>
      <c r="G1242" s="82">
        <v>10.0</v>
      </c>
      <c r="H1242" s="82">
        <v>1.0</v>
      </c>
      <c r="I1242" s="82">
        <v>10.0</v>
      </c>
      <c r="J1242" s="82">
        <v>50.0</v>
      </c>
      <c r="K1242" s="82">
        <v>5.0</v>
      </c>
      <c r="L1242" s="82" t="s">
        <v>971</v>
      </c>
    </row>
    <row r="1243" ht="15.0" customHeight="1">
      <c r="A1243" s="82" t="s">
        <v>2629</v>
      </c>
      <c r="B1243" s="82" t="s">
        <v>2630</v>
      </c>
      <c r="C1243" s="82" t="s">
        <v>182</v>
      </c>
      <c r="D1243" s="82" t="s">
        <v>2631</v>
      </c>
      <c r="E1243" s="79" t="s">
        <v>2632</v>
      </c>
      <c r="F1243" s="82" t="s">
        <v>2513</v>
      </c>
      <c r="G1243" s="82">
        <v>5.0</v>
      </c>
      <c r="H1243" s="82">
        <v>2.0</v>
      </c>
      <c r="I1243" s="82">
        <v>5.0</v>
      </c>
      <c r="J1243" s="82">
        <v>50.0</v>
      </c>
      <c r="K1243" s="82">
        <v>10.0</v>
      </c>
      <c r="L1243" s="82" t="s">
        <v>971</v>
      </c>
    </row>
    <row r="1244" ht="15.0" customHeight="1">
      <c r="A1244" s="82" t="s">
        <v>3117</v>
      </c>
      <c r="B1244" s="82" t="s">
        <v>3118</v>
      </c>
      <c r="C1244" s="82" t="s">
        <v>182</v>
      </c>
      <c r="D1244" s="82" t="s">
        <v>3119</v>
      </c>
      <c r="E1244" s="79" t="s">
        <v>3120</v>
      </c>
      <c r="F1244" s="82" t="s">
        <v>2513</v>
      </c>
      <c r="G1244" s="82">
        <v>6.0</v>
      </c>
      <c r="H1244" s="82">
        <v>6.0</v>
      </c>
      <c r="I1244" s="82">
        <v>6.0</v>
      </c>
      <c r="J1244" s="82">
        <v>50.0</v>
      </c>
      <c r="K1244" s="82">
        <v>8.88</v>
      </c>
      <c r="L1244" s="82" t="s">
        <v>971</v>
      </c>
    </row>
    <row r="1245" ht="15.0" customHeight="1">
      <c r="A1245" s="82" t="s">
        <v>2536</v>
      </c>
      <c r="B1245" s="82" t="s">
        <v>2537</v>
      </c>
      <c r="C1245" s="82" t="s">
        <v>182</v>
      </c>
      <c r="D1245" s="82" t="s">
        <v>2538</v>
      </c>
      <c r="E1245" s="79" t="s">
        <v>2539</v>
      </c>
      <c r="F1245" s="82" t="s">
        <v>890</v>
      </c>
      <c r="G1245" s="82">
        <v>3.0</v>
      </c>
      <c r="H1245" s="82">
        <v>3.0</v>
      </c>
      <c r="I1245" s="82">
        <v>3.0</v>
      </c>
      <c r="J1245" s="82">
        <v>50.0</v>
      </c>
      <c r="K1245" s="82">
        <v>16.66</v>
      </c>
      <c r="L1245" s="82" t="s">
        <v>971</v>
      </c>
    </row>
    <row r="1246" ht="15.0" customHeight="1">
      <c r="A1246" s="82" t="s">
        <v>2536</v>
      </c>
      <c r="B1246" s="82" t="s">
        <v>2537</v>
      </c>
      <c r="C1246" s="82" t="s">
        <v>182</v>
      </c>
      <c r="D1246" s="82" t="s">
        <v>2540</v>
      </c>
      <c r="E1246" s="79" t="s">
        <v>2541</v>
      </c>
      <c r="F1246" s="82" t="s">
        <v>890</v>
      </c>
      <c r="G1246" s="82">
        <v>3.0</v>
      </c>
      <c r="H1246" s="82">
        <v>3.0</v>
      </c>
      <c r="I1246" s="82">
        <v>3.0</v>
      </c>
      <c r="J1246" s="82">
        <v>50.0</v>
      </c>
      <c r="K1246" s="82">
        <v>16.66</v>
      </c>
      <c r="L1246" s="82" t="s">
        <v>971</v>
      </c>
    </row>
    <row r="1247" ht="15.0" customHeight="1">
      <c r="A1247" s="82" t="s">
        <v>4079</v>
      </c>
      <c r="B1247" s="82" t="s">
        <v>4080</v>
      </c>
      <c r="C1247" s="82" t="s">
        <v>182</v>
      </c>
      <c r="D1247" s="82" t="s">
        <v>4145</v>
      </c>
      <c r="E1247" s="79" t="s">
        <v>4146</v>
      </c>
      <c r="F1247" s="82" t="s">
        <v>2513</v>
      </c>
      <c r="G1247" s="82">
        <v>3.0</v>
      </c>
      <c r="H1247" s="82">
        <v>1.0</v>
      </c>
      <c r="I1247" s="82">
        <v>3.0</v>
      </c>
      <c r="J1247" s="82">
        <v>50.0</v>
      </c>
      <c r="K1247" s="82">
        <v>16.66</v>
      </c>
      <c r="L1247" s="82" t="s">
        <v>971</v>
      </c>
    </row>
    <row r="1248" ht="15.0" customHeight="1">
      <c r="A1248" s="82" t="s">
        <v>4147</v>
      </c>
      <c r="B1248" s="82" t="s">
        <v>4148</v>
      </c>
      <c r="C1248" s="82" t="s">
        <v>182</v>
      </c>
      <c r="D1248" s="82" t="s">
        <v>4149</v>
      </c>
      <c r="E1248" s="79" t="s">
        <v>4150</v>
      </c>
      <c r="F1248" s="82" t="s">
        <v>2513</v>
      </c>
      <c r="G1248" s="82">
        <v>1.0</v>
      </c>
      <c r="H1248" s="82">
        <v>1.0</v>
      </c>
      <c r="I1248" s="82">
        <v>7.0</v>
      </c>
      <c r="J1248" s="82">
        <v>50.0</v>
      </c>
      <c r="K1248" s="82">
        <v>50.0</v>
      </c>
      <c r="L1248" s="82" t="s">
        <v>971</v>
      </c>
    </row>
    <row r="1249" ht="15.0" customHeight="1">
      <c r="A1249" s="82" t="s">
        <v>2536</v>
      </c>
      <c r="B1249" s="82" t="s">
        <v>2537</v>
      </c>
      <c r="C1249" s="82" t="s">
        <v>182</v>
      </c>
      <c r="D1249" s="82" t="s">
        <v>2548</v>
      </c>
      <c r="E1249" s="79" t="s">
        <v>2549</v>
      </c>
      <c r="F1249" s="82" t="s">
        <v>890</v>
      </c>
      <c r="G1249" s="82">
        <v>3.0</v>
      </c>
      <c r="H1249" s="82">
        <v>3.0</v>
      </c>
      <c r="I1249" s="82">
        <v>3.0</v>
      </c>
      <c r="J1249" s="82">
        <v>50.0</v>
      </c>
      <c r="K1249" s="82">
        <v>16.66</v>
      </c>
      <c r="L1249" s="82" t="s">
        <v>971</v>
      </c>
    </row>
    <row r="1250" ht="15.0" customHeight="1">
      <c r="A1250" s="82" t="s">
        <v>4112</v>
      </c>
      <c r="B1250" s="82" t="s">
        <v>4080</v>
      </c>
      <c r="C1250" s="82" t="s">
        <v>182</v>
      </c>
      <c r="D1250" s="82" t="s">
        <v>4151</v>
      </c>
      <c r="E1250" s="79" t="s">
        <v>4152</v>
      </c>
      <c r="F1250" s="82" t="s">
        <v>890</v>
      </c>
      <c r="G1250" s="82">
        <v>3.0</v>
      </c>
      <c r="H1250" s="82">
        <v>1.0</v>
      </c>
      <c r="I1250" s="82">
        <v>3.0</v>
      </c>
      <c r="J1250" s="82">
        <v>50.0</v>
      </c>
      <c r="K1250" s="82">
        <v>16.66</v>
      </c>
      <c r="L1250" s="82" t="s">
        <v>971</v>
      </c>
    </row>
    <row r="1251" ht="15.0" customHeight="1">
      <c r="A1251" s="82" t="s">
        <v>4153</v>
      </c>
      <c r="B1251" s="82" t="s">
        <v>4154</v>
      </c>
      <c r="C1251" s="82" t="s">
        <v>182</v>
      </c>
      <c r="D1251" s="82" t="s">
        <v>4155</v>
      </c>
      <c r="E1251" s="79" t="s">
        <v>4156</v>
      </c>
      <c r="F1251" s="82" t="s">
        <v>2513</v>
      </c>
      <c r="G1251" s="82">
        <v>1.0</v>
      </c>
      <c r="H1251" s="82">
        <v>1.0</v>
      </c>
      <c r="I1251" s="82">
        <v>8.0</v>
      </c>
      <c r="J1251" s="82">
        <v>50.0</v>
      </c>
      <c r="K1251" s="82">
        <v>50.0</v>
      </c>
      <c r="L1251" s="82" t="s">
        <v>971</v>
      </c>
    </row>
    <row r="1252" ht="15.0" customHeight="1">
      <c r="A1252" s="82" t="s">
        <v>4157</v>
      </c>
      <c r="B1252" s="82" t="s">
        <v>4158</v>
      </c>
      <c r="C1252" s="82" t="s">
        <v>182</v>
      </c>
      <c r="D1252" s="82" t="s">
        <v>4159</v>
      </c>
      <c r="E1252" s="79" t="s">
        <v>4160</v>
      </c>
      <c r="F1252" s="82" t="s">
        <v>2513</v>
      </c>
      <c r="G1252" s="82">
        <v>1.0</v>
      </c>
      <c r="H1252" s="82">
        <v>1.0</v>
      </c>
      <c r="I1252" s="82">
        <v>9.0</v>
      </c>
      <c r="J1252" s="82">
        <v>50.0</v>
      </c>
      <c r="K1252" s="82">
        <v>0.0</v>
      </c>
      <c r="L1252" s="82" t="s">
        <v>971</v>
      </c>
    </row>
    <row r="1253" ht="15.0" customHeight="1">
      <c r="A1253" s="82" t="s">
        <v>4092</v>
      </c>
      <c r="B1253" s="82" t="s">
        <v>4093</v>
      </c>
      <c r="C1253" s="82" t="s">
        <v>182</v>
      </c>
      <c r="D1253" s="82" t="s">
        <v>4161</v>
      </c>
      <c r="E1253" s="79" t="s">
        <v>4162</v>
      </c>
      <c r="F1253" s="82" t="s">
        <v>2513</v>
      </c>
      <c r="G1253" s="82">
        <v>10.0</v>
      </c>
      <c r="H1253" s="82">
        <v>1.0</v>
      </c>
      <c r="I1253" s="82">
        <v>10.0</v>
      </c>
      <c r="J1253" s="82">
        <v>50.0</v>
      </c>
      <c r="K1253" s="82">
        <v>5.0</v>
      </c>
      <c r="L1253" s="82" t="s">
        <v>971</v>
      </c>
    </row>
    <row r="1254" ht="15.0" customHeight="1">
      <c r="A1254" s="82" t="s">
        <v>2507</v>
      </c>
      <c r="B1254" s="82" t="s">
        <v>2508</v>
      </c>
      <c r="C1254" s="82" t="s">
        <v>182</v>
      </c>
      <c r="D1254" s="82" t="s">
        <v>2524</v>
      </c>
      <c r="E1254" s="79" t="s">
        <v>2525</v>
      </c>
      <c r="F1254" s="82" t="s">
        <v>2513</v>
      </c>
      <c r="G1254" s="82">
        <v>3.0</v>
      </c>
      <c r="H1254" s="82">
        <v>3.0</v>
      </c>
      <c r="I1254" s="82">
        <v>3.0</v>
      </c>
      <c r="J1254" s="82">
        <v>50.0</v>
      </c>
      <c r="K1254" s="82">
        <v>16.66</v>
      </c>
      <c r="L1254" s="82" t="s">
        <v>971</v>
      </c>
    </row>
    <row r="1255" ht="15.0" customHeight="1">
      <c r="A1255" s="82" t="s">
        <v>4079</v>
      </c>
      <c r="B1255" s="82" t="s">
        <v>4080</v>
      </c>
      <c r="C1255" s="82" t="s">
        <v>182</v>
      </c>
      <c r="D1255" s="82" t="s">
        <v>4163</v>
      </c>
      <c r="E1255" s="79" t="s">
        <v>4164</v>
      </c>
      <c r="F1255" s="82" t="s">
        <v>2513</v>
      </c>
      <c r="G1255" s="82">
        <v>3.0</v>
      </c>
      <c r="H1255" s="82">
        <v>1.0</v>
      </c>
      <c r="I1255" s="82">
        <v>3.0</v>
      </c>
      <c r="J1255" s="82">
        <v>50.0</v>
      </c>
      <c r="K1255" s="82">
        <v>16.66</v>
      </c>
      <c r="L1255" s="82" t="s">
        <v>971</v>
      </c>
    </row>
    <row r="1256" ht="15.0" customHeight="1">
      <c r="A1256" s="82" t="s">
        <v>3109</v>
      </c>
      <c r="B1256" s="82" t="s">
        <v>3110</v>
      </c>
      <c r="C1256" s="82" t="s">
        <v>182</v>
      </c>
      <c r="D1256" s="82" t="s">
        <v>3121</v>
      </c>
      <c r="E1256" s="79" t="s">
        <v>3122</v>
      </c>
      <c r="F1256" s="82" t="s">
        <v>2513</v>
      </c>
      <c r="G1256" s="82">
        <v>2.0</v>
      </c>
      <c r="H1256" s="82">
        <v>2.0</v>
      </c>
      <c r="I1256" s="82">
        <v>9.0</v>
      </c>
      <c r="J1256" s="82">
        <v>50.0</v>
      </c>
      <c r="K1256" s="82">
        <v>25.0</v>
      </c>
      <c r="L1256" s="82" t="s">
        <v>971</v>
      </c>
    </row>
    <row r="1257" ht="15.0" customHeight="1">
      <c r="A1257" s="82" t="s">
        <v>4165</v>
      </c>
      <c r="B1257" s="82" t="s">
        <v>4166</v>
      </c>
      <c r="C1257" s="82" t="s">
        <v>182</v>
      </c>
      <c r="D1257" s="82" t="s">
        <v>4167</v>
      </c>
      <c r="E1257" s="79" t="s">
        <v>4168</v>
      </c>
      <c r="F1257" s="82" t="s">
        <v>2513</v>
      </c>
      <c r="G1257" s="82">
        <v>1.0</v>
      </c>
      <c r="H1257" s="82">
        <v>1.0</v>
      </c>
      <c r="I1257" s="82">
        <v>8.0</v>
      </c>
      <c r="J1257" s="82">
        <v>50.0</v>
      </c>
      <c r="K1257" s="82">
        <v>50.0</v>
      </c>
      <c r="L1257" s="82" t="s">
        <v>971</v>
      </c>
    </row>
    <row r="1258" ht="15.0" customHeight="1">
      <c r="A1258" s="82" t="s">
        <v>3123</v>
      </c>
      <c r="B1258" s="82" t="s">
        <v>3124</v>
      </c>
      <c r="C1258" s="82" t="s">
        <v>182</v>
      </c>
      <c r="D1258" s="82" t="s">
        <v>3125</v>
      </c>
      <c r="E1258" s="79" t="s">
        <v>3126</v>
      </c>
      <c r="F1258" s="82" t="s">
        <v>890</v>
      </c>
      <c r="G1258" s="82">
        <v>2.0</v>
      </c>
      <c r="H1258" s="82">
        <v>1.0</v>
      </c>
      <c r="I1258" s="82">
        <v>3.0</v>
      </c>
      <c r="J1258" s="82">
        <v>50.0</v>
      </c>
      <c r="K1258" s="82">
        <v>25.0</v>
      </c>
      <c r="L1258" s="82" t="s">
        <v>971</v>
      </c>
    </row>
    <row r="1259" ht="15.0" customHeight="1">
      <c r="A1259" s="82" t="s">
        <v>3127</v>
      </c>
      <c r="B1259" s="82" t="s">
        <v>3128</v>
      </c>
      <c r="C1259" s="82" t="s">
        <v>182</v>
      </c>
      <c r="D1259" s="82" t="s">
        <v>3129</v>
      </c>
      <c r="E1259" s="79" t="s">
        <v>3130</v>
      </c>
      <c r="F1259" s="82" t="s">
        <v>2513</v>
      </c>
      <c r="G1259" s="82">
        <v>1.0</v>
      </c>
      <c r="H1259" s="82">
        <v>1.0</v>
      </c>
      <c r="I1259" s="82">
        <v>7.0</v>
      </c>
      <c r="J1259" s="82">
        <v>50.0</v>
      </c>
      <c r="K1259" s="82">
        <v>50.0</v>
      </c>
      <c r="L1259" s="82" t="s">
        <v>971</v>
      </c>
    </row>
    <row r="1260" ht="15.0" customHeight="1">
      <c r="A1260" s="82" t="s">
        <v>4104</v>
      </c>
      <c r="B1260" s="82" t="s">
        <v>4105</v>
      </c>
      <c r="C1260" s="82" t="s">
        <v>182</v>
      </c>
      <c r="D1260" s="82" t="s">
        <v>4169</v>
      </c>
      <c r="E1260" s="79" t="s">
        <v>4170</v>
      </c>
      <c r="F1260" s="82" t="s">
        <v>2513</v>
      </c>
      <c r="G1260" s="82">
        <v>2.0</v>
      </c>
      <c r="H1260" s="82">
        <v>1.0</v>
      </c>
      <c r="I1260" s="82">
        <v>2.0</v>
      </c>
      <c r="J1260" s="82">
        <v>50.0</v>
      </c>
      <c r="K1260" s="82">
        <v>25.0</v>
      </c>
      <c r="L1260" s="82" t="s">
        <v>971</v>
      </c>
    </row>
    <row r="1261" ht="15.0" customHeight="1">
      <c r="A1261" s="82" t="s">
        <v>4079</v>
      </c>
      <c r="B1261" s="82" t="s">
        <v>4080</v>
      </c>
      <c r="C1261" s="82" t="s">
        <v>182</v>
      </c>
      <c r="D1261" s="82" t="s">
        <v>4171</v>
      </c>
      <c r="E1261" s="79" t="s">
        <v>4172</v>
      </c>
      <c r="F1261" s="82" t="s">
        <v>2513</v>
      </c>
      <c r="G1261" s="82">
        <v>3.0</v>
      </c>
      <c r="H1261" s="82">
        <v>1.0</v>
      </c>
      <c r="I1261" s="82">
        <v>3.0</v>
      </c>
      <c r="J1261" s="82">
        <v>50.0</v>
      </c>
      <c r="K1261" s="82">
        <v>16.66</v>
      </c>
      <c r="L1261" s="82" t="s">
        <v>971</v>
      </c>
    </row>
    <row r="1262" ht="15.0" customHeight="1">
      <c r="A1262" s="82" t="s">
        <v>4173</v>
      </c>
      <c r="B1262" s="82" t="s">
        <v>4174</v>
      </c>
      <c r="C1262" s="82" t="s">
        <v>182</v>
      </c>
      <c r="D1262" s="82" t="s">
        <v>4175</v>
      </c>
      <c r="E1262" s="79" t="s">
        <v>4176</v>
      </c>
      <c r="F1262" s="82" t="s">
        <v>2513</v>
      </c>
      <c r="G1262" s="82">
        <v>1.0</v>
      </c>
      <c r="H1262" s="82">
        <v>1.0</v>
      </c>
      <c r="I1262" s="82">
        <v>10.0</v>
      </c>
      <c r="J1262" s="82">
        <v>50.0</v>
      </c>
      <c r="K1262" s="82"/>
      <c r="L1262" s="82" t="s">
        <v>971</v>
      </c>
    </row>
    <row r="1263" ht="15.0" customHeight="1">
      <c r="A1263" s="82" t="s">
        <v>4092</v>
      </c>
      <c r="B1263" s="82" t="s">
        <v>4093</v>
      </c>
      <c r="C1263" s="82" t="s">
        <v>182</v>
      </c>
      <c r="D1263" s="82" t="s">
        <v>4177</v>
      </c>
      <c r="E1263" s="79" t="s">
        <v>4178</v>
      </c>
      <c r="F1263" s="82" t="s">
        <v>2513</v>
      </c>
      <c r="G1263" s="82">
        <v>10.0</v>
      </c>
      <c r="H1263" s="82">
        <v>1.0</v>
      </c>
      <c r="I1263" s="82">
        <v>10.0</v>
      </c>
      <c r="J1263" s="82">
        <v>50.0</v>
      </c>
      <c r="K1263" s="82">
        <v>5.0</v>
      </c>
      <c r="L1263" s="82" t="s">
        <v>971</v>
      </c>
    </row>
    <row r="1264" ht="15.0" customHeight="1">
      <c r="A1264" s="82" t="s">
        <v>4179</v>
      </c>
      <c r="B1264" s="82" t="s">
        <v>4180</v>
      </c>
      <c r="C1264" s="82" t="s">
        <v>182</v>
      </c>
      <c r="D1264" s="82" t="s">
        <v>4181</v>
      </c>
      <c r="E1264" s="79" t="s">
        <v>4182</v>
      </c>
      <c r="F1264" s="82" t="s">
        <v>2513</v>
      </c>
      <c r="G1264" s="82">
        <v>4.0</v>
      </c>
      <c r="H1264" s="82">
        <v>1.0</v>
      </c>
      <c r="I1264" s="82">
        <v>4.0</v>
      </c>
      <c r="J1264" s="82">
        <v>50.0</v>
      </c>
      <c r="K1264" s="82">
        <v>12.5</v>
      </c>
      <c r="L1264" s="82" t="s">
        <v>971</v>
      </c>
    </row>
    <row r="1265" ht="15.0" customHeight="1">
      <c r="A1265" s="82" t="s">
        <v>4183</v>
      </c>
      <c r="B1265" s="82" t="s">
        <v>4184</v>
      </c>
      <c r="C1265" s="82" t="s">
        <v>182</v>
      </c>
      <c r="D1265" s="82" t="s">
        <v>4185</v>
      </c>
      <c r="E1265" s="79" t="s">
        <v>4186</v>
      </c>
      <c r="F1265" s="82" t="s">
        <v>890</v>
      </c>
      <c r="G1265" s="82">
        <v>1.0</v>
      </c>
      <c r="H1265" s="82">
        <v>1.0</v>
      </c>
      <c r="I1265" s="82">
        <v>5.0</v>
      </c>
      <c r="J1265" s="82">
        <v>50.0</v>
      </c>
      <c r="K1265" s="82">
        <v>50.0</v>
      </c>
      <c r="L1265" s="82" t="s">
        <v>971</v>
      </c>
    </row>
    <row r="1266" ht="15.0" customHeight="1">
      <c r="A1266" s="82" t="s">
        <v>4187</v>
      </c>
      <c r="B1266" s="82" t="s">
        <v>4148</v>
      </c>
      <c r="C1266" s="82" t="s">
        <v>182</v>
      </c>
      <c r="D1266" s="82" t="s">
        <v>4188</v>
      </c>
      <c r="E1266" s="79" t="s">
        <v>4189</v>
      </c>
      <c r="F1266" s="82" t="s">
        <v>2513</v>
      </c>
      <c r="G1266" s="82">
        <v>1.0</v>
      </c>
      <c r="H1266" s="82">
        <v>1.0</v>
      </c>
      <c r="I1266" s="82">
        <v>7.0</v>
      </c>
      <c r="J1266" s="82">
        <v>50.0</v>
      </c>
      <c r="K1266" s="82">
        <v>50.0</v>
      </c>
      <c r="L1266" s="82" t="s">
        <v>971</v>
      </c>
    </row>
    <row r="1267" ht="15.0" customHeight="1">
      <c r="A1267" s="82" t="s">
        <v>4104</v>
      </c>
      <c r="B1267" s="82" t="s">
        <v>4105</v>
      </c>
      <c r="C1267" s="82" t="s">
        <v>182</v>
      </c>
      <c r="D1267" s="82" t="s">
        <v>4190</v>
      </c>
      <c r="E1267" s="79" t="s">
        <v>4191</v>
      </c>
      <c r="F1267" s="82" t="s">
        <v>2513</v>
      </c>
      <c r="G1267" s="82">
        <v>2.0</v>
      </c>
      <c r="H1267" s="82">
        <v>1.0</v>
      </c>
      <c r="I1267" s="82">
        <v>2.0</v>
      </c>
      <c r="J1267" s="82">
        <v>50.0</v>
      </c>
      <c r="K1267" s="82">
        <v>25.0</v>
      </c>
      <c r="L1267" s="82" t="s">
        <v>971</v>
      </c>
    </row>
    <row r="1268" ht="15.0" customHeight="1">
      <c r="A1268" s="82" t="s">
        <v>4192</v>
      </c>
      <c r="B1268" s="82" t="s">
        <v>4193</v>
      </c>
      <c r="C1268" s="82" t="s">
        <v>182</v>
      </c>
      <c r="D1268" s="82" t="s">
        <v>4194</v>
      </c>
      <c r="E1268" s="79" t="s">
        <v>4195</v>
      </c>
      <c r="F1268" s="82" t="s">
        <v>890</v>
      </c>
      <c r="G1268" s="82">
        <v>5.0</v>
      </c>
      <c r="H1268" s="82">
        <v>2.0</v>
      </c>
      <c r="I1268" s="82">
        <v>5.0</v>
      </c>
      <c r="J1268" s="82">
        <v>50.0</v>
      </c>
      <c r="K1268" s="82">
        <v>10.0</v>
      </c>
      <c r="L1268" s="82" t="s">
        <v>971</v>
      </c>
    </row>
    <row r="1269" ht="15.0" customHeight="1">
      <c r="A1269" s="82" t="s">
        <v>4196</v>
      </c>
      <c r="B1269" s="82" t="s">
        <v>4197</v>
      </c>
      <c r="C1269" s="82" t="s">
        <v>182</v>
      </c>
      <c r="D1269" s="82" t="s">
        <v>4198</v>
      </c>
      <c r="E1269" s="79" t="s">
        <v>4199</v>
      </c>
      <c r="F1269" s="82" t="s">
        <v>2513</v>
      </c>
      <c r="G1269" s="82">
        <v>2.0</v>
      </c>
      <c r="H1269" s="82">
        <v>2.0</v>
      </c>
      <c r="I1269" s="82">
        <v>9.0</v>
      </c>
      <c r="J1269" s="82">
        <v>50.0</v>
      </c>
      <c r="K1269" s="82">
        <v>25.0</v>
      </c>
      <c r="L1269" s="82" t="s">
        <v>971</v>
      </c>
    </row>
    <row r="1270" ht="15.0" customHeight="1">
      <c r="A1270" s="82" t="s">
        <v>4200</v>
      </c>
      <c r="B1270" s="82" t="s">
        <v>4201</v>
      </c>
      <c r="C1270" s="82" t="s">
        <v>182</v>
      </c>
      <c r="D1270" s="82" t="s">
        <v>4198</v>
      </c>
      <c r="E1270" s="79" t="s">
        <v>4199</v>
      </c>
      <c r="F1270" s="82" t="s">
        <v>2513</v>
      </c>
      <c r="G1270" s="82">
        <v>1.0</v>
      </c>
      <c r="H1270" s="82">
        <v>1.0</v>
      </c>
      <c r="I1270" s="82">
        <v>7.0</v>
      </c>
      <c r="J1270" s="82">
        <v>50.0</v>
      </c>
      <c r="K1270" s="82">
        <v>50.0</v>
      </c>
      <c r="L1270" s="82" t="s">
        <v>971</v>
      </c>
    </row>
    <row r="1271" ht="15.0" customHeight="1">
      <c r="A1271" s="82" t="s">
        <v>4112</v>
      </c>
      <c r="B1271" s="82" t="s">
        <v>4080</v>
      </c>
      <c r="C1271" s="82" t="s">
        <v>182</v>
      </c>
      <c r="D1271" s="82" t="s">
        <v>4202</v>
      </c>
      <c r="E1271" s="79" t="s">
        <v>4203</v>
      </c>
      <c r="F1271" s="82" t="s">
        <v>2513</v>
      </c>
      <c r="G1271" s="82">
        <v>3.0</v>
      </c>
      <c r="H1271" s="82">
        <v>1.0</v>
      </c>
      <c r="I1271" s="82">
        <v>3.0</v>
      </c>
      <c r="J1271" s="82">
        <v>50.0</v>
      </c>
      <c r="K1271" s="82">
        <v>16.66</v>
      </c>
      <c r="L1271" s="82" t="s">
        <v>971</v>
      </c>
    </row>
    <row r="1272" ht="15.0" customHeight="1">
      <c r="A1272" s="82" t="s">
        <v>2532</v>
      </c>
      <c r="B1272" s="82" t="s">
        <v>2533</v>
      </c>
      <c r="C1272" s="82" t="s">
        <v>182</v>
      </c>
      <c r="D1272" s="82" t="s">
        <v>2534</v>
      </c>
      <c r="E1272" s="79" t="s">
        <v>2535</v>
      </c>
      <c r="F1272" s="82" t="s">
        <v>2513</v>
      </c>
      <c r="G1272" s="82">
        <v>3.0</v>
      </c>
      <c r="H1272" s="82">
        <v>3.0</v>
      </c>
      <c r="I1272" s="82">
        <v>3.0</v>
      </c>
      <c r="J1272" s="82">
        <v>50.0</v>
      </c>
      <c r="K1272" s="82">
        <v>16.66</v>
      </c>
      <c r="L1272" s="82" t="s">
        <v>971</v>
      </c>
    </row>
    <row r="1273" ht="15.0" customHeight="1">
      <c r="A1273" s="82" t="s">
        <v>4112</v>
      </c>
      <c r="B1273" s="82" t="s">
        <v>4080</v>
      </c>
      <c r="C1273" s="82" t="s">
        <v>182</v>
      </c>
      <c r="D1273" s="82" t="s">
        <v>4204</v>
      </c>
      <c r="E1273" s="79" t="s">
        <v>4205</v>
      </c>
      <c r="F1273" s="82" t="s">
        <v>2513</v>
      </c>
      <c r="G1273" s="82">
        <v>3.0</v>
      </c>
      <c r="H1273" s="82">
        <v>1.0</v>
      </c>
      <c r="I1273" s="82">
        <v>3.0</v>
      </c>
      <c r="J1273" s="82">
        <v>50.0</v>
      </c>
      <c r="K1273" s="82">
        <v>16.66</v>
      </c>
      <c r="L1273" s="82" t="s">
        <v>971</v>
      </c>
    </row>
    <row r="1274" ht="15.0" customHeight="1">
      <c r="A1274" s="82" t="s">
        <v>4206</v>
      </c>
      <c r="B1274" s="82" t="s">
        <v>4207</v>
      </c>
      <c r="C1274" s="82" t="s">
        <v>182</v>
      </c>
      <c r="D1274" s="82" t="s">
        <v>4208</v>
      </c>
      <c r="E1274" s="79" t="s">
        <v>4209</v>
      </c>
      <c r="F1274" s="82" t="s">
        <v>2513</v>
      </c>
      <c r="G1274" s="82">
        <v>1.0</v>
      </c>
      <c r="H1274" s="82">
        <v>1.0</v>
      </c>
      <c r="I1274" s="82">
        <v>9.0</v>
      </c>
      <c r="J1274" s="82">
        <v>50.0</v>
      </c>
      <c r="K1274" s="82">
        <v>50.0</v>
      </c>
      <c r="L1274" s="82" t="s">
        <v>971</v>
      </c>
    </row>
    <row r="1275" ht="15.0" customHeight="1">
      <c r="A1275" s="82" t="s">
        <v>4210</v>
      </c>
      <c r="B1275" s="82" t="s">
        <v>4154</v>
      </c>
      <c r="C1275" s="82" t="s">
        <v>182</v>
      </c>
      <c r="D1275" s="82" t="s">
        <v>4211</v>
      </c>
      <c r="E1275" s="79" t="s">
        <v>4212</v>
      </c>
      <c r="F1275" s="82" t="s">
        <v>2513</v>
      </c>
      <c r="G1275" s="82">
        <v>1.0</v>
      </c>
      <c r="H1275" s="82">
        <v>1.0</v>
      </c>
      <c r="I1275" s="82">
        <v>7.0</v>
      </c>
      <c r="J1275" s="82">
        <v>50.0</v>
      </c>
      <c r="K1275" s="82">
        <v>50.0</v>
      </c>
      <c r="L1275" s="82" t="s">
        <v>971</v>
      </c>
    </row>
    <row r="1276" ht="15.0" customHeight="1">
      <c r="A1276" s="82" t="s">
        <v>4092</v>
      </c>
      <c r="B1276" s="82" t="s">
        <v>4093</v>
      </c>
      <c r="C1276" s="82" t="s">
        <v>182</v>
      </c>
      <c r="D1276" s="82" t="s">
        <v>4213</v>
      </c>
      <c r="E1276" s="79" t="s">
        <v>4214</v>
      </c>
      <c r="F1276" s="82" t="s">
        <v>2513</v>
      </c>
      <c r="G1276" s="82">
        <v>10.0</v>
      </c>
      <c r="H1276" s="82">
        <v>1.0</v>
      </c>
      <c r="I1276" s="82">
        <v>10.0</v>
      </c>
      <c r="J1276" s="82">
        <v>50.0</v>
      </c>
      <c r="K1276" s="82">
        <v>5.0</v>
      </c>
      <c r="L1276" s="82" t="s">
        <v>971</v>
      </c>
    </row>
    <row r="1277" ht="15.0" customHeight="1">
      <c r="A1277" s="82" t="s">
        <v>4104</v>
      </c>
      <c r="B1277" s="82" t="s">
        <v>4105</v>
      </c>
      <c r="C1277" s="82" t="s">
        <v>182</v>
      </c>
      <c r="D1277" s="82" t="s">
        <v>4215</v>
      </c>
      <c r="E1277" s="79" t="s">
        <v>4216</v>
      </c>
      <c r="F1277" s="82" t="s">
        <v>890</v>
      </c>
      <c r="G1277" s="82">
        <v>2.0</v>
      </c>
      <c r="H1277" s="82">
        <v>1.0</v>
      </c>
      <c r="I1277" s="82">
        <v>2.0</v>
      </c>
      <c r="J1277" s="82">
        <v>50.0</v>
      </c>
      <c r="K1277" s="82">
        <v>25.0</v>
      </c>
      <c r="L1277" s="82" t="s">
        <v>971</v>
      </c>
    </row>
    <row r="1278" ht="15.0" customHeight="1">
      <c r="A1278" s="82" t="s">
        <v>2507</v>
      </c>
      <c r="B1278" s="82" t="s">
        <v>2508</v>
      </c>
      <c r="C1278" s="82" t="s">
        <v>182</v>
      </c>
      <c r="D1278" s="82" t="s">
        <v>2514</v>
      </c>
      <c r="E1278" s="79" t="s">
        <v>2515</v>
      </c>
      <c r="F1278" s="82" t="s">
        <v>890</v>
      </c>
      <c r="G1278" s="82">
        <v>3.0</v>
      </c>
      <c r="H1278" s="82">
        <v>3.0</v>
      </c>
      <c r="I1278" s="82">
        <v>3.0</v>
      </c>
      <c r="J1278" s="82">
        <v>16.66</v>
      </c>
      <c r="K1278" s="82"/>
      <c r="L1278" s="82" t="s">
        <v>971</v>
      </c>
    </row>
    <row r="1279" ht="15.0" customHeight="1">
      <c r="A1279" s="82" t="s">
        <v>2507</v>
      </c>
      <c r="B1279" s="82" t="s">
        <v>2508</v>
      </c>
      <c r="C1279" s="82" t="s">
        <v>182</v>
      </c>
      <c r="D1279" s="82" t="s">
        <v>2522</v>
      </c>
      <c r="E1279" s="79" t="s">
        <v>2523</v>
      </c>
      <c r="F1279" s="82" t="s">
        <v>2513</v>
      </c>
      <c r="G1279" s="82">
        <v>3.0</v>
      </c>
      <c r="H1279" s="82">
        <v>3.0</v>
      </c>
      <c r="I1279" s="82">
        <v>3.0</v>
      </c>
      <c r="J1279" s="82">
        <v>50.0</v>
      </c>
      <c r="K1279" s="82">
        <v>16.66</v>
      </c>
      <c r="L1279" s="82" t="s">
        <v>971</v>
      </c>
    </row>
    <row r="1280" ht="15.0" customHeight="1">
      <c r="A1280" s="82" t="s">
        <v>2633</v>
      </c>
      <c r="B1280" s="82" t="s">
        <v>2634</v>
      </c>
      <c r="C1280" s="82" t="s">
        <v>182</v>
      </c>
      <c r="D1280" s="82" t="s">
        <v>2635</v>
      </c>
      <c r="E1280" s="79" t="s">
        <v>2636</v>
      </c>
      <c r="F1280" s="82" t="s">
        <v>890</v>
      </c>
      <c r="G1280" s="82">
        <v>4.0</v>
      </c>
      <c r="H1280" s="82">
        <v>2.0</v>
      </c>
      <c r="I1280" s="82">
        <v>4.0</v>
      </c>
      <c r="J1280" s="82">
        <v>50.0</v>
      </c>
      <c r="K1280" s="82">
        <v>12.5</v>
      </c>
      <c r="L1280" s="82" t="s">
        <v>971</v>
      </c>
    </row>
    <row r="1281" ht="15.0" customHeight="1">
      <c r="A1281" s="82" t="s">
        <v>4157</v>
      </c>
      <c r="B1281" s="82" t="s">
        <v>4158</v>
      </c>
      <c r="C1281" s="82" t="s">
        <v>182</v>
      </c>
      <c r="D1281" s="82" t="s">
        <v>4217</v>
      </c>
      <c r="E1281" s="79" t="s">
        <v>4218</v>
      </c>
      <c r="F1281" s="82" t="s">
        <v>2513</v>
      </c>
      <c r="G1281" s="82">
        <v>1.0</v>
      </c>
      <c r="H1281" s="82">
        <v>1.0</v>
      </c>
      <c r="I1281" s="82">
        <v>9.0</v>
      </c>
      <c r="J1281" s="82">
        <v>50.0</v>
      </c>
      <c r="K1281" s="82">
        <v>50.0</v>
      </c>
      <c r="L1281" s="82" t="s">
        <v>971</v>
      </c>
    </row>
    <row r="1282" ht="15.0" customHeight="1">
      <c r="A1282" s="82" t="s">
        <v>3131</v>
      </c>
      <c r="B1282" s="82" t="s">
        <v>3132</v>
      </c>
      <c r="C1282" s="82" t="s">
        <v>182</v>
      </c>
      <c r="D1282" s="82" t="s">
        <v>3133</v>
      </c>
      <c r="E1282" s="79" t="s">
        <v>3134</v>
      </c>
      <c r="F1282" s="82" t="s">
        <v>890</v>
      </c>
      <c r="G1282" s="82">
        <v>2.0</v>
      </c>
      <c r="H1282" s="82">
        <v>2.0</v>
      </c>
      <c r="I1282" s="82">
        <v>9.0</v>
      </c>
      <c r="J1282" s="82">
        <v>50.0</v>
      </c>
      <c r="K1282" s="82">
        <v>25.0</v>
      </c>
      <c r="L1282" s="82" t="s">
        <v>971</v>
      </c>
    </row>
    <row r="1283" ht="15.0" customHeight="1">
      <c r="A1283" s="82" t="s">
        <v>4219</v>
      </c>
      <c r="B1283" s="82" t="s">
        <v>4220</v>
      </c>
      <c r="C1283" s="82" t="s">
        <v>182</v>
      </c>
      <c r="D1283" s="82" t="s">
        <v>4221</v>
      </c>
      <c r="E1283" s="79" t="s">
        <v>4222</v>
      </c>
      <c r="F1283" s="82" t="s">
        <v>2513</v>
      </c>
      <c r="G1283" s="82">
        <v>1.0</v>
      </c>
      <c r="H1283" s="82">
        <v>1.0</v>
      </c>
      <c r="I1283" s="82">
        <v>5.0</v>
      </c>
      <c r="J1283" s="82">
        <v>50.0</v>
      </c>
      <c r="K1283" s="82">
        <v>50.0</v>
      </c>
      <c r="L1283" s="82" t="s">
        <v>971</v>
      </c>
    </row>
    <row r="1284" ht="15.0" customHeight="1">
      <c r="A1284" s="82" t="s">
        <v>4104</v>
      </c>
      <c r="B1284" s="82" t="s">
        <v>4105</v>
      </c>
      <c r="C1284" s="82" t="s">
        <v>182</v>
      </c>
      <c r="D1284" s="82" t="s">
        <v>4223</v>
      </c>
      <c r="E1284" s="79" t="s">
        <v>4224</v>
      </c>
      <c r="F1284" s="82" t="s">
        <v>2513</v>
      </c>
      <c r="G1284" s="82">
        <v>2.0</v>
      </c>
      <c r="H1284" s="82">
        <v>1.0</v>
      </c>
      <c r="I1284" s="82">
        <v>2.0</v>
      </c>
      <c r="J1284" s="82">
        <v>50.0</v>
      </c>
      <c r="K1284" s="82">
        <v>25.0</v>
      </c>
      <c r="L1284" s="82" t="s">
        <v>971</v>
      </c>
    </row>
    <row r="1285" ht="15.0" customHeight="1">
      <c r="A1285" s="82" t="s">
        <v>2507</v>
      </c>
      <c r="B1285" s="82" t="s">
        <v>2508</v>
      </c>
      <c r="C1285" s="82" t="s">
        <v>182</v>
      </c>
      <c r="D1285" s="82" t="s">
        <v>2528</v>
      </c>
      <c r="E1285" s="79" t="s">
        <v>2529</v>
      </c>
      <c r="F1285" s="82" t="s">
        <v>2513</v>
      </c>
      <c r="G1285" s="82">
        <v>3.0</v>
      </c>
      <c r="H1285" s="82">
        <v>3.0</v>
      </c>
      <c r="I1285" s="82">
        <v>3.0</v>
      </c>
      <c r="J1285" s="82">
        <v>50.0</v>
      </c>
      <c r="K1285" s="82">
        <v>16.66</v>
      </c>
      <c r="L1285" s="82" t="s">
        <v>971</v>
      </c>
    </row>
    <row r="1286" ht="15.0" customHeight="1">
      <c r="A1286" s="82" t="s">
        <v>4225</v>
      </c>
      <c r="B1286" s="82" t="s">
        <v>4226</v>
      </c>
      <c r="C1286" s="82" t="s">
        <v>182</v>
      </c>
      <c r="D1286" s="82" t="s">
        <v>4227</v>
      </c>
      <c r="E1286" s="79" t="s">
        <v>4228</v>
      </c>
      <c r="F1286" s="82" t="s">
        <v>2513</v>
      </c>
      <c r="G1286" s="82">
        <v>3.0</v>
      </c>
      <c r="H1286" s="82">
        <v>1.0</v>
      </c>
      <c r="I1286" s="82">
        <v>3.0</v>
      </c>
      <c r="J1286" s="82">
        <v>50.0</v>
      </c>
      <c r="K1286" s="82">
        <v>16.66</v>
      </c>
      <c r="L1286" s="82" t="s">
        <v>971</v>
      </c>
    </row>
    <row r="1287" ht="15.0" customHeight="1">
      <c r="A1287" s="82" t="s">
        <v>4229</v>
      </c>
      <c r="B1287" s="82" t="s">
        <v>4230</v>
      </c>
      <c r="C1287" s="82" t="s">
        <v>182</v>
      </c>
      <c r="D1287" s="82" t="s">
        <v>4231</v>
      </c>
      <c r="E1287" s="79" t="s">
        <v>4232</v>
      </c>
      <c r="F1287" s="82" t="s">
        <v>2513</v>
      </c>
      <c r="G1287" s="82">
        <v>10.0</v>
      </c>
      <c r="H1287" s="82">
        <v>1.0</v>
      </c>
      <c r="I1287" s="82">
        <v>10.0</v>
      </c>
      <c r="J1287" s="82">
        <v>50.0</v>
      </c>
      <c r="K1287" s="82">
        <v>5.0</v>
      </c>
      <c r="L1287" s="82" t="s">
        <v>971</v>
      </c>
    </row>
    <row r="1288" ht="15.0" customHeight="1">
      <c r="A1288" s="82" t="s">
        <v>4233</v>
      </c>
      <c r="B1288" s="82" t="s">
        <v>4234</v>
      </c>
      <c r="C1288" s="82" t="s">
        <v>182</v>
      </c>
      <c r="D1288" s="82" t="s">
        <v>4235</v>
      </c>
      <c r="E1288" s="79" t="s">
        <v>3284</v>
      </c>
      <c r="F1288" s="82" t="s">
        <v>2513</v>
      </c>
      <c r="G1288" s="82">
        <v>2.0</v>
      </c>
      <c r="H1288" s="82">
        <v>2.0</v>
      </c>
      <c r="I1288" s="82">
        <v>10.0</v>
      </c>
      <c r="J1288" s="82">
        <v>50.0</v>
      </c>
      <c r="K1288" s="82">
        <v>25.0</v>
      </c>
      <c r="L1288" s="82" t="s">
        <v>971</v>
      </c>
    </row>
    <row r="1289" ht="15.0" customHeight="1">
      <c r="A1289" s="82" t="s">
        <v>4112</v>
      </c>
      <c r="B1289" s="82" t="s">
        <v>4080</v>
      </c>
      <c r="C1289" s="82" t="s">
        <v>182</v>
      </c>
      <c r="D1289" s="82" t="s">
        <v>4236</v>
      </c>
      <c r="E1289" s="79" t="s">
        <v>4237</v>
      </c>
      <c r="F1289" s="82" t="s">
        <v>2513</v>
      </c>
      <c r="G1289" s="82">
        <v>3.0</v>
      </c>
      <c r="H1289" s="82">
        <v>1.0</v>
      </c>
      <c r="I1289" s="82">
        <v>3.0</v>
      </c>
      <c r="J1289" s="82">
        <v>50.0</v>
      </c>
      <c r="K1289" s="82">
        <v>16.66</v>
      </c>
      <c r="L1289" s="82" t="s">
        <v>971</v>
      </c>
    </row>
    <row r="1290" ht="15.0" customHeight="1">
      <c r="A1290" s="82" t="s">
        <v>4112</v>
      </c>
      <c r="B1290" s="82" t="s">
        <v>4080</v>
      </c>
      <c r="C1290" s="82" t="s">
        <v>182</v>
      </c>
      <c r="D1290" s="82" t="s">
        <v>4238</v>
      </c>
      <c r="E1290" s="79" t="s">
        <v>4239</v>
      </c>
      <c r="F1290" s="82" t="s">
        <v>2513</v>
      </c>
      <c r="G1290" s="82">
        <v>3.0</v>
      </c>
      <c r="H1290" s="82">
        <v>1.0</v>
      </c>
      <c r="I1290" s="82">
        <v>3.0</v>
      </c>
      <c r="J1290" s="82">
        <v>50.0</v>
      </c>
      <c r="K1290" s="82">
        <v>16.66</v>
      </c>
      <c r="L1290" s="82" t="s">
        <v>971</v>
      </c>
    </row>
    <row r="1291" ht="15.0" customHeight="1">
      <c r="A1291" s="82" t="s">
        <v>3135</v>
      </c>
      <c r="B1291" s="82" t="s">
        <v>3136</v>
      </c>
      <c r="C1291" s="82" t="s">
        <v>182</v>
      </c>
      <c r="D1291" s="82" t="s">
        <v>3137</v>
      </c>
      <c r="E1291" s="79" t="s">
        <v>3138</v>
      </c>
      <c r="F1291" s="82" t="s">
        <v>2513</v>
      </c>
      <c r="G1291" s="82">
        <v>2.0</v>
      </c>
      <c r="H1291" s="82">
        <v>2.0</v>
      </c>
      <c r="I1291" s="82">
        <v>9.0</v>
      </c>
      <c r="J1291" s="82">
        <v>50.0</v>
      </c>
      <c r="K1291" s="82">
        <v>25.0</v>
      </c>
      <c r="L1291" s="82" t="s">
        <v>971</v>
      </c>
    </row>
    <row r="1292" ht="15.0" customHeight="1">
      <c r="A1292" s="82" t="s">
        <v>4157</v>
      </c>
      <c r="B1292" s="82" t="s">
        <v>4158</v>
      </c>
      <c r="C1292" s="82" t="s">
        <v>182</v>
      </c>
      <c r="D1292" s="82" t="s">
        <v>4240</v>
      </c>
      <c r="E1292" s="79" t="s">
        <v>4241</v>
      </c>
      <c r="F1292" s="82" t="s">
        <v>2513</v>
      </c>
      <c r="G1292" s="82">
        <v>1.0</v>
      </c>
      <c r="H1292" s="82">
        <v>1.0</v>
      </c>
      <c r="I1292" s="82">
        <v>9.0</v>
      </c>
      <c r="J1292" s="82">
        <v>50.0</v>
      </c>
      <c r="K1292" s="82">
        <v>50.0</v>
      </c>
      <c r="L1292" s="82" t="s">
        <v>971</v>
      </c>
    </row>
    <row r="1293" ht="15.0" customHeight="1">
      <c r="A1293" s="82" t="s">
        <v>4242</v>
      </c>
      <c r="B1293" s="82" t="s">
        <v>4243</v>
      </c>
      <c r="C1293" s="82" t="s">
        <v>182</v>
      </c>
      <c r="D1293" s="82" t="s">
        <v>4244</v>
      </c>
      <c r="E1293" s="79" t="s">
        <v>4241</v>
      </c>
      <c r="F1293" s="82" t="s">
        <v>2513</v>
      </c>
      <c r="G1293" s="82">
        <v>1.0</v>
      </c>
      <c r="H1293" s="82">
        <v>1.0</v>
      </c>
      <c r="I1293" s="82">
        <v>5.0</v>
      </c>
      <c r="J1293" s="82">
        <v>50.0</v>
      </c>
      <c r="K1293" s="82">
        <v>50.0</v>
      </c>
      <c r="L1293" s="82" t="s">
        <v>971</v>
      </c>
    </row>
    <row r="1294" ht="15.0" customHeight="1">
      <c r="A1294" s="82" t="s">
        <v>4245</v>
      </c>
      <c r="B1294" s="82" t="s">
        <v>4246</v>
      </c>
      <c r="C1294" s="82" t="s">
        <v>182</v>
      </c>
      <c r="D1294" s="82" t="s">
        <v>4244</v>
      </c>
      <c r="E1294" s="79" t="s">
        <v>4241</v>
      </c>
      <c r="F1294" s="82" t="s">
        <v>2513</v>
      </c>
      <c r="G1294" s="82">
        <v>1.0</v>
      </c>
      <c r="H1294" s="82">
        <v>1.0</v>
      </c>
      <c r="I1294" s="82">
        <v>7.0</v>
      </c>
      <c r="J1294" s="82">
        <v>50.0</v>
      </c>
      <c r="K1294" s="82">
        <v>50.0</v>
      </c>
      <c r="L1294" s="82" t="s">
        <v>971</v>
      </c>
    </row>
    <row r="1295" ht="15.0" customHeight="1">
      <c r="A1295" s="82" t="s">
        <v>4247</v>
      </c>
      <c r="B1295" s="82" t="s">
        <v>4248</v>
      </c>
      <c r="C1295" s="82" t="s">
        <v>182</v>
      </c>
      <c r="D1295" s="82" t="s">
        <v>4249</v>
      </c>
      <c r="E1295" s="79" t="s">
        <v>4250</v>
      </c>
      <c r="F1295" s="82" t="s">
        <v>890</v>
      </c>
      <c r="G1295" s="82">
        <v>1.0</v>
      </c>
      <c r="H1295" s="82">
        <v>1.0</v>
      </c>
      <c r="I1295" s="82">
        <v>7.0</v>
      </c>
      <c r="J1295" s="82">
        <v>50.0</v>
      </c>
      <c r="K1295" s="82">
        <v>50.0</v>
      </c>
      <c r="L1295" s="82" t="s">
        <v>971</v>
      </c>
    </row>
    <row r="1296" ht="15.0" customHeight="1">
      <c r="A1296" s="82" t="s">
        <v>4251</v>
      </c>
      <c r="B1296" s="82" t="s">
        <v>2638</v>
      </c>
      <c r="C1296" s="82" t="s">
        <v>182</v>
      </c>
      <c r="D1296" s="82" t="s">
        <v>2639</v>
      </c>
      <c r="E1296" s="79" t="s">
        <v>2640</v>
      </c>
      <c r="F1296" s="82" t="s">
        <v>890</v>
      </c>
      <c r="G1296" s="82">
        <v>4.0</v>
      </c>
      <c r="H1296" s="82">
        <v>2.0</v>
      </c>
      <c r="I1296" s="82">
        <v>4.0</v>
      </c>
      <c r="J1296" s="82">
        <v>50.0</v>
      </c>
      <c r="K1296" s="82">
        <v>25.0</v>
      </c>
      <c r="L1296" s="82" t="s">
        <v>971</v>
      </c>
    </row>
    <row r="1297" ht="15.0" customHeight="1">
      <c r="A1297" s="82" t="s">
        <v>4252</v>
      </c>
      <c r="B1297" s="82" t="s">
        <v>4253</v>
      </c>
      <c r="C1297" s="82" t="s">
        <v>182</v>
      </c>
      <c r="D1297" s="82" t="s">
        <v>4254</v>
      </c>
      <c r="E1297" s="79" t="s">
        <v>4010</v>
      </c>
      <c r="F1297" s="82" t="s">
        <v>2513</v>
      </c>
      <c r="G1297" s="82">
        <v>4.0</v>
      </c>
      <c r="H1297" s="82">
        <v>4.0</v>
      </c>
      <c r="I1297" s="82">
        <v>4.0</v>
      </c>
      <c r="J1297" s="82">
        <v>50.0</v>
      </c>
      <c r="K1297" s="82">
        <v>12.5</v>
      </c>
      <c r="L1297" s="82" t="s">
        <v>971</v>
      </c>
    </row>
    <row r="1298" ht="15.0" customHeight="1">
      <c r="A1298" s="82" t="s">
        <v>4147</v>
      </c>
      <c r="B1298" s="82" t="s">
        <v>4148</v>
      </c>
      <c r="C1298" s="82" t="s">
        <v>182</v>
      </c>
      <c r="D1298" s="82" t="s">
        <v>4255</v>
      </c>
      <c r="E1298" s="79" t="s">
        <v>4256</v>
      </c>
      <c r="F1298" s="82" t="s">
        <v>2513</v>
      </c>
      <c r="G1298" s="82">
        <v>1.0</v>
      </c>
      <c r="H1298" s="82">
        <v>1.0</v>
      </c>
      <c r="I1298" s="82">
        <v>7.0</v>
      </c>
      <c r="J1298" s="82">
        <v>50.0</v>
      </c>
      <c r="K1298" s="82">
        <v>50.0</v>
      </c>
      <c r="L1298" s="82" t="s">
        <v>971</v>
      </c>
    </row>
    <row r="1299" ht="15.0" customHeight="1">
      <c r="A1299" s="82" t="s">
        <v>1018</v>
      </c>
      <c r="B1299" s="82" t="s">
        <v>4257</v>
      </c>
      <c r="C1299" s="82" t="s">
        <v>182</v>
      </c>
      <c r="D1299" s="82" t="s">
        <v>4258</v>
      </c>
      <c r="E1299" s="79" t="s">
        <v>4259</v>
      </c>
      <c r="F1299" s="82" t="s">
        <v>2513</v>
      </c>
      <c r="G1299" s="82">
        <v>1.0</v>
      </c>
      <c r="H1299" s="82">
        <v>1.0</v>
      </c>
      <c r="I1299" s="82">
        <v>10.0</v>
      </c>
      <c r="J1299" s="82">
        <v>50.0</v>
      </c>
      <c r="K1299" s="82">
        <v>50.0</v>
      </c>
      <c r="L1299" s="82" t="s">
        <v>971</v>
      </c>
    </row>
    <row r="1300" ht="15.0" customHeight="1">
      <c r="A1300" s="82" t="s">
        <v>4147</v>
      </c>
      <c r="B1300" s="82" t="s">
        <v>4148</v>
      </c>
      <c r="C1300" s="82" t="s">
        <v>182</v>
      </c>
      <c r="D1300" s="82" t="s">
        <v>4260</v>
      </c>
      <c r="E1300" s="79" t="s">
        <v>4261</v>
      </c>
      <c r="F1300" s="82" t="s">
        <v>2513</v>
      </c>
      <c r="G1300" s="82">
        <v>1.0</v>
      </c>
      <c r="H1300" s="82">
        <v>1.0</v>
      </c>
      <c r="I1300" s="82">
        <v>7.0</v>
      </c>
      <c r="J1300" s="82">
        <v>50.0</v>
      </c>
      <c r="K1300" s="82">
        <v>50.0</v>
      </c>
      <c r="L1300" s="82" t="s">
        <v>971</v>
      </c>
    </row>
    <row r="1301" ht="15.0" customHeight="1">
      <c r="A1301" s="82" t="s">
        <v>4147</v>
      </c>
      <c r="B1301" s="82" t="s">
        <v>4148</v>
      </c>
      <c r="C1301" s="82" t="s">
        <v>182</v>
      </c>
      <c r="D1301" s="82" t="s">
        <v>4262</v>
      </c>
      <c r="E1301" s="79" t="s">
        <v>4263</v>
      </c>
      <c r="F1301" s="82" t="s">
        <v>2513</v>
      </c>
      <c r="G1301" s="82">
        <v>1.0</v>
      </c>
      <c r="H1301" s="82">
        <v>1.0</v>
      </c>
      <c r="I1301" s="82">
        <v>7.0</v>
      </c>
      <c r="J1301" s="82">
        <v>50.0</v>
      </c>
      <c r="K1301" s="82">
        <v>50.0</v>
      </c>
      <c r="L1301" s="82" t="s">
        <v>971</v>
      </c>
    </row>
    <row r="1302" ht="15.0" customHeight="1">
      <c r="A1302" s="82" t="s">
        <v>4264</v>
      </c>
      <c r="B1302" s="82" t="s">
        <v>4265</v>
      </c>
      <c r="C1302" s="82" t="s">
        <v>182</v>
      </c>
      <c r="D1302" s="82" t="s">
        <v>4266</v>
      </c>
      <c r="E1302" s="79" t="s">
        <v>4267</v>
      </c>
      <c r="F1302" s="82" t="s">
        <v>2513</v>
      </c>
      <c r="G1302" s="82">
        <v>1.0</v>
      </c>
      <c r="H1302" s="82">
        <v>1.0</v>
      </c>
      <c r="I1302" s="82">
        <v>4.0</v>
      </c>
      <c r="J1302" s="82">
        <v>50.0</v>
      </c>
      <c r="K1302" s="82">
        <v>50.0</v>
      </c>
      <c r="L1302" s="82" t="s">
        <v>971</v>
      </c>
    </row>
    <row r="1303" ht="15.0" customHeight="1">
      <c r="A1303" s="82" t="s">
        <v>4092</v>
      </c>
      <c r="B1303" s="82" t="s">
        <v>4093</v>
      </c>
      <c r="C1303" s="82" t="s">
        <v>182</v>
      </c>
      <c r="D1303" s="82" t="s">
        <v>4268</v>
      </c>
      <c r="E1303" s="79" t="s">
        <v>4269</v>
      </c>
      <c r="F1303" s="82" t="s">
        <v>2513</v>
      </c>
      <c r="G1303" s="82">
        <v>10.0</v>
      </c>
      <c r="H1303" s="82">
        <v>1.0</v>
      </c>
      <c r="I1303" s="82">
        <v>10.0</v>
      </c>
      <c r="J1303" s="82">
        <v>50.0</v>
      </c>
      <c r="K1303" s="82">
        <v>5.0</v>
      </c>
      <c r="L1303" s="82" t="s">
        <v>971</v>
      </c>
    </row>
    <row r="1304" ht="15.0" customHeight="1">
      <c r="A1304" s="82" t="s">
        <v>2507</v>
      </c>
      <c r="B1304" s="82" t="s">
        <v>2508</v>
      </c>
      <c r="C1304" s="82" t="s">
        <v>182</v>
      </c>
      <c r="D1304" s="82" t="s">
        <v>2516</v>
      </c>
      <c r="E1304" s="79" t="s">
        <v>4270</v>
      </c>
      <c r="F1304" s="82" t="s">
        <v>890</v>
      </c>
      <c r="G1304" s="82">
        <v>3.0</v>
      </c>
      <c r="H1304" s="82">
        <v>3.0</v>
      </c>
      <c r="I1304" s="82">
        <v>3.0</v>
      </c>
      <c r="J1304" s="82">
        <v>50.0</v>
      </c>
      <c r="K1304" s="82">
        <v>16.66</v>
      </c>
      <c r="L1304" s="82" t="s">
        <v>971</v>
      </c>
    </row>
    <row r="1305" ht="15.0" customHeight="1">
      <c r="A1305" s="82" t="s">
        <v>4271</v>
      </c>
      <c r="B1305" s="82" t="s">
        <v>4272</v>
      </c>
      <c r="C1305" s="82" t="s">
        <v>182</v>
      </c>
      <c r="D1305" s="82" t="s">
        <v>4273</v>
      </c>
      <c r="E1305" s="79" t="s">
        <v>4274</v>
      </c>
      <c r="F1305" s="82" t="s">
        <v>890</v>
      </c>
      <c r="G1305" s="82">
        <v>2.0</v>
      </c>
      <c r="H1305" s="82">
        <v>1.0</v>
      </c>
      <c r="I1305" s="82">
        <v>3.0</v>
      </c>
      <c r="J1305" s="82">
        <v>50.0</v>
      </c>
      <c r="K1305" s="82">
        <v>25.0</v>
      </c>
      <c r="L1305" s="82" t="s">
        <v>971</v>
      </c>
    </row>
    <row r="1306" ht="15.0" customHeight="1">
      <c r="A1306" s="82" t="s">
        <v>4275</v>
      </c>
      <c r="B1306" s="82" t="s">
        <v>4276</v>
      </c>
      <c r="C1306" s="82" t="s">
        <v>182</v>
      </c>
      <c r="D1306" s="82" t="s">
        <v>4277</v>
      </c>
      <c r="E1306" s="79" t="s">
        <v>4278</v>
      </c>
      <c r="F1306" s="82" t="s">
        <v>2513</v>
      </c>
      <c r="G1306" s="82">
        <v>1.0</v>
      </c>
      <c r="H1306" s="82">
        <v>1.0</v>
      </c>
      <c r="I1306" s="82">
        <v>10.0</v>
      </c>
      <c r="J1306" s="82">
        <v>50.0</v>
      </c>
      <c r="K1306" s="82">
        <v>50.0</v>
      </c>
      <c r="L1306" s="82" t="s">
        <v>971</v>
      </c>
    </row>
    <row r="1307" ht="15.0" customHeight="1">
      <c r="A1307" s="82" t="s">
        <v>4279</v>
      </c>
      <c r="B1307" s="82" t="s">
        <v>4280</v>
      </c>
      <c r="C1307" s="82" t="s">
        <v>182</v>
      </c>
      <c r="D1307" s="82" t="s">
        <v>4281</v>
      </c>
      <c r="E1307" s="79" t="s">
        <v>4282</v>
      </c>
      <c r="F1307" s="82" t="s">
        <v>2513</v>
      </c>
      <c r="G1307" s="82">
        <v>1.0</v>
      </c>
      <c r="H1307" s="82">
        <v>1.0</v>
      </c>
      <c r="I1307" s="82">
        <v>5.0</v>
      </c>
      <c r="J1307" s="82">
        <v>50.0</v>
      </c>
      <c r="K1307" s="82">
        <v>50.0</v>
      </c>
      <c r="L1307" s="82" t="s">
        <v>971</v>
      </c>
    </row>
    <row r="1308" ht="15.0" customHeight="1">
      <c r="A1308" s="82" t="s">
        <v>2507</v>
      </c>
      <c r="B1308" s="82" t="s">
        <v>2508</v>
      </c>
      <c r="C1308" s="82" t="s">
        <v>182</v>
      </c>
      <c r="D1308" s="82" t="s">
        <v>2526</v>
      </c>
      <c r="E1308" s="79" t="s">
        <v>2527</v>
      </c>
      <c r="F1308" s="82" t="s">
        <v>2513</v>
      </c>
      <c r="G1308" s="82">
        <v>3.0</v>
      </c>
      <c r="H1308" s="82">
        <v>3.0</v>
      </c>
      <c r="I1308" s="82">
        <v>3.0</v>
      </c>
      <c r="J1308" s="82">
        <v>50.0</v>
      </c>
      <c r="K1308" s="82">
        <v>16.66</v>
      </c>
      <c r="L1308" s="82" t="s">
        <v>971</v>
      </c>
    </row>
    <row r="1309" ht="15.0" customHeight="1">
      <c r="A1309" s="82" t="s">
        <v>4153</v>
      </c>
      <c r="B1309" s="82" t="s">
        <v>4283</v>
      </c>
      <c r="C1309" s="82" t="s">
        <v>182</v>
      </c>
      <c r="D1309" s="82" t="s">
        <v>4284</v>
      </c>
      <c r="E1309" s="79" t="s">
        <v>4285</v>
      </c>
      <c r="F1309" s="82" t="s">
        <v>2513</v>
      </c>
      <c r="G1309" s="82">
        <v>1.0</v>
      </c>
      <c r="H1309" s="82">
        <v>1.0</v>
      </c>
      <c r="I1309" s="82">
        <v>8.0</v>
      </c>
      <c r="J1309" s="82">
        <v>50.0</v>
      </c>
      <c r="K1309" s="82">
        <v>50.0</v>
      </c>
      <c r="L1309" s="82" t="s">
        <v>971</v>
      </c>
    </row>
    <row r="1310" ht="15.0" customHeight="1">
      <c r="A1310" s="82" t="s">
        <v>1018</v>
      </c>
      <c r="B1310" s="82" t="s">
        <v>4257</v>
      </c>
      <c r="C1310" s="82" t="s">
        <v>182</v>
      </c>
      <c r="D1310" s="82" t="s">
        <v>4286</v>
      </c>
      <c r="E1310" s="79" t="s">
        <v>4287</v>
      </c>
      <c r="F1310" s="82" t="s">
        <v>2513</v>
      </c>
      <c r="G1310" s="82">
        <v>1.0</v>
      </c>
      <c r="H1310" s="82">
        <v>1.0</v>
      </c>
      <c r="I1310" s="82">
        <v>10.0</v>
      </c>
      <c r="J1310" s="82">
        <v>50.0</v>
      </c>
      <c r="K1310" s="82">
        <v>50.0</v>
      </c>
      <c r="L1310" s="82" t="s">
        <v>971</v>
      </c>
    </row>
    <row r="1311" ht="15.0" customHeight="1">
      <c r="A1311" s="82" t="s">
        <v>4275</v>
      </c>
      <c r="B1311" s="82" t="s">
        <v>4276</v>
      </c>
      <c r="C1311" s="82" t="s">
        <v>182</v>
      </c>
      <c r="D1311" s="82" t="s">
        <v>4288</v>
      </c>
      <c r="E1311" s="79" t="s">
        <v>4289</v>
      </c>
      <c r="F1311" s="82" t="s">
        <v>2513</v>
      </c>
      <c r="G1311" s="82">
        <v>1.0</v>
      </c>
      <c r="H1311" s="82">
        <v>1.0</v>
      </c>
      <c r="I1311" s="82">
        <v>10.0</v>
      </c>
      <c r="J1311" s="82">
        <v>50.0</v>
      </c>
      <c r="K1311" s="82">
        <v>50.0</v>
      </c>
      <c r="L1311" s="82" t="s">
        <v>971</v>
      </c>
    </row>
    <row r="1312" ht="15.0" customHeight="1">
      <c r="A1312" s="82" t="s">
        <v>3139</v>
      </c>
      <c r="B1312" s="82" t="s">
        <v>3140</v>
      </c>
      <c r="C1312" s="82" t="s">
        <v>182</v>
      </c>
      <c r="D1312" s="82" t="s">
        <v>3141</v>
      </c>
      <c r="E1312" s="79" t="s">
        <v>3142</v>
      </c>
      <c r="F1312" s="82" t="s">
        <v>2513</v>
      </c>
      <c r="G1312" s="82">
        <v>6.0</v>
      </c>
      <c r="H1312" s="82">
        <v>6.0</v>
      </c>
      <c r="I1312" s="82">
        <v>6.0</v>
      </c>
      <c r="J1312" s="82">
        <v>50.0</v>
      </c>
      <c r="K1312" s="82">
        <v>8.33</v>
      </c>
      <c r="L1312" s="82" t="s">
        <v>971</v>
      </c>
    </row>
    <row r="1313" ht="15.0" customHeight="1">
      <c r="A1313" s="82" t="s">
        <v>2619</v>
      </c>
      <c r="B1313" s="82" t="s">
        <v>2620</v>
      </c>
      <c r="C1313" s="82" t="s">
        <v>182</v>
      </c>
      <c r="D1313" s="82" t="s">
        <v>2621</v>
      </c>
      <c r="E1313" s="79" t="s">
        <v>2622</v>
      </c>
      <c r="F1313" s="82" t="s">
        <v>2513</v>
      </c>
      <c r="G1313" s="82">
        <v>5.0</v>
      </c>
      <c r="H1313" s="82">
        <v>2.0</v>
      </c>
      <c r="I1313" s="82">
        <v>5.0</v>
      </c>
      <c r="J1313" s="82">
        <v>50.0</v>
      </c>
      <c r="K1313" s="82">
        <v>25.0</v>
      </c>
      <c r="L1313" s="82" t="s">
        <v>971</v>
      </c>
    </row>
    <row r="1314" ht="15.0" customHeight="1">
      <c r="A1314" s="82" t="s">
        <v>4104</v>
      </c>
      <c r="B1314" s="82" t="s">
        <v>4105</v>
      </c>
      <c r="C1314" s="82" t="s">
        <v>182</v>
      </c>
      <c r="D1314" s="82" t="s">
        <v>4290</v>
      </c>
      <c r="E1314" s="79" t="s">
        <v>4291</v>
      </c>
      <c r="F1314" s="82" t="s">
        <v>2513</v>
      </c>
      <c r="G1314" s="82">
        <v>3.0</v>
      </c>
      <c r="H1314" s="82">
        <v>1.0</v>
      </c>
      <c r="I1314" s="82">
        <v>3.0</v>
      </c>
      <c r="J1314" s="82">
        <v>50.0</v>
      </c>
      <c r="K1314" s="82">
        <v>16.66</v>
      </c>
      <c r="L1314" s="82" t="s">
        <v>971</v>
      </c>
    </row>
    <row r="1315" ht="15.0" customHeight="1">
      <c r="A1315" s="82" t="s">
        <v>522</v>
      </c>
      <c r="B1315" s="82" t="s">
        <v>4292</v>
      </c>
      <c r="C1315" s="82" t="s">
        <v>182</v>
      </c>
      <c r="D1315" s="82" t="s">
        <v>4293</v>
      </c>
      <c r="E1315" s="79" t="s">
        <v>4294</v>
      </c>
      <c r="F1315" s="82" t="s">
        <v>2513</v>
      </c>
      <c r="G1315" s="82">
        <v>2.0</v>
      </c>
      <c r="H1315" s="82">
        <v>2.0</v>
      </c>
      <c r="I1315" s="82">
        <v>9.0</v>
      </c>
      <c r="J1315" s="82">
        <v>50.0</v>
      </c>
      <c r="K1315" s="82">
        <v>25.0</v>
      </c>
      <c r="L1315" s="82" t="s">
        <v>971</v>
      </c>
    </row>
    <row r="1316" ht="15.0" customHeight="1">
      <c r="A1316" s="82" t="s">
        <v>4275</v>
      </c>
      <c r="B1316" s="82" t="s">
        <v>4276</v>
      </c>
      <c r="C1316" s="82" t="s">
        <v>182</v>
      </c>
      <c r="D1316" s="82" t="s">
        <v>4288</v>
      </c>
      <c r="E1316" s="79" t="s">
        <v>4289</v>
      </c>
      <c r="F1316" s="82" t="s">
        <v>2513</v>
      </c>
      <c r="G1316" s="82">
        <v>1.0</v>
      </c>
      <c r="H1316" s="82">
        <v>1.0</v>
      </c>
      <c r="I1316" s="82">
        <v>10.0</v>
      </c>
      <c r="J1316" s="82">
        <v>50.0</v>
      </c>
      <c r="K1316" s="82">
        <v>50.0</v>
      </c>
      <c r="L1316" s="82" t="s">
        <v>971</v>
      </c>
    </row>
    <row r="1317" ht="15.0" customHeight="1">
      <c r="A1317" s="82" t="s">
        <v>2507</v>
      </c>
      <c r="B1317" s="82" t="s">
        <v>2508</v>
      </c>
      <c r="C1317" s="82" t="s">
        <v>182</v>
      </c>
      <c r="D1317" s="82" t="s">
        <v>2520</v>
      </c>
      <c r="E1317" s="79" t="s">
        <v>4295</v>
      </c>
      <c r="F1317" s="82" t="s">
        <v>890</v>
      </c>
      <c r="G1317" s="82">
        <v>3.0</v>
      </c>
      <c r="H1317" s="82">
        <v>3.0</v>
      </c>
      <c r="I1317" s="82">
        <v>3.0</v>
      </c>
      <c r="J1317" s="82">
        <v>50.0</v>
      </c>
      <c r="K1317" s="82">
        <v>16.66</v>
      </c>
      <c r="L1317" s="82" t="s">
        <v>971</v>
      </c>
    </row>
    <row r="1318" ht="15.0" customHeight="1">
      <c r="A1318" s="82" t="s">
        <v>2507</v>
      </c>
      <c r="B1318" s="82" t="s">
        <v>2508</v>
      </c>
      <c r="C1318" s="82" t="s">
        <v>182</v>
      </c>
      <c r="D1318" s="82" t="s">
        <v>2509</v>
      </c>
      <c r="E1318" s="79" t="s">
        <v>2510</v>
      </c>
      <c r="F1318" s="82" t="s">
        <v>890</v>
      </c>
      <c r="G1318" s="82">
        <v>3.0</v>
      </c>
      <c r="H1318" s="82">
        <v>3.0</v>
      </c>
      <c r="I1318" s="82">
        <v>3.0</v>
      </c>
      <c r="J1318" s="82">
        <v>50.0</v>
      </c>
      <c r="K1318" s="82">
        <v>16.66</v>
      </c>
      <c r="L1318" s="82" t="s">
        <v>971</v>
      </c>
    </row>
    <row r="1319" ht="15.0" customHeight="1">
      <c r="A1319" s="82" t="s">
        <v>4296</v>
      </c>
      <c r="B1319" s="82" t="s">
        <v>4297</v>
      </c>
      <c r="C1319" s="82" t="s">
        <v>182</v>
      </c>
      <c r="D1319" s="82" t="s">
        <v>4298</v>
      </c>
      <c r="E1319" s="79" t="s">
        <v>4299</v>
      </c>
      <c r="F1319" s="82" t="s">
        <v>2513</v>
      </c>
      <c r="G1319" s="82">
        <v>1.0</v>
      </c>
      <c r="H1319" s="82">
        <v>1.0</v>
      </c>
      <c r="I1319" s="82">
        <v>5.0</v>
      </c>
      <c r="J1319" s="82">
        <v>50.0</v>
      </c>
      <c r="K1319" s="82">
        <v>50.0</v>
      </c>
      <c r="L1319" s="82" t="s">
        <v>971</v>
      </c>
    </row>
    <row r="1320" ht="15.0" customHeight="1">
      <c r="A1320" s="82" t="s">
        <v>4300</v>
      </c>
      <c r="B1320" s="82" t="s">
        <v>4301</v>
      </c>
      <c r="C1320" s="82" t="s">
        <v>182</v>
      </c>
      <c r="D1320" s="82" t="s">
        <v>4302</v>
      </c>
      <c r="E1320" s="79" t="s">
        <v>4303</v>
      </c>
      <c r="F1320" s="82" t="s">
        <v>2513</v>
      </c>
      <c r="G1320" s="82">
        <v>1.0</v>
      </c>
      <c r="H1320" s="82">
        <v>1.0</v>
      </c>
      <c r="I1320" s="82">
        <v>8.0</v>
      </c>
      <c r="J1320" s="82">
        <v>50.0</v>
      </c>
      <c r="K1320" s="82">
        <v>50.0</v>
      </c>
      <c r="L1320" s="82" t="s">
        <v>971</v>
      </c>
    </row>
    <row r="1321" ht="15.0" customHeight="1">
      <c r="A1321" s="82" t="s">
        <v>4304</v>
      </c>
      <c r="B1321" s="82" t="s">
        <v>4305</v>
      </c>
      <c r="C1321" s="82" t="s">
        <v>182</v>
      </c>
      <c r="D1321" s="82" t="s">
        <v>4306</v>
      </c>
      <c r="E1321" s="79" t="s">
        <v>4307</v>
      </c>
      <c r="F1321" s="82" t="s">
        <v>2513</v>
      </c>
      <c r="G1321" s="82">
        <v>4.0</v>
      </c>
      <c r="H1321" s="82">
        <v>4.0</v>
      </c>
      <c r="I1321" s="82">
        <v>4.0</v>
      </c>
      <c r="J1321" s="82">
        <v>50.0</v>
      </c>
      <c r="K1321" s="82">
        <v>12.5</v>
      </c>
      <c r="L1321" s="82" t="s">
        <v>971</v>
      </c>
    </row>
    <row r="1322" ht="15.0" customHeight="1">
      <c r="A1322" s="82" t="s">
        <v>2507</v>
      </c>
      <c r="B1322" s="82" t="s">
        <v>2508</v>
      </c>
      <c r="C1322" s="82" t="s">
        <v>182</v>
      </c>
      <c r="D1322" s="82" t="s">
        <v>2530</v>
      </c>
      <c r="E1322" s="79" t="s">
        <v>2531</v>
      </c>
      <c r="F1322" s="82" t="s">
        <v>2513</v>
      </c>
      <c r="G1322" s="82">
        <v>3.0</v>
      </c>
      <c r="H1322" s="82">
        <v>3.0</v>
      </c>
      <c r="I1322" s="82">
        <v>3.0</v>
      </c>
      <c r="J1322" s="82">
        <v>50.0</v>
      </c>
      <c r="K1322" s="82">
        <v>16.66</v>
      </c>
      <c r="L1322" s="82" t="s">
        <v>971</v>
      </c>
    </row>
    <row r="1323" ht="15.0" customHeight="1">
      <c r="A1323" s="83" t="s">
        <v>4104</v>
      </c>
      <c r="B1323" s="82" t="s">
        <v>4105</v>
      </c>
      <c r="C1323" s="82" t="s">
        <v>182</v>
      </c>
      <c r="D1323" s="82" t="s">
        <v>4308</v>
      </c>
      <c r="E1323" s="79" t="s">
        <v>4309</v>
      </c>
      <c r="F1323" s="83" t="s">
        <v>4310</v>
      </c>
      <c r="G1323" s="82">
        <v>2.0</v>
      </c>
      <c r="H1323" s="82">
        <v>1.0</v>
      </c>
      <c r="I1323" s="82">
        <v>2.0</v>
      </c>
      <c r="J1323" s="82">
        <v>50.0</v>
      </c>
      <c r="K1323" s="82">
        <v>25.0</v>
      </c>
      <c r="L1323" s="82" t="s">
        <v>971</v>
      </c>
    </row>
    <row r="1324" ht="15.0" customHeight="1">
      <c r="A1324" s="82" t="s">
        <v>2507</v>
      </c>
      <c r="B1324" s="82" t="s">
        <v>2508</v>
      </c>
      <c r="C1324" s="82" t="s">
        <v>182</v>
      </c>
      <c r="D1324" s="82" t="s">
        <v>4311</v>
      </c>
      <c r="E1324" s="79" t="s">
        <v>4312</v>
      </c>
      <c r="F1324" s="86" t="s">
        <v>890</v>
      </c>
      <c r="G1324" s="82">
        <v>3.0</v>
      </c>
      <c r="H1324" s="82">
        <v>3.0</v>
      </c>
      <c r="I1324" s="82">
        <v>3.0</v>
      </c>
      <c r="J1324" s="152">
        <v>50.0</v>
      </c>
      <c r="K1324" s="84">
        <v>16.66</v>
      </c>
      <c r="L1324" s="82" t="s">
        <v>971</v>
      </c>
    </row>
    <row r="1325" ht="15.0" customHeight="1">
      <c r="A1325" s="82" t="s">
        <v>2507</v>
      </c>
      <c r="B1325" s="82" t="s">
        <v>2508</v>
      </c>
      <c r="C1325" s="82" t="s">
        <v>182</v>
      </c>
      <c r="D1325" s="82" t="s">
        <v>4313</v>
      </c>
      <c r="E1325" s="79" t="s">
        <v>4312</v>
      </c>
      <c r="F1325" s="86" t="s">
        <v>890</v>
      </c>
      <c r="G1325" s="82">
        <v>3.0</v>
      </c>
      <c r="H1325" s="82">
        <v>3.0</v>
      </c>
      <c r="I1325" s="82">
        <v>3.0</v>
      </c>
      <c r="J1325" s="152">
        <v>50.0</v>
      </c>
      <c r="K1325" s="84">
        <v>16.66</v>
      </c>
      <c r="L1325" s="82" t="s">
        <v>971</v>
      </c>
    </row>
    <row r="1326" ht="15.0" customHeight="1">
      <c r="A1326" s="82" t="s">
        <v>2507</v>
      </c>
      <c r="B1326" s="82" t="s">
        <v>2508</v>
      </c>
      <c r="C1326" s="82" t="s">
        <v>182</v>
      </c>
      <c r="D1326" s="82" t="s">
        <v>4314</v>
      </c>
      <c r="E1326" s="79" t="s">
        <v>4315</v>
      </c>
      <c r="F1326" s="86" t="s">
        <v>890</v>
      </c>
      <c r="G1326" s="82">
        <v>3.0</v>
      </c>
      <c r="H1326" s="82">
        <v>3.0</v>
      </c>
      <c r="I1326" s="82">
        <v>3.0</v>
      </c>
      <c r="J1326" s="152">
        <v>50.0</v>
      </c>
      <c r="K1326" s="84">
        <v>16.66</v>
      </c>
      <c r="L1326" s="82" t="s">
        <v>971</v>
      </c>
    </row>
    <row r="1327" ht="15.0" customHeight="1">
      <c r="A1327" s="82" t="s">
        <v>4316</v>
      </c>
      <c r="B1327" s="82" t="s">
        <v>4317</v>
      </c>
      <c r="C1327" s="82" t="s">
        <v>182</v>
      </c>
      <c r="D1327" s="82" t="s">
        <v>4318</v>
      </c>
      <c r="E1327" s="79" t="s">
        <v>4319</v>
      </c>
      <c r="F1327" s="86" t="s">
        <v>2513</v>
      </c>
      <c r="G1327" s="82">
        <v>1.0</v>
      </c>
      <c r="H1327" s="82">
        <v>1.0</v>
      </c>
      <c r="I1327" s="82">
        <v>1.0</v>
      </c>
      <c r="J1327" s="152">
        <v>50.0</v>
      </c>
      <c r="K1327" s="84">
        <v>50.0</v>
      </c>
      <c r="L1327" s="82" t="s">
        <v>971</v>
      </c>
    </row>
    <row r="1328" ht="15.0" customHeight="1">
      <c r="A1328" s="82" t="s">
        <v>4079</v>
      </c>
      <c r="B1328" s="82" t="s">
        <v>4080</v>
      </c>
      <c r="C1328" s="82" t="s">
        <v>182</v>
      </c>
      <c r="D1328" s="82" t="s">
        <v>4320</v>
      </c>
      <c r="E1328" s="79" t="s">
        <v>4321</v>
      </c>
      <c r="F1328" s="86" t="s">
        <v>890</v>
      </c>
      <c r="G1328" s="82">
        <v>3.0</v>
      </c>
      <c r="H1328" s="82">
        <v>3.0</v>
      </c>
      <c r="I1328" s="82">
        <v>3.0</v>
      </c>
      <c r="J1328" s="152">
        <v>50.0</v>
      </c>
      <c r="K1328" s="84">
        <v>16.66</v>
      </c>
      <c r="L1328" s="82" t="s">
        <v>971</v>
      </c>
    </row>
    <row r="1329" ht="15.0" customHeight="1">
      <c r="A1329" s="82" t="s">
        <v>4233</v>
      </c>
      <c r="B1329" s="82" t="s">
        <v>4234</v>
      </c>
      <c r="C1329" s="82" t="s">
        <v>182</v>
      </c>
      <c r="D1329" s="82" t="s">
        <v>4322</v>
      </c>
      <c r="E1329" s="79" t="s">
        <v>3286</v>
      </c>
      <c r="F1329" s="86" t="s">
        <v>890</v>
      </c>
      <c r="G1329" s="82">
        <v>2.0</v>
      </c>
      <c r="H1329" s="82">
        <v>2.0</v>
      </c>
      <c r="I1329" s="82">
        <v>11.0</v>
      </c>
      <c r="J1329" s="152">
        <v>50.0</v>
      </c>
      <c r="K1329" s="84">
        <v>25.0</v>
      </c>
      <c r="L1329" s="82" t="s">
        <v>971</v>
      </c>
    </row>
    <row r="1330" ht="15.0" customHeight="1">
      <c r="A1330" s="82" t="s">
        <v>4104</v>
      </c>
      <c r="B1330" s="82" t="s">
        <v>4105</v>
      </c>
      <c r="C1330" s="82" t="s">
        <v>182</v>
      </c>
      <c r="D1330" s="82" t="s">
        <v>4323</v>
      </c>
      <c r="E1330" s="79" t="s">
        <v>4324</v>
      </c>
      <c r="F1330" s="82" t="s">
        <v>2513</v>
      </c>
      <c r="G1330" s="82">
        <v>2.0</v>
      </c>
      <c r="H1330" s="82">
        <v>1.0</v>
      </c>
      <c r="I1330" s="82">
        <v>2.0</v>
      </c>
      <c r="J1330" s="152">
        <v>50.0</v>
      </c>
      <c r="K1330" s="84">
        <v>25.0</v>
      </c>
      <c r="L1330" s="82" t="s">
        <v>971</v>
      </c>
    </row>
    <row r="1331" ht="15.0" customHeight="1">
      <c r="A1331" s="82" t="s">
        <v>3109</v>
      </c>
      <c r="B1331" s="82" t="s">
        <v>3110</v>
      </c>
      <c r="C1331" s="82" t="s">
        <v>182</v>
      </c>
      <c r="D1331" s="82" t="s">
        <v>3111</v>
      </c>
      <c r="E1331" s="79" t="s">
        <v>3143</v>
      </c>
      <c r="F1331" s="86" t="s">
        <v>2513</v>
      </c>
      <c r="G1331" s="82">
        <v>2.0</v>
      </c>
      <c r="H1331" s="82">
        <v>2.0</v>
      </c>
      <c r="I1331" s="82">
        <v>9.0</v>
      </c>
      <c r="J1331" s="152">
        <v>50.0</v>
      </c>
      <c r="K1331" s="84">
        <v>25.0</v>
      </c>
      <c r="L1331" s="82" t="s">
        <v>971</v>
      </c>
    </row>
    <row r="1332" ht="15.0" customHeight="1">
      <c r="A1332" s="82" t="s">
        <v>2619</v>
      </c>
      <c r="B1332" s="82" t="s">
        <v>2624</v>
      </c>
      <c r="C1332" s="82" t="s">
        <v>182</v>
      </c>
      <c r="D1332" s="82" t="s">
        <v>2625</v>
      </c>
      <c r="E1332" s="79" t="s">
        <v>2626</v>
      </c>
      <c r="F1332" s="86" t="s">
        <v>2513</v>
      </c>
      <c r="G1332" s="82">
        <v>5.0</v>
      </c>
      <c r="H1332" s="82">
        <v>5.0</v>
      </c>
      <c r="I1332" s="82">
        <v>5.0</v>
      </c>
      <c r="J1332" s="152">
        <v>50.0</v>
      </c>
      <c r="K1332" s="84">
        <v>10.0</v>
      </c>
      <c r="L1332" s="82" t="s">
        <v>971</v>
      </c>
    </row>
    <row r="1333" ht="15.0" customHeight="1">
      <c r="A1333" s="82" t="s">
        <v>4325</v>
      </c>
      <c r="B1333" s="82" t="s">
        <v>4326</v>
      </c>
      <c r="C1333" s="82" t="s">
        <v>182</v>
      </c>
      <c r="D1333" s="82" t="s">
        <v>4327</v>
      </c>
      <c r="E1333" s="79" t="s">
        <v>4328</v>
      </c>
      <c r="F1333" s="86" t="s">
        <v>2513</v>
      </c>
      <c r="G1333" s="82">
        <v>4.0</v>
      </c>
      <c r="H1333" s="82">
        <v>4.0</v>
      </c>
      <c r="I1333" s="82">
        <v>4.0</v>
      </c>
      <c r="J1333" s="152">
        <v>50.0</v>
      </c>
      <c r="K1333" s="84">
        <v>12.5</v>
      </c>
      <c r="L1333" s="82" t="s">
        <v>971</v>
      </c>
    </row>
    <row r="1334" ht="15.0" customHeight="1">
      <c r="A1334" s="82" t="s">
        <v>4329</v>
      </c>
      <c r="B1334" s="82" t="s">
        <v>4330</v>
      </c>
      <c r="C1334" s="82" t="s">
        <v>182</v>
      </c>
      <c r="D1334" s="82" t="s">
        <v>4331</v>
      </c>
      <c r="E1334" s="79" t="s">
        <v>4332</v>
      </c>
      <c r="F1334" s="86" t="s">
        <v>890</v>
      </c>
      <c r="G1334" s="82">
        <v>1.0</v>
      </c>
      <c r="H1334" s="82">
        <v>1.0</v>
      </c>
      <c r="I1334" s="82">
        <v>9.0</v>
      </c>
      <c r="J1334" s="152">
        <v>50.0</v>
      </c>
      <c r="K1334" s="84">
        <v>50.0</v>
      </c>
      <c r="L1334" s="82" t="s">
        <v>971</v>
      </c>
    </row>
    <row r="1335" ht="15.0" customHeight="1">
      <c r="A1335" s="82" t="s">
        <v>2619</v>
      </c>
      <c r="B1335" s="82" t="s">
        <v>2624</v>
      </c>
      <c r="C1335" s="82" t="s">
        <v>182</v>
      </c>
      <c r="D1335" s="82" t="s">
        <v>4333</v>
      </c>
      <c r="E1335" s="79" t="s">
        <v>4334</v>
      </c>
      <c r="F1335" s="86" t="s">
        <v>890</v>
      </c>
      <c r="G1335" s="82">
        <v>5.0</v>
      </c>
      <c r="H1335" s="82">
        <v>2.0</v>
      </c>
      <c r="I1335" s="82">
        <v>5.0</v>
      </c>
      <c r="J1335" s="152">
        <v>50.0</v>
      </c>
      <c r="K1335" s="84">
        <v>10.0</v>
      </c>
      <c r="L1335" s="82" t="s">
        <v>971</v>
      </c>
    </row>
    <row r="1336" ht="15.0" customHeight="1">
      <c r="A1336" s="82" t="s">
        <v>4079</v>
      </c>
      <c r="B1336" s="82" t="s">
        <v>4080</v>
      </c>
      <c r="C1336" s="82" t="s">
        <v>182</v>
      </c>
      <c r="D1336" s="82" t="s">
        <v>4335</v>
      </c>
      <c r="E1336" s="79" t="s">
        <v>4336</v>
      </c>
      <c r="F1336" s="86" t="s">
        <v>890</v>
      </c>
      <c r="G1336" s="82">
        <v>3.0</v>
      </c>
      <c r="H1336" s="82">
        <v>3.0</v>
      </c>
      <c r="I1336" s="82">
        <v>3.0</v>
      </c>
      <c r="J1336" s="152">
        <v>50.0</v>
      </c>
      <c r="K1336" s="84">
        <v>16.66</v>
      </c>
      <c r="L1336" s="82" t="s">
        <v>971</v>
      </c>
    </row>
    <row r="1337" ht="15.0" customHeight="1">
      <c r="A1337" s="82" t="s">
        <v>3144</v>
      </c>
      <c r="B1337" s="82" t="s">
        <v>3145</v>
      </c>
      <c r="C1337" s="82" t="s">
        <v>182</v>
      </c>
      <c r="D1337" s="82" t="s">
        <v>3146</v>
      </c>
      <c r="E1337" s="79" t="s">
        <v>3147</v>
      </c>
      <c r="F1337" s="82" t="s">
        <v>2513</v>
      </c>
      <c r="G1337" s="82">
        <v>6.0</v>
      </c>
      <c r="H1337" s="82">
        <v>6.0</v>
      </c>
      <c r="I1337" s="82">
        <v>6.0</v>
      </c>
      <c r="J1337" s="82">
        <v>50.0</v>
      </c>
      <c r="K1337" s="82">
        <v>8.33</v>
      </c>
      <c r="L1337" s="82" t="s">
        <v>971</v>
      </c>
    </row>
    <row r="1338" ht="15.0" customHeight="1">
      <c r="A1338" s="82" t="s">
        <v>4179</v>
      </c>
      <c r="B1338" s="82" t="s">
        <v>4180</v>
      </c>
      <c r="C1338" s="82" t="s">
        <v>182</v>
      </c>
      <c r="D1338" s="82" t="s">
        <v>4337</v>
      </c>
      <c r="E1338" s="79" t="s">
        <v>4338</v>
      </c>
      <c r="F1338" s="86" t="s">
        <v>2513</v>
      </c>
      <c r="G1338" s="82">
        <v>4.0</v>
      </c>
      <c r="H1338" s="82">
        <v>1.0</v>
      </c>
      <c r="I1338" s="82">
        <v>4.0</v>
      </c>
      <c r="J1338" s="82">
        <v>50.0</v>
      </c>
      <c r="K1338" s="82">
        <v>12.5</v>
      </c>
      <c r="L1338" s="82" t="s">
        <v>971</v>
      </c>
    </row>
    <row r="1339" ht="15.0" customHeight="1">
      <c r="A1339" s="82" t="s">
        <v>4339</v>
      </c>
      <c r="B1339" s="78" t="s">
        <v>4340</v>
      </c>
      <c r="C1339" s="82" t="s">
        <v>94</v>
      </c>
      <c r="D1339" s="82" t="s">
        <v>4341</v>
      </c>
      <c r="E1339" s="82" t="s">
        <v>4342</v>
      </c>
      <c r="F1339" s="85" t="s">
        <v>1264</v>
      </c>
      <c r="G1339" s="82">
        <v>4.0</v>
      </c>
      <c r="H1339" s="82">
        <v>4.0</v>
      </c>
      <c r="I1339" s="82">
        <v>4.0</v>
      </c>
      <c r="J1339" s="82">
        <v>50.0</v>
      </c>
      <c r="K1339" s="82">
        <f>J1339/4</f>
        <v>12.5</v>
      </c>
      <c r="L1339" s="82" t="s">
        <v>4343</v>
      </c>
    </row>
    <row r="1340" ht="15.0" customHeight="1">
      <c r="A1340" s="82" t="s">
        <v>4344</v>
      </c>
      <c r="B1340" s="78" t="s">
        <v>4345</v>
      </c>
      <c r="C1340" s="82" t="s">
        <v>94</v>
      </c>
      <c r="D1340" s="82" t="s">
        <v>4346</v>
      </c>
      <c r="E1340" s="82" t="s">
        <v>4347</v>
      </c>
      <c r="F1340" s="85" t="s">
        <v>314</v>
      </c>
      <c r="G1340" s="82">
        <v>2.0</v>
      </c>
      <c r="H1340" s="82">
        <v>2.0</v>
      </c>
      <c r="I1340" s="82">
        <v>2.0</v>
      </c>
      <c r="J1340" s="82">
        <v>50.0</v>
      </c>
      <c r="K1340" s="82">
        <f>J1340/I1340</f>
        <v>25</v>
      </c>
      <c r="L1340" s="82" t="s">
        <v>4343</v>
      </c>
    </row>
    <row r="1341" ht="15.0" customHeight="1">
      <c r="A1341" s="78" t="s">
        <v>2685</v>
      </c>
      <c r="B1341" s="82" t="s">
        <v>4348</v>
      </c>
      <c r="C1341" s="97" t="s">
        <v>182</v>
      </c>
      <c r="D1341" s="192" t="s">
        <v>4349</v>
      </c>
      <c r="E1341" s="82" t="s">
        <v>4350</v>
      </c>
      <c r="F1341" s="82" t="s">
        <v>4351</v>
      </c>
      <c r="G1341" s="82">
        <v>2.0</v>
      </c>
      <c r="H1341" s="82">
        <v>2.0</v>
      </c>
      <c r="I1341" s="82">
        <v>2.0</v>
      </c>
      <c r="J1341" s="82">
        <v>50.0</v>
      </c>
      <c r="K1341" s="92">
        <v>25.0</v>
      </c>
      <c r="L1341" s="82" t="s">
        <v>4352</v>
      </c>
    </row>
    <row r="1342" ht="15.0" customHeight="1">
      <c r="A1342" s="78" t="s">
        <v>4353</v>
      </c>
      <c r="B1342" s="82" t="s">
        <v>4354</v>
      </c>
      <c r="C1342" s="97" t="s">
        <v>182</v>
      </c>
      <c r="D1342" s="192" t="s">
        <v>4355</v>
      </c>
      <c r="E1342" s="82" t="s">
        <v>2682</v>
      </c>
      <c r="F1342" s="86" t="s">
        <v>1833</v>
      </c>
      <c r="G1342" s="82">
        <v>2.0</v>
      </c>
      <c r="H1342" s="82">
        <v>2.0</v>
      </c>
      <c r="I1342" s="82">
        <v>2.0</v>
      </c>
      <c r="J1342" s="82">
        <v>50.0</v>
      </c>
      <c r="K1342" s="92">
        <v>25.0</v>
      </c>
      <c r="L1342" s="82" t="s">
        <v>4352</v>
      </c>
    </row>
    <row r="1343" ht="15.0" customHeight="1">
      <c r="A1343" s="78" t="s">
        <v>4356</v>
      </c>
      <c r="B1343" s="82" t="s">
        <v>2551</v>
      </c>
      <c r="C1343" s="97" t="s">
        <v>94</v>
      </c>
      <c r="D1343" s="96" t="s">
        <v>4357</v>
      </c>
      <c r="E1343" s="82" t="s">
        <v>4358</v>
      </c>
      <c r="F1343" s="86" t="s">
        <v>1833</v>
      </c>
      <c r="G1343" s="82">
        <v>2.0</v>
      </c>
      <c r="H1343" s="82">
        <v>2.0</v>
      </c>
      <c r="I1343" s="82">
        <v>2.0</v>
      </c>
      <c r="J1343" s="82">
        <v>50.0</v>
      </c>
      <c r="K1343" s="92">
        <v>25.0</v>
      </c>
      <c r="L1343" s="82" t="s">
        <v>4352</v>
      </c>
    </row>
    <row r="1344" ht="15.0" customHeight="1">
      <c r="A1344" s="96" t="s">
        <v>4359</v>
      </c>
      <c r="B1344" s="82" t="s">
        <v>2680</v>
      </c>
      <c r="C1344" s="97" t="s">
        <v>182</v>
      </c>
      <c r="D1344" s="96" t="s">
        <v>4360</v>
      </c>
      <c r="E1344" s="82" t="s">
        <v>4361</v>
      </c>
      <c r="F1344" s="86" t="s">
        <v>1833</v>
      </c>
      <c r="G1344" s="82">
        <v>3.0</v>
      </c>
      <c r="H1344" s="82">
        <v>3.0</v>
      </c>
      <c r="I1344" s="82">
        <v>3.0</v>
      </c>
      <c r="J1344" s="152">
        <v>50.0</v>
      </c>
      <c r="K1344" s="92">
        <v>16.67</v>
      </c>
      <c r="L1344" s="82" t="s">
        <v>4352</v>
      </c>
    </row>
    <row r="1345" ht="15.0" customHeight="1">
      <c r="A1345" s="96" t="s">
        <v>4359</v>
      </c>
      <c r="B1345" s="82" t="s">
        <v>2680</v>
      </c>
      <c r="C1345" s="97" t="s">
        <v>182</v>
      </c>
      <c r="D1345" s="192" t="s">
        <v>4362</v>
      </c>
      <c r="E1345" s="82" t="s">
        <v>4363</v>
      </c>
      <c r="F1345" s="86" t="s">
        <v>1833</v>
      </c>
      <c r="G1345" s="82">
        <v>3.0</v>
      </c>
      <c r="H1345" s="82">
        <v>3.0</v>
      </c>
      <c r="I1345" s="82">
        <v>3.0</v>
      </c>
      <c r="J1345" s="152">
        <v>50.0</v>
      </c>
      <c r="K1345" s="92">
        <v>16.67</v>
      </c>
      <c r="L1345" s="82" t="s">
        <v>4352</v>
      </c>
    </row>
    <row r="1346" ht="15.0" customHeight="1">
      <c r="A1346" s="82" t="s">
        <v>4364</v>
      </c>
      <c r="B1346" s="78" t="s">
        <v>4365</v>
      </c>
      <c r="C1346" s="82" t="s">
        <v>147</v>
      </c>
      <c r="D1346" s="82" t="s">
        <v>4366</v>
      </c>
      <c r="E1346" s="82" t="s">
        <v>4367</v>
      </c>
      <c r="F1346" s="82" t="s">
        <v>314</v>
      </c>
      <c r="G1346" s="82">
        <v>1.0</v>
      </c>
      <c r="H1346" s="82">
        <v>1.0</v>
      </c>
      <c r="I1346" s="82">
        <v>2.0</v>
      </c>
      <c r="J1346" s="82">
        <v>50.0</v>
      </c>
      <c r="K1346" s="82">
        <v>50.0</v>
      </c>
      <c r="L1346" s="155" t="s">
        <v>153</v>
      </c>
    </row>
    <row r="1347" ht="15.0" customHeight="1">
      <c r="A1347" s="78" t="s">
        <v>4364</v>
      </c>
      <c r="B1347" s="82" t="s">
        <v>4365</v>
      </c>
      <c r="C1347" s="78" t="s">
        <v>147</v>
      </c>
      <c r="D1347" s="82" t="s">
        <v>4368</v>
      </c>
      <c r="E1347" s="82" t="s">
        <v>4369</v>
      </c>
      <c r="F1347" s="86" t="s">
        <v>314</v>
      </c>
      <c r="G1347" s="82">
        <v>1.0</v>
      </c>
      <c r="H1347" s="82">
        <v>1.0</v>
      </c>
      <c r="I1347" s="82">
        <v>2.0</v>
      </c>
      <c r="J1347" s="152">
        <v>50.0</v>
      </c>
      <c r="K1347" s="84">
        <v>50.0</v>
      </c>
      <c r="L1347" s="155" t="s">
        <v>153</v>
      </c>
    </row>
    <row r="1348" ht="15.0" customHeight="1">
      <c r="A1348" s="78" t="s">
        <v>4364</v>
      </c>
      <c r="B1348" s="82" t="s">
        <v>4365</v>
      </c>
      <c r="C1348" s="78" t="s">
        <v>147</v>
      </c>
      <c r="D1348" s="82" t="s">
        <v>4370</v>
      </c>
      <c r="E1348" s="82" t="s">
        <v>4371</v>
      </c>
      <c r="F1348" s="86" t="s">
        <v>314</v>
      </c>
      <c r="G1348" s="82">
        <v>1.0</v>
      </c>
      <c r="H1348" s="82">
        <v>1.0</v>
      </c>
      <c r="I1348" s="82">
        <v>2.0</v>
      </c>
      <c r="J1348" s="152">
        <v>50.0</v>
      </c>
      <c r="K1348" s="84">
        <v>50.0</v>
      </c>
      <c r="L1348" s="155" t="s">
        <v>153</v>
      </c>
    </row>
    <row r="1349" ht="15.0" customHeight="1">
      <c r="A1349" s="78" t="s">
        <v>4364</v>
      </c>
      <c r="B1349" s="82" t="s">
        <v>4365</v>
      </c>
      <c r="C1349" s="78" t="s">
        <v>147</v>
      </c>
      <c r="D1349" s="82" t="s">
        <v>4372</v>
      </c>
      <c r="E1349" s="82" t="s">
        <v>4373</v>
      </c>
      <c r="F1349" s="86" t="s">
        <v>1264</v>
      </c>
      <c r="G1349" s="82">
        <v>1.0</v>
      </c>
      <c r="H1349" s="82">
        <v>1.0</v>
      </c>
      <c r="I1349" s="82">
        <v>2.0</v>
      </c>
      <c r="J1349" s="152">
        <v>50.0</v>
      </c>
      <c r="K1349" s="84">
        <v>50.0</v>
      </c>
      <c r="L1349" s="155" t="s">
        <v>153</v>
      </c>
    </row>
    <row r="1350" ht="15.0" customHeight="1">
      <c r="A1350" s="78" t="s">
        <v>4364</v>
      </c>
      <c r="B1350" s="82" t="s">
        <v>4365</v>
      </c>
      <c r="C1350" s="78" t="s">
        <v>147</v>
      </c>
      <c r="D1350" s="82" t="s">
        <v>4374</v>
      </c>
      <c r="E1350" s="82" t="s">
        <v>4375</v>
      </c>
      <c r="F1350" s="86" t="s">
        <v>1264</v>
      </c>
      <c r="G1350" s="82">
        <v>1.0</v>
      </c>
      <c r="H1350" s="82">
        <v>1.0</v>
      </c>
      <c r="I1350" s="82">
        <v>2.0</v>
      </c>
      <c r="J1350" s="152">
        <v>50.0</v>
      </c>
      <c r="K1350" s="84">
        <v>50.0</v>
      </c>
      <c r="L1350" s="155" t="s">
        <v>153</v>
      </c>
    </row>
    <row r="1351" ht="15.0" customHeight="1">
      <c r="A1351" s="78" t="s">
        <v>4364</v>
      </c>
      <c r="B1351" s="82" t="s">
        <v>4365</v>
      </c>
      <c r="C1351" s="78" t="s">
        <v>147</v>
      </c>
      <c r="D1351" s="82" t="s">
        <v>4376</v>
      </c>
      <c r="E1351" s="82" t="s">
        <v>4377</v>
      </c>
      <c r="F1351" s="86" t="s">
        <v>1264</v>
      </c>
      <c r="G1351" s="82">
        <v>1.0</v>
      </c>
      <c r="H1351" s="82">
        <v>1.0</v>
      </c>
      <c r="I1351" s="82">
        <v>2.0</v>
      </c>
      <c r="J1351" s="152">
        <v>50.0</v>
      </c>
      <c r="K1351" s="84">
        <v>50.0</v>
      </c>
      <c r="L1351" s="155" t="s">
        <v>153</v>
      </c>
    </row>
    <row r="1352" ht="15.0" customHeight="1">
      <c r="A1352" s="78" t="s">
        <v>4364</v>
      </c>
      <c r="B1352" s="82" t="s">
        <v>4365</v>
      </c>
      <c r="C1352" s="78" t="s">
        <v>147</v>
      </c>
      <c r="D1352" s="82" t="s">
        <v>4378</v>
      </c>
      <c r="E1352" s="82" t="s">
        <v>4379</v>
      </c>
      <c r="F1352" s="86" t="s">
        <v>314</v>
      </c>
      <c r="G1352" s="82">
        <v>1.0</v>
      </c>
      <c r="H1352" s="82">
        <v>1.0</v>
      </c>
      <c r="I1352" s="82">
        <v>2.0</v>
      </c>
      <c r="J1352" s="152">
        <v>50.0</v>
      </c>
      <c r="K1352" s="84">
        <v>50.0</v>
      </c>
      <c r="L1352" s="155" t="s">
        <v>153</v>
      </c>
    </row>
    <row r="1353" ht="15.0" customHeight="1">
      <c r="A1353" s="78" t="s">
        <v>4364</v>
      </c>
      <c r="B1353" s="82" t="s">
        <v>4365</v>
      </c>
      <c r="C1353" s="78" t="s">
        <v>147</v>
      </c>
      <c r="D1353" s="82" t="s">
        <v>4380</v>
      </c>
      <c r="E1353" s="82" t="s">
        <v>4381</v>
      </c>
      <c r="F1353" s="86" t="s">
        <v>314</v>
      </c>
      <c r="G1353" s="82">
        <v>1.0</v>
      </c>
      <c r="H1353" s="82">
        <v>1.0</v>
      </c>
      <c r="I1353" s="82">
        <v>2.0</v>
      </c>
      <c r="J1353" s="152">
        <v>50.0</v>
      </c>
      <c r="K1353" s="84">
        <v>50.0</v>
      </c>
      <c r="L1353" s="155" t="s">
        <v>153</v>
      </c>
    </row>
    <row r="1354" ht="15.0" customHeight="1">
      <c r="A1354" s="78" t="s">
        <v>4364</v>
      </c>
      <c r="B1354" s="82" t="s">
        <v>4365</v>
      </c>
      <c r="C1354" s="78" t="s">
        <v>147</v>
      </c>
      <c r="D1354" s="82" t="s">
        <v>4382</v>
      </c>
      <c r="E1354" s="82" t="s">
        <v>4383</v>
      </c>
      <c r="F1354" s="86" t="s">
        <v>314</v>
      </c>
      <c r="G1354" s="82">
        <v>1.0</v>
      </c>
      <c r="H1354" s="82">
        <v>1.0</v>
      </c>
      <c r="I1354" s="82">
        <v>2.0</v>
      </c>
      <c r="J1354" s="152">
        <v>50.0</v>
      </c>
      <c r="K1354" s="84">
        <v>50.0</v>
      </c>
      <c r="L1354" s="155" t="s">
        <v>153</v>
      </c>
    </row>
    <row r="1355" ht="15.0" customHeight="1">
      <c r="A1355" s="78" t="s">
        <v>4364</v>
      </c>
      <c r="B1355" s="82" t="s">
        <v>4365</v>
      </c>
      <c r="C1355" s="78" t="s">
        <v>147</v>
      </c>
      <c r="D1355" s="82" t="s">
        <v>4384</v>
      </c>
      <c r="E1355" s="82" t="s">
        <v>4385</v>
      </c>
      <c r="F1355" s="86" t="s">
        <v>314</v>
      </c>
      <c r="G1355" s="82">
        <v>1.0</v>
      </c>
      <c r="H1355" s="82">
        <v>1.0</v>
      </c>
      <c r="I1355" s="82">
        <v>2.0</v>
      </c>
      <c r="J1355" s="152">
        <v>50.0</v>
      </c>
      <c r="K1355" s="84">
        <v>50.0</v>
      </c>
      <c r="L1355" s="155" t="s">
        <v>153</v>
      </c>
    </row>
    <row r="1356" ht="15.0" customHeight="1">
      <c r="A1356" s="78" t="s">
        <v>4386</v>
      </c>
      <c r="B1356" s="82" t="s">
        <v>4387</v>
      </c>
      <c r="C1356" s="78" t="s">
        <v>147</v>
      </c>
      <c r="D1356" s="82" t="s">
        <v>4388</v>
      </c>
      <c r="E1356" s="82" t="s">
        <v>4389</v>
      </c>
      <c r="F1356" s="86" t="s">
        <v>314</v>
      </c>
      <c r="G1356" s="82">
        <v>2.0</v>
      </c>
      <c r="H1356" s="82">
        <v>2.0</v>
      </c>
      <c r="I1356" s="82">
        <v>5.0</v>
      </c>
      <c r="J1356" s="152">
        <v>50.0</v>
      </c>
      <c r="K1356" s="84">
        <v>25.0</v>
      </c>
      <c r="L1356" s="155" t="s">
        <v>153</v>
      </c>
    </row>
    <row r="1357" ht="15.0" customHeight="1">
      <c r="A1357" s="78" t="s">
        <v>4386</v>
      </c>
      <c r="B1357" s="82" t="s">
        <v>4387</v>
      </c>
      <c r="C1357" s="78" t="s">
        <v>147</v>
      </c>
      <c r="D1357" s="82" t="s">
        <v>4390</v>
      </c>
      <c r="E1357" s="82" t="s">
        <v>4391</v>
      </c>
      <c r="F1357" s="86" t="s">
        <v>1264</v>
      </c>
      <c r="G1357" s="82">
        <v>2.0</v>
      </c>
      <c r="H1357" s="82">
        <v>2.0</v>
      </c>
      <c r="I1357" s="82">
        <v>5.0</v>
      </c>
      <c r="J1357" s="152">
        <v>50.0</v>
      </c>
      <c r="K1357" s="84">
        <v>25.0</v>
      </c>
      <c r="L1357" s="155" t="s">
        <v>153</v>
      </c>
    </row>
    <row r="1358" ht="15.0" customHeight="1">
      <c r="A1358" s="78" t="s">
        <v>4386</v>
      </c>
      <c r="B1358" s="82" t="s">
        <v>4387</v>
      </c>
      <c r="C1358" s="78" t="s">
        <v>147</v>
      </c>
      <c r="D1358" s="82" t="s">
        <v>4392</v>
      </c>
      <c r="E1358" s="82" t="s">
        <v>4393</v>
      </c>
      <c r="F1358" s="86" t="s">
        <v>1264</v>
      </c>
      <c r="G1358" s="82">
        <v>2.0</v>
      </c>
      <c r="H1358" s="82">
        <v>2.0</v>
      </c>
      <c r="I1358" s="82">
        <v>5.0</v>
      </c>
      <c r="J1358" s="152">
        <v>50.0</v>
      </c>
      <c r="K1358" s="84">
        <v>25.0</v>
      </c>
      <c r="L1358" s="155" t="s">
        <v>153</v>
      </c>
    </row>
    <row r="1359" ht="15.0" customHeight="1">
      <c r="A1359" s="78" t="s">
        <v>4386</v>
      </c>
      <c r="B1359" s="82" t="s">
        <v>4387</v>
      </c>
      <c r="C1359" s="78" t="s">
        <v>147</v>
      </c>
      <c r="D1359" s="82" t="s">
        <v>4394</v>
      </c>
      <c r="E1359" s="82" t="s">
        <v>4395</v>
      </c>
      <c r="F1359" s="86" t="s">
        <v>314</v>
      </c>
      <c r="G1359" s="82">
        <v>2.0</v>
      </c>
      <c r="H1359" s="82">
        <v>2.0</v>
      </c>
      <c r="I1359" s="82">
        <v>5.0</v>
      </c>
      <c r="J1359" s="152">
        <v>50.0</v>
      </c>
      <c r="K1359" s="84">
        <v>25.0</v>
      </c>
      <c r="L1359" s="155" t="s">
        <v>153</v>
      </c>
    </row>
    <row r="1360" ht="15.0" customHeight="1">
      <c r="A1360" s="78" t="s">
        <v>4386</v>
      </c>
      <c r="B1360" s="82" t="s">
        <v>4387</v>
      </c>
      <c r="C1360" s="78" t="s">
        <v>147</v>
      </c>
      <c r="D1360" s="82" t="s">
        <v>4396</v>
      </c>
      <c r="E1360" s="82" t="s">
        <v>4397</v>
      </c>
      <c r="F1360" s="86" t="s">
        <v>314</v>
      </c>
      <c r="G1360" s="82">
        <v>2.0</v>
      </c>
      <c r="H1360" s="82">
        <v>2.0</v>
      </c>
      <c r="I1360" s="82">
        <v>5.0</v>
      </c>
      <c r="J1360" s="152">
        <v>50.0</v>
      </c>
      <c r="K1360" s="84">
        <v>25.0</v>
      </c>
      <c r="L1360" s="155" t="s">
        <v>153</v>
      </c>
    </row>
    <row r="1361" ht="15.0" customHeight="1">
      <c r="A1361" s="78" t="s">
        <v>4386</v>
      </c>
      <c r="B1361" s="82" t="s">
        <v>4387</v>
      </c>
      <c r="C1361" s="78" t="s">
        <v>147</v>
      </c>
      <c r="D1361" s="82" t="s">
        <v>4398</v>
      </c>
      <c r="E1361" s="82" t="s">
        <v>4399</v>
      </c>
      <c r="F1361" s="86" t="s">
        <v>314</v>
      </c>
      <c r="G1361" s="82">
        <v>2.0</v>
      </c>
      <c r="H1361" s="82">
        <v>2.0</v>
      </c>
      <c r="I1361" s="82">
        <v>5.0</v>
      </c>
      <c r="J1361" s="152">
        <v>50.0</v>
      </c>
      <c r="K1361" s="84">
        <v>25.0</v>
      </c>
      <c r="L1361" s="155" t="s">
        <v>153</v>
      </c>
    </row>
    <row r="1362" ht="15.0" customHeight="1">
      <c r="A1362" s="78" t="s">
        <v>4400</v>
      </c>
      <c r="B1362" s="82" t="s">
        <v>4401</v>
      </c>
      <c r="C1362" s="78" t="s">
        <v>147</v>
      </c>
      <c r="D1362" s="82" t="s">
        <v>4402</v>
      </c>
      <c r="E1362" s="82" t="s">
        <v>4403</v>
      </c>
      <c r="F1362" s="86" t="s">
        <v>314</v>
      </c>
      <c r="G1362" s="82">
        <v>3.0</v>
      </c>
      <c r="H1362" s="82">
        <v>3.0</v>
      </c>
      <c r="I1362" s="82">
        <v>7.0</v>
      </c>
      <c r="J1362" s="152">
        <v>50.0</v>
      </c>
      <c r="K1362" s="84">
        <v>16.67</v>
      </c>
      <c r="L1362" s="155" t="s">
        <v>153</v>
      </c>
    </row>
    <row r="1363" ht="15.0" customHeight="1">
      <c r="A1363" s="78" t="s">
        <v>4400</v>
      </c>
      <c r="B1363" s="82" t="s">
        <v>4401</v>
      </c>
      <c r="C1363" s="78" t="s">
        <v>147</v>
      </c>
      <c r="D1363" s="82" t="s">
        <v>4404</v>
      </c>
      <c r="E1363" s="82" t="s">
        <v>4405</v>
      </c>
      <c r="F1363" s="86" t="s">
        <v>314</v>
      </c>
      <c r="G1363" s="82">
        <v>3.0</v>
      </c>
      <c r="H1363" s="82">
        <v>3.0</v>
      </c>
      <c r="I1363" s="82">
        <v>7.0</v>
      </c>
      <c r="J1363" s="152">
        <v>50.0</v>
      </c>
      <c r="K1363" s="84">
        <v>16.67</v>
      </c>
      <c r="L1363" s="155" t="s">
        <v>153</v>
      </c>
    </row>
    <row r="1364" ht="15.0" customHeight="1">
      <c r="A1364" s="78" t="s">
        <v>4400</v>
      </c>
      <c r="B1364" s="82" t="s">
        <v>4401</v>
      </c>
      <c r="C1364" s="78" t="s">
        <v>147</v>
      </c>
      <c r="D1364" s="82" t="s">
        <v>4406</v>
      </c>
      <c r="E1364" s="82" t="s">
        <v>4407</v>
      </c>
      <c r="F1364" s="86" t="s">
        <v>314</v>
      </c>
      <c r="G1364" s="82">
        <v>3.0</v>
      </c>
      <c r="H1364" s="82">
        <v>3.0</v>
      </c>
      <c r="I1364" s="82">
        <v>7.0</v>
      </c>
      <c r="J1364" s="152">
        <v>50.0</v>
      </c>
      <c r="K1364" s="84">
        <v>16.67</v>
      </c>
      <c r="L1364" s="155" t="s">
        <v>153</v>
      </c>
    </row>
    <row r="1365" ht="15.0" customHeight="1">
      <c r="A1365" s="78" t="s">
        <v>4400</v>
      </c>
      <c r="B1365" s="82" t="s">
        <v>4401</v>
      </c>
      <c r="C1365" s="78" t="s">
        <v>147</v>
      </c>
      <c r="D1365" s="82" t="s">
        <v>4408</v>
      </c>
      <c r="E1365" s="82" t="s">
        <v>4409</v>
      </c>
      <c r="F1365" s="86" t="s">
        <v>1264</v>
      </c>
      <c r="G1365" s="82">
        <v>3.0</v>
      </c>
      <c r="H1365" s="82">
        <v>3.0</v>
      </c>
      <c r="I1365" s="82">
        <v>7.0</v>
      </c>
      <c r="J1365" s="152">
        <v>50.0</v>
      </c>
      <c r="K1365" s="84">
        <v>16.67</v>
      </c>
      <c r="L1365" s="155" t="s">
        <v>153</v>
      </c>
    </row>
    <row r="1366" ht="15.0" customHeight="1">
      <c r="A1366" s="78" t="s">
        <v>4400</v>
      </c>
      <c r="B1366" s="82" t="s">
        <v>4401</v>
      </c>
      <c r="C1366" s="78" t="s">
        <v>147</v>
      </c>
      <c r="D1366" s="82" t="s">
        <v>4410</v>
      </c>
      <c r="E1366" s="82" t="s">
        <v>4411</v>
      </c>
      <c r="F1366" s="86" t="s">
        <v>1264</v>
      </c>
      <c r="G1366" s="82">
        <v>3.0</v>
      </c>
      <c r="H1366" s="82">
        <v>3.0</v>
      </c>
      <c r="I1366" s="82">
        <v>7.0</v>
      </c>
      <c r="J1366" s="152">
        <v>50.0</v>
      </c>
      <c r="K1366" s="84">
        <v>16.67</v>
      </c>
      <c r="L1366" s="155" t="s">
        <v>153</v>
      </c>
    </row>
    <row r="1367" ht="15.0" customHeight="1">
      <c r="A1367" s="78" t="s">
        <v>4400</v>
      </c>
      <c r="B1367" s="82" t="s">
        <v>4401</v>
      </c>
      <c r="C1367" s="78" t="s">
        <v>147</v>
      </c>
      <c r="D1367" s="82" t="s">
        <v>4412</v>
      </c>
      <c r="E1367" s="82" t="s">
        <v>4413</v>
      </c>
      <c r="F1367" s="86" t="s">
        <v>314</v>
      </c>
      <c r="G1367" s="82">
        <v>3.0</v>
      </c>
      <c r="H1367" s="82">
        <v>3.0</v>
      </c>
      <c r="I1367" s="82">
        <v>7.0</v>
      </c>
      <c r="J1367" s="152">
        <v>50.0</v>
      </c>
      <c r="K1367" s="84">
        <v>16.67</v>
      </c>
      <c r="L1367" s="155" t="s">
        <v>153</v>
      </c>
    </row>
    <row r="1368" ht="15.0" customHeight="1">
      <c r="A1368" s="78" t="s">
        <v>4400</v>
      </c>
      <c r="B1368" s="82" t="s">
        <v>4401</v>
      </c>
      <c r="C1368" s="78" t="s">
        <v>147</v>
      </c>
      <c r="D1368" s="82" t="s">
        <v>4414</v>
      </c>
      <c r="E1368" s="82" t="s">
        <v>4415</v>
      </c>
      <c r="F1368" s="86" t="s">
        <v>314</v>
      </c>
      <c r="G1368" s="82">
        <v>3.0</v>
      </c>
      <c r="H1368" s="82">
        <v>3.0</v>
      </c>
      <c r="I1368" s="82">
        <v>7.0</v>
      </c>
      <c r="J1368" s="152">
        <v>50.0</v>
      </c>
      <c r="K1368" s="84">
        <v>16.67</v>
      </c>
      <c r="L1368" s="155" t="s">
        <v>153</v>
      </c>
    </row>
    <row r="1369" ht="15.0" customHeight="1">
      <c r="A1369" s="78" t="s">
        <v>4400</v>
      </c>
      <c r="B1369" s="82" t="s">
        <v>4401</v>
      </c>
      <c r="C1369" s="78" t="s">
        <v>147</v>
      </c>
      <c r="D1369" s="82" t="s">
        <v>4416</v>
      </c>
      <c r="E1369" s="82" t="s">
        <v>4417</v>
      </c>
      <c r="F1369" s="86" t="s">
        <v>314</v>
      </c>
      <c r="G1369" s="82">
        <v>3.0</v>
      </c>
      <c r="H1369" s="82">
        <v>3.0</v>
      </c>
      <c r="I1369" s="82">
        <v>7.0</v>
      </c>
      <c r="J1369" s="152">
        <v>50.0</v>
      </c>
      <c r="K1369" s="84">
        <v>16.67</v>
      </c>
      <c r="L1369" s="155" t="s">
        <v>153</v>
      </c>
    </row>
    <row r="1370" ht="15.0" customHeight="1">
      <c r="A1370" s="78" t="s">
        <v>4418</v>
      </c>
      <c r="B1370" s="82" t="s">
        <v>4419</v>
      </c>
      <c r="C1370" s="78" t="s">
        <v>147</v>
      </c>
      <c r="D1370" s="82" t="s">
        <v>4420</v>
      </c>
      <c r="E1370" s="82" t="s">
        <v>4421</v>
      </c>
      <c r="F1370" s="86" t="s">
        <v>1264</v>
      </c>
      <c r="G1370" s="82">
        <v>3.0</v>
      </c>
      <c r="H1370" s="82">
        <v>3.0</v>
      </c>
      <c r="I1370" s="82">
        <v>5.0</v>
      </c>
      <c r="J1370" s="152">
        <v>50.0</v>
      </c>
      <c r="K1370" s="84">
        <v>16.67</v>
      </c>
      <c r="L1370" s="155" t="s">
        <v>153</v>
      </c>
    </row>
    <row r="1371" ht="15.0" customHeight="1">
      <c r="A1371" s="78" t="s">
        <v>4418</v>
      </c>
      <c r="B1371" s="82" t="s">
        <v>4419</v>
      </c>
      <c r="C1371" s="78" t="s">
        <v>147</v>
      </c>
      <c r="D1371" s="82" t="s">
        <v>4422</v>
      </c>
      <c r="E1371" s="82" t="s">
        <v>4423</v>
      </c>
      <c r="F1371" s="86" t="s">
        <v>1264</v>
      </c>
      <c r="G1371" s="82">
        <v>3.0</v>
      </c>
      <c r="H1371" s="82">
        <v>3.0</v>
      </c>
      <c r="I1371" s="82">
        <v>5.0</v>
      </c>
      <c r="J1371" s="152">
        <v>50.0</v>
      </c>
      <c r="K1371" s="84">
        <v>16.67</v>
      </c>
      <c r="L1371" s="155" t="s">
        <v>153</v>
      </c>
    </row>
    <row r="1372" ht="15.0" customHeight="1">
      <c r="A1372" s="78" t="s">
        <v>4418</v>
      </c>
      <c r="B1372" s="82" t="s">
        <v>4419</v>
      </c>
      <c r="C1372" s="78" t="s">
        <v>147</v>
      </c>
      <c r="D1372" s="82" t="s">
        <v>4424</v>
      </c>
      <c r="E1372" s="82" t="s">
        <v>4425</v>
      </c>
      <c r="F1372" s="86" t="s">
        <v>1264</v>
      </c>
      <c r="G1372" s="82">
        <v>3.0</v>
      </c>
      <c r="H1372" s="82">
        <v>3.0</v>
      </c>
      <c r="I1372" s="82">
        <v>5.0</v>
      </c>
      <c r="J1372" s="152">
        <v>50.0</v>
      </c>
      <c r="K1372" s="84">
        <v>16.67</v>
      </c>
      <c r="L1372" s="155" t="s">
        <v>153</v>
      </c>
    </row>
    <row r="1373" ht="15.0" customHeight="1">
      <c r="A1373" s="78" t="s">
        <v>4418</v>
      </c>
      <c r="B1373" s="82" t="s">
        <v>4419</v>
      </c>
      <c r="C1373" s="78" t="s">
        <v>147</v>
      </c>
      <c r="D1373" s="82" t="s">
        <v>4426</v>
      </c>
      <c r="E1373" s="82" t="s">
        <v>4427</v>
      </c>
      <c r="F1373" s="86" t="s">
        <v>1264</v>
      </c>
      <c r="G1373" s="82">
        <v>3.0</v>
      </c>
      <c r="H1373" s="82">
        <v>3.0</v>
      </c>
      <c r="I1373" s="82">
        <v>5.0</v>
      </c>
      <c r="J1373" s="152">
        <v>50.0</v>
      </c>
      <c r="K1373" s="84">
        <v>16.67</v>
      </c>
      <c r="L1373" s="155" t="s">
        <v>153</v>
      </c>
    </row>
    <row r="1374" ht="15.0" customHeight="1">
      <c r="A1374" s="78" t="s">
        <v>4418</v>
      </c>
      <c r="B1374" s="82" t="s">
        <v>4419</v>
      </c>
      <c r="C1374" s="78" t="s">
        <v>147</v>
      </c>
      <c r="D1374" s="82" t="s">
        <v>4428</v>
      </c>
      <c r="E1374" s="82" t="s">
        <v>4429</v>
      </c>
      <c r="F1374" s="86" t="s">
        <v>1264</v>
      </c>
      <c r="G1374" s="82">
        <v>3.0</v>
      </c>
      <c r="H1374" s="82">
        <v>3.0</v>
      </c>
      <c r="I1374" s="82">
        <v>5.0</v>
      </c>
      <c r="J1374" s="152">
        <v>50.0</v>
      </c>
      <c r="K1374" s="84">
        <v>16.67</v>
      </c>
      <c r="L1374" s="155" t="s">
        <v>153</v>
      </c>
    </row>
    <row r="1375" ht="15.0" customHeight="1">
      <c r="A1375" s="78" t="s">
        <v>4418</v>
      </c>
      <c r="B1375" s="82" t="s">
        <v>4419</v>
      </c>
      <c r="C1375" s="78" t="s">
        <v>147</v>
      </c>
      <c r="D1375" s="82" t="s">
        <v>4430</v>
      </c>
      <c r="E1375" s="82" t="s">
        <v>4431</v>
      </c>
      <c r="F1375" s="86" t="s">
        <v>1264</v>
      </c>
      <c r="G1375" s="82">
        <v>3.0</v>
      </c>
      <c r="H1375" s="82">
        <v>3.0</v>
      </c>
      <c r="I1375" s="82">
        <v>5.0</v>
      </c>
      <c r="J1375" s="152">
        <v>50.0</v>
      </c>
      <c r="K1375" s="84">
        <v>16.67</v>
      </c>
      <c r="L1375" s="155" t="s">
        <v>153</v>
      </c>
    </row>
    <row r="1376" ht="15.0" customHeight="1">
      <c r="A1376" s="78" t="s">
        <v>4418</v>
      </c>
      <c r="B1376" s="82" t="s">
        <v>4419</v>
      </c>
      <c r="C1376" s="78" t="s">
        <v>147</v>
      </c>
      <c r="D1376" s="82" t="s">
        <v>4432</v>
      </c>
      <c r="E1376" s="82" t="s">
        <v>4433</v>
      </c>
      <c r="F1376" s="86" t="s">
        <v>1264</v>
      </c>
      <c r="G1376" s="82">
        <v>3.0</v>
      </c>
      <c r="H1376" s="82">
        <v>3.0</v>
      </c>
      <c r="I1376" s="82">
        <v>5.0</v>
      </c>
      <c r="J1376" s="152">
        <v>50.0</v>
      </c>
      <c r="K1376" s="84">
        <v>16.67</v>
      </c>
      <c r="L1376" s="155" t="s">
        <v>153</v>
      </c>
    </row>
    <row r="1377" ht="15.0" customHeight="1">
      <c r="A1377" s="78" t="s">
        <v>4418</v>
      </c>
      <c r="B1377" s="82" t="s">
        <v>4419</v>
      </c>
      <c r="C1377" s="78" t="s">
        <v>147</v>
      </c>
      <c r="D1377" s="82" t="s">
        <v>4434</v>
      </c>
      <c r="E1377" s="82" t="s">
        <v>4435</v>
      </c>
      <c r="F1377" s="86" t="s">
        <v>1264</v>
      </c>
      <c r="G1377" s="82">
        <v>3.0</v>
      </c>
      <c r="H1377" s="82">
        <v>3.0</v>
      </c>
      <c r="I1377" s="82">
        <v>5.0</v>
      </c>
      <c r="J1377" s="152">
        <v>50.0</v>
      </c>
      <c r="K1377" s="84">
        <v>16.67</v>
      </c>
      <c r="L1377" s="155" t="s">
        <v>153</v>
      </c>
    </row>
    <row r="1378" ht="15.0" customHeight="1">
      <c r="A1378" s="78" t="s">
        <v>4418</v>
      </c>
      <c r="B1378" s="82" t="s">
        <v>4419</v>
      </c>
      <c r="C1378" s="78" t="s">
        <v>147</v>
      </c>
      <c r="D1378" s="82" t="s">
        <v>4436</v>
      </c>
      <c r="E1378" s="82" t="s">
        <v>4437</v>
      </c>
      <c r="F1378" s="86" t="s">
        <v>1264</v>
      </c>
      <c r="G1378" s="82">
        <v>3.0</v>
      </c>
      <c r="H1378" s="82">
        <v>3.0</v>
      </c>
      <c r="I1378" s="82">
        <v>5.0</v>
      </c>
      <c r="J1378" s="152">
        <v>50.0</v>
      </c>
      <c r="K1378" s="84">
        <v>16.66</v>
      </c>
      <c r="L1378" s="155" t="s">
        <v>153</v>
      </c>
    </row>
    <row r="1379" ht="15.0" customHeight="1">
      <c r="A1379" s="78" t="s">
        <v>4418</v>
      </c>
      <c r="B1379" s="82" t="s">
        <v>4419</v>
      </c>
      <c r="C1379" s="78" t="s">
        <v>147</v>
      </c>
      <c r="D1379" s="82" t="s">
        <v>4438</v>
      </c>
      <c r="E1379" s="82" t="s">
        <v>4439</v>
      </c>
      <c r="F1379" s="86" t="s">
        <v>314</v>
      </c>
      <c r="G1379" s="82">
        <v>3.0</v>
      </c>
      <c r="H1379" s="82">
        <v>3.0</v>
      </c>
      <c r="I1379" s="82">
        <v>5.0</v>
      </c>
      <c r="J1379" s="152">
        <v>50.0</v>
      </c>
      <c r="K1379" s="84">
        <v>16.66</v>
      </c>
      <c r="L1379" s="155" t="s">
        <v>153</v>
      </c>
    </row>
    <row r="1380" ht="15.0" customHeight="1">
      <c r="A1380" s="78" t="s">
        <v>4418</v>
      </c>
      <c r="B1380" s="82" t="s">
        <v>4419</v>
      </c>
      <c r="C1380" s="78" t="s">
        <v>147</v>
      </c>
      <c r="D1380" s="82" t="s">
        <v>4440</v>
      </c>
      <c r="E1380" s="82" t="s">
        <v>4441</v>
      </c>
      <c r="F1380" s="86" t="s">
        <v>314</v>
      </c>
      <c r="G1380" s="82">
        <v>3.0</v>
      </c>
      <c r="H1380" s="82">
        <v>3.0</v>
      </c>
      <c r="I1380" s="82">
        <v>5.0</v>
      </c>
      <c r="J1380" s="152">
        <v>50.0</v>
      </c>
      <c r="K1380" s="84">
        <v>16.66</v>
      </c>
      <c r="L1380" s="155" t="s">
        <v>153</v>
      </c>
    </row>
    <row r="1381" ht="15.0" customHeight="1">
      <c r="A1381" s="78" t="s">
        <v>4418</v>
      </c>
      <c r="B1381" s="82" t="s">
        <v>4419</v>
      </c>
      <c r="C1381" s="78" t="s">
        <v>147</v>
      </c>
      <c r="D1381" s="82" t="s">
        <v>4442</v>
      </c>
      <c r="E1381" s="82" t="s">
        <v>4443</v>
      </c>
      <c r="F1381" s="86" t="s">
        <v>1264</v>
      </c>
      <c r="G1381" s="82">
        <v>3.0</v>
      </c>
      <c r="H1381" s="82">
        <v>3.0</v>
      </c>
      <c r="I1381" s="82">
        <v>5.0</v>
      </c>
      <c r="J1381" s="152">
        <v>50.0</v>
      </c>
      <c r="K1381" s="84">
        <v>16.66</v>
      </c>
      <c r="L1381" s="155" t="s">
        <v>153</v>
      </c>
    </row>
    <row r="1382" ht="15.0" customHeight="1">
      <c r="A1382" s="78" t="s">
        <v>4418</v>
      </c>
      <c r="B1382" s="82" t="s">
        <v>4419</v>
      </c>
      <c r="C1382" s="78" t="s">
        <v>147</v>
      </c>
      <c r="D1382" s="82" t="s">
        <v>4444</v>
      </c>
      <c r="E1382" s="82" t="s">
        <v>4445</v>
      </c>
      <c r="F1382" s="86" t="s">
        <v>314</v>
      </c>
      <c r="G1382" s="82">
        <v>3.0</v>
      </c>
      <c r="H1382" s="82">
        <v>3.0</v>
      </c>
      <c r="I1382" s="82">
        <v>5.0</v>
      </c>
      <c r="J1382" s="152">
        <v>50.0</v>
      </c>
      <c r="K1382" s="84">
        <v>16.66</v>
      </c>
      <c r="L1382" s="155" t="s">
        <v>153</v>
      </c>
    </row>
    <row r="1383" ht="15.0" customHeight="1">
      <c r="A1383" s="78" t="s">
        <v>4418</v>
      </c>
      <c r="B1383" s="82" t="s">
        <v>4419</v>
      </c>
      <c r="C1383" s="78" t="s">
        <v>147</v>
      </c>
      <c r="D1383" s="82" t="s">
        <v>4446</v>
      </c>
      <c r="E1383" s="82" t="s">
        <v>4447</v>
      </c>
      <c r="F1383" s="86" t="s">
        <v>314</v>
      </c>
      <c r="G1383" s="82">
        <v>3.0</v>
      </c>
      <c r="H1383" s="82">
        <v>3.0</v>
      </c>
      <c r="I1383" s="82">
        <v>5.0</v>
      </c>
      <c r="J1383" s="152">
        <v>50.0</v>
      </c>
      <c r="K1383" s="84">
        <v>16.66</v>
      </c>
      <c r="L1383" s="155" t="s">
        <v>153</v>
      </c>
    </row>
    <row r="1384" ht="15.0" customHeight="1">
      <c r="A1384" s="78" t="s">
        <v>4418</v>
      </c>
      <c r="B1384" s="82" t="s">
        <v>4419</v>
      </c>
      <c r="C1384" s="78" t="s">
        <v>147</v>
      </c>
      <c r="D1384" s="82" t="s">
        <v>4448</v>
      </c>
      <c r="E1384" s="82" t="s">
        <v>4449</v>
      </c>
      <c r="F1384" s="86" t="s">
        <v>314</v>
      </c>
      <c r="G1384" s="82">
        <v>3.0</v>
      </c>
      <c r="H1384" s="82">
        <v>3.0</v>
      </c>
      <c r="I1384" s="82">
        <v>5.0</v>
      </c>
      <c r="J1384" s="152">
        <v>50.0</v>
      </c>
      <c r="K1384" s="84">
        <v>16.66</v>
      </c>
      <c r="L1384" s="155" t="s">
        <v>153</v>
      </c>
    </row>
    <row r="1385" ht="15.0" customHeight="1">
      <c r="A1385" s="78" t="s">
        <v>4450</v>
      </c>
      <c r="B1385" s="82" t="s">
        <v>4451</v>
      </c>
      <c r="C1385" s="78" t="s">
        <v>147</v>
      </c>
      <c r="D1385" s="82" t="s">
        <v>4452</v>
      </c>
      <c r="E1385" s="82" t="s">
        <v>4453</v>
      </c>
      <c r="F1385" s="86" t="s">
        <v>1264</v>
      </c>
      <c r="G1385" s="82">
        <v>1.0</v>
      </c>
      <c r="H1385" s="82">
        <v>1.0</v>
      </c>
      <c r="I1385" s="82">
        <v>5.0</v>
      </c>
      <c r="J1385" s="152">
        <v>50.0</v>
      </c>
      <c r="K1385" s="84">
        <v>50.0</v>
      </c>
      <c r="L1385" s="155" t="s">
        <v>153</v>
      </c>
    </row>
    <row r="1386" ht="15.0" customHeight="1">
      <c r="A1386" s="78" t="s">
        <v>4454</v>
      </c>
      <c r="B1386" s="82" t="s">
        <v>4455</v>
      </c>
      <c r="C1386" s="78" t="s">
        <v>147</v>
      </c>
      <c r="D1386" s="82" t="s">
        <v>4456</v>
      </c>
      <c r="E1386" s="82" t="s">
        <v>4457</v>
      </c>
      <c r="F1386" s="86" t="s">
        <v>1264</v>
      </c>
      <c r="G1386" s="82">
        <v>2.0</v>
      </c>
      <c r="H1386" s="82">
        <v>1.0</v>
      </c>
      <c r="I1386" s="82">
        <v>7.0</v>
      </c>
      <c r="J1386" s="152">
        <v>50.0</v>
      </c>
      <c r="K1386" s="84">
        <v>25.0</v>
      </c>
      <c r="L1386" s="155" t="s">
        <v>153</v>
      </c>
    </row>
    <row r="1387" ht="15.0" customHeight="1">
      <c r="A1387" s="78" t="s">
        <v>4454</v>
      </c>
      <c r="B1387" s="82" t="s">
        <v>4455</v>
      </c>
      <c r="C1387" s="78" t="s">
        <v>147</v>
      </c>
      <c r="D1387" s="82" t="s">
        <v>4458</v>
      </c>
      <c r="E1387" s="82" t="s">
        <v>4459</v>
      </c>
      <c r="F1387" s="86" t="s">
        <v>314</v>
      </c>
      <c r="G1387" s="82">
        <v>2.0</v>
      </c>
      <c r="H1387" s="82">
        <v>1.0</v>
      </c>
      <c r="I1387" s="82">
        <v>7.0</v>
      </c>
      <c r="J1387" s="152">
        <v>50.0</v>
      </c>
      <c r="K1387" s="84">
        <v>25.0</v>
      </c>
      <c r="L1387" s="155" t="s">
        <v>153</v>
      </c>
    </row>
    <row r="1388" ht="15.0" customHeight="1">
      <c r="A1388" s="78" t="s">
        <v>4454</v>
      </c>
      <c r="B1388" s="82" t="s">
        <v>4455</v>
      </c>
      <c r="C1388" s="78" t="s">
        <v>147</v>
      </c>
      <c r="D1388" s="82" t="s">
        <v>4460</v>
      </c>
      <c r="E1388" s="82" t="s">
        <v>4461</v>
      </c>
      <c r="F1388" s="86" t="s">
        <v>314</v>
      </c>
      <c r="G1388" s="82">
        <v>2.0</v>
      </c>
      <c r="H1388" s="82">
        <v>1.0</v>
      </c>
      <c r="I1388" s="82">
        <v>7.0</v>
      </c>
      <c r="J1388" s="152">
        <v>50.0</v>
      </c>
      <c r="K1388" s="84">
        <v>25.0</v>
      </c>
      <c r="L1388" s="155" t="s">
        <v>153</v>
      </c>
    </row>
    <row r="1389" ht="15.0" customHeight="1">
      <c r="A1389" s="78" t="s">
        <v>4454</v>
      </c>
      <c r="B1389" s="82" t="s">
        <v>4455</v>
      </c>
      <c r="C1389" s="78" t="s">
        <v>147</v>
      </c>
      <c r="D1389" s="82" t="s">
        <v>4462</v>
      </c>
      <c r="E1389" s="82" t="s">
        <v>4463</v>
      </c>
      <c r="F1389" s="86" t="s">
        <v>314</v>
      </c>
      <c r="G1389" s="82">
        <v>2.0</v>
      </c>
      <c r="H1389" s="82">
        <v>1.0</v>
      </c>
      <c r="I1389" s="82">
        <v>7.0</v>
      </c>
      <c r="J1389" s="152">
        <v>50.0</v>
      </c>
      <c r="K1389" s="84">
        <v>25.0</v>
      </c>
      <c r="L1389" s="155" t="s">
        <v>153</v>
      </c>
    </row>
    <row r="1390" ht="15.0" customHeight="1">
      <c r="A1390" s="78" t="s">
        <v>4464</v>
      </c>
      <c r="B1390" s="82" t="s">
        <v>4465</v>
      </c>
      <c r="C1390" s="78" t="s">
        <v>147</v>
      </c>
      <c r="D1390" s="82" t="s">
        <v>4368</v>
      </c>
      <c r="E1390" s="82" t="s">
        <v>4369</v>
      </c>
      <c r="F1390" s="86" t="s">
        <v>1264</v>
      </c>
      <c r="G1390" s="82">
        <v>1.0</v>
      </c>
      <c r="H1390" s="82">
        <v>1.0</v>
      </c>
      <c r="I1390" s="82">
        <v>3.0</v>
      </c>
      <c r="J1390" s="152">
        <v>50.0</v>
      </c>
      <c r="K1390" s="84">
        <v>50.0</v>
      </c>
      <c r="L1390" s="155" t="s">
        <v>153</v>
      </c>
    </row>
    <row r="1391" ht="15.0" customHeight="1">
      <c r="A1391" s="78" t="s">
        <v>4464</v>
      </c>
      <c r="B1391" s="82" t="s">
        <v>4465</v>
      </c>
      <c r="C1391" s="78" t="s">
        <v>147</v>
      </c>
      <c r="D1391" s="82" t="s">
        <v>4370</v>
      </c>
      <c r="E1391" s="82" t="s">
        <v>4371</v>
      </c>
      <c r="F1391" s="86" t="s">
        <v>1264</v>
      </c>
      <c r="G1391" s="82">
        <v>1.0</v>
      </c>
      <c r="H1391" s="82">
        <v>1.0</v>
      </c>
      <c r="I1391" s="82">
        <v>3.0</v>
      </c>
      <c r="J1391" s="152">
        <v>50.0</v>
      </c>
      <c r="K1391" s="84">
        <v>50.0</v>
      </c>
      <c r="L1391" s="155" t="s">
        <v>153</v>
      </c>
    </row>
    <row r="1392" ht="15.0" customHeight="1">
      <c r="A1392" s="78" t="s">
        <v>4464</v>
      </c>
      <c r="B1392" s="82" t="s">
        <v>4465</v>
      </c>
      <c r="C1392" s="78" t="s">
        <v>147</v>
      </c>
      <c r="D1392" s="82" t="s">
        <v>4466</v>
      </c>
      <c r="E1392" s="82" t="s">
        <v>4467</v>
      </c>
      <c r="F1392" s="86" t="s">
        <v>314</v>
      </c>
      <c r="G1392" s="82">
        <v>1.0</v>
      </c>
      <c r="H1392" s="82">
        <v>1.0</v>
      </c>
      <c r="I1392" s="82">
        <v>3.0</v>
      </c>
      <c r="J1392" s="152">
        <v>50.0</v>
      </c>
      <c r="K1392" s="84">
        <v>50.0</v>
      </c>
      <c r="L1392" s="155" t="s">
        <v>153</v>
      </c>
    </row>
    <row r="1393" ht="15.0" customHeight="1">
      <c r="A1393" s="78" t="s">
        <v>4464</v>
      </c>
      <c r="B1393" s="82" t="s">
        <v>4465</v>
      </c>
      <c r="C1393" s="78" t="s">
        <v>147</v>
      </c>
      <c r="D1393" s="82" t="s">
        <v>4468</v>
      </c>
      <c r="E1393" s="82" t="s">
        <v>4469</v>
      </c>
      <c r="F1393" s="86" t="s">
        <v>314</v>
      </c>
      <c r="G1393" s="82">
        <v>1.0</v>
      </c>
      <c r="H1393" s="82">
        <v>1.0</v>
      </c>
      <c r="I1393" s="82">
        <v>3.0</v>
      </c>
      <c r="J1393" s="152">
        <v>50.0</v>
      </c>
      <c r="K1393" s="84">
        <v>50.0</v>
      </c>
      <c r="L1393" s="155" t="s">
        <v>153</v>
      </c>
    </row>
    <row r="1394" ht="15.0" customHeight="1">
      <c r="A1394" s="78" t="s">
        <v>4464</v>
      </c>
      <c r="B1394" s="82" t="s">
        <v>4465</v>
      </c>
      <c r="C1394" s="78" t="s">
        <v>147</v>
      </c>
      <c r="D1394" s="82" t="s">
        <v>4470</v>
      </c>
      <c r="E1394" s="82" t="s">
        <v>4471</v>
      </c>
      <c r="F1394" s="86" t="s">
        <v>314</v>
      </c>
      <c r="G1394" s="82">
        <v>1.0</v>
      </c>
      <c r="H1394" s="82">
        <v>1.0</v>
      </c>
      <c r="I1394" s="82">
        <v>3.0</v>
      </c>
      <c r="J1394" s="152">
        <v>50.0</v>
      </c>
      <c r="K1394" s="84">
        <v>50.0</v>
      </c>
      <c r="L1394" s="155" t="s">
        <v>153</v>
      </c>
    </row>
    <row r="1395" ht="15.0" customHeight="1">
      <c r="A1395" s="78" t="s">
        <v>4472</v>
      </c>
      <c r="B1395" s="82" t="s">
        <v>4473</v>
      </c>
      <c r="C1395" s="78" t="s">
        <v>147</v>
      </c>
      <c r="D1395" s="82" t="s">
        <v>4474</v>
      </c>
      <c r="E1395" s="82" t="s">
        <v>4475</v>
      </c>
      <c r="F1395" s="86" t="s">
        <v>314</v>
      </c>
      <c r="G1395" s="82">
        <v>2.0</v>
      </c>
      <c r="H1395" s="82">
        <v>2.0</v>
      </c>
      <c r="I1395" s="82">
        <v>3.0</v>
      </c>
      <c r="J1395" s="152">
        <v>50.0</v>
      </c>
      <c r="K1395" s="84">
        <v>25.0</v>
      </c>
      <c r="L1395" s="155" t="s">
        <v>153</v>
      </c>
    </row>
    <row r="1396" ht="15.0" customHeight="1">
      <c r="A1396" s="78" t="s">
        <v>4472</v>
      </c>
      <c r="B1396" s="82" t="s">
        <v>4473</v>
      </c>
      <c r="C1396" s="78" t="s">
        <v>147</v>
      </c>
      <c r="D1396" s="82" t="s">
        <v>4476</v>
      </c>
      <c r="E1396" s="82" t="s">
        <v>4477</v>
      </c>
      <c r="F1396" s="86" t="s">
        <v>314</v>
      </c>
      <c r="G1396" s="82">
        <v>2.0</v>
      </c>
      <c r="H1396" s="82">
        <v>2.0</v>
      </c>
      <c r="I1396" s="82">
        <v>3.0</v>
      </c>
      <c r="J1396" s="152">
        <v>50.0</v>
      </c>
      <c r="K1396" s="84">
        <v>25.0</v>
      </c>
      <c r="L1396" s="155" t="s">
        <v>153</v>
      </c>
    </row>
    <row r="1397" ht="15.0" customHeight="1">
      <c r="A1397" s="78" t="s">
        <v>4472</v>
      </c>
      <c r="B1397" s="82" t="s">
        <v>4473</v>
      </c>
      <c r="C1397" s="78" t="s">
        <v>147</v>
      </c>
      <c r="D1397" s="82" t="s">
        <v>3295</v>
      </c>
      <c r="E1397" s="82" t="s">
        <v>3296</v>
      </c>
      <c r="F1397" s="86" t="s">
        <v>314</v>
      </c>
      <c r="G1397" s="82">
        <v>2.0</v>
      </c>
      <c r="H1397" s="82">
        <v>2.0</v>
      </c>
      <c r="I1397" s="82">
        <v>3.0</v>
      </c>
      <c r="J1397" s="152">
        <v>50.0</v>
      </c>
      <c r="K1397" s="84">
        <v>25.0</v>
      </c>
      <c r="L1397" s="155" t="s">
        <v>153</v>
      </c>
    </row>
    <row r="1398" ht="15.0" customHeight="1">
      <c r="A1398" s="78" t="s">
        <v>4478</v>
      </c>
      <c r="B1398" s="82" t="s">
        <v>4479</v>
      </c>
      <c r="C1398" s="78" t="s">
        <v>147</v>
      </c>
      <c r="D1398" s="82" t="s">
        <v>4480</v>
      </c>
      <c r="E1398" s="82" t="s">
        <v>4481</v>
      </c>
      <c r="F1398" s="86" t="s">
        <v>1264</v>
      </c>
      <c r="G1398" s="82">
        <v>3.0</v>
      </c>
      <c r="H1398" s="82">
        <v>3.0</v>
      </c>
      <c r="I1398" s="82">
        <v>5.0</v>
      </c>
      <c r="J1398" s="152">
        <v>50.0</v>
      </c>
      <c r="K1398" s="84">
        <v>16.67</v>
      </c>
      <c r="L1398" s="155" t="s">
        <v>153</v>
      </c>
    </row>
    <row r="1399" ht="15.0" customHeight="1">
      <c r="A1399" s="78" t="s">
        <v>4478</v>
      </c>
      <c r="B1399" s="82" t="s">
        <v>4479</v>
      </c>
      <c r="C1399" s="78" t="s">
        <v>147</v>
      </c>
      <c r="D1399" s="82" t="s">
        <v>4482</v>
      </c>
      <c r="E1399" s="82" t="s">
        <v>4483</v>
      </c>
      <c r="F1399" s="86" t="s">
        <v>314</v>
      </c>
      <c r="G1399" s="82">
        <v>3.0</v>
      </c>
      <c r="H1399" s="82">
        <v>3.0</v>
      </c>
      <c r="I1399" s="82">
        <v>5.0</v>
      </c>
      <c r="J1399" s="152">
        <v>50.0</v>
      </c>
      <c r="K1399" s="84">
        <v>16.67</v>
      </c>
      <c r="L1399" s="155" t="s">
        <v>153</v>
      </c>
    </row>
    <row r="1400" ht="15.0" customHeight="1">
      <c r="A1400" s="78" t="s">
        <v>4484</v>
      </c>
      <c r="B1400" s="82" t="s">
        <v>4485</v>
      </c>
      <c r="C1400" s="78" t="s">
        <v>147</v>
      </c>
      <c r="D1400" s="82" t="s">
        <v>4486</v>
      </c>
      <c r="E1400" s="82" t="s">
        <v>4487</v>
      </c>
      <c r="F1400" s="86" t="s">
        <v>314</v>
      </c>
      <c r="G1400" s="82">
        <v>3.0</v>
      </c>
      <c r="H1400" s="82">
        <v>3.0</v>
      </c>
      <c r="I1400" s="82">
        <v>6.0</v>
      </c>
      <c r="J1400" s="152">
        <v>50.0</v>
      </c>
      <c r="K1400" s="84">
        <v>16.67</v>
      </c>
      <c r="L1400" s="155" t="s">
        <v>153</v>
      </c>
    </row>
    <row r="1401" ht="15.0" customHeight="1">
      <c r="A1401" s="78" t="s">
        <v>4488</v>
      </c>
      <c r="B1401" s="82" t="s">
        <v>4489</v>
      </c>
      <c r="C1401" s="78" t="s">
        <v>147</v>
      </c>
      <c r="D1401" s="82" t="s">
        <v>4490</v>
      </c>
      <c r="E1401" s="82" t="s">
        <v>4491</v>
      </c>
      <c r="F1401" s="86" t="s">
        <v>314</v>
      </c>
      <c r="G1401" s="82">
        <v>1.0</v>
      </c>
      <c r="H1401" s="82">
        <v>1.0</v>
      </c>
      <c r="I1401" s="82">
        <v>3.0</v>
      </c>
      <c r="J1401" s="152">
        <v>50.0</v>
      </c>
      <c r="K1401" s="84">
        <v>50.0</v>
      </c>
      <c r="L1401" s="155" t="s">
        <v>153</v>
      </c>
    </row>
    <row r="1402" ht="15.0" customHeight="1">
      <c r="A1402" s="78" t="s">
        <v>4488</v>
      </c>
      <c r="B1402" s="82" t="s">
        <v>4489</v>
      </c>
      <c r="C1402" s="78" t="s">
        <v>147</v>
      </c>
      <c r="D1402" s="82" t="s">
        <v>4492</v>
      </c>
      <c r="E1402" s="82" t="s">
        <v>4493</v>
      </c>
      <c r="F1402" s="86" t="s">
        <v>314</v>
      </c>
      <c r="G1402" s="82">
        <v>1.0</v>
      </c>
      <c r="H1402" s="82">
        <v>1.0</v>
      </c>
      <c r="I1402" s="82">
        <v>3.0</v>
      </c>
      <c r="J1402" s="152">
        <v>50.0</v>
      </c>
      <c r="K1402" s="84">
        <v>50.0</v>
      </c>
      <c r="L1402" s="155" t="s">
        <v>153</v>
      </c>
    </row>
    <row r="1403" ht="15.0" customHeight="1">
      <c r="A1403" s="78" t="s">
        <v>4488</v>
      </c>
      <c r="B1403" s="82" t="s">
        <v>4489</v>
      </c>
      <c r="C1403" s="78" t="s">
        <v>147</v>
      </c>
      <c r="D1403" s="82" t="s">
        <v>4494</v>
      </c>
      <c r="E1403" s="82" t="s">
        <v>4495</v>
      </c>
      <c r="F1403" s="86" t="s">
        <v>314</v>
      </c>
      <c r="G1403" s="82">
        <v>1.0</v>
      </c>
      <c r="H1403" s="82">
        <v>1.0</v>
      </c>
      <c r="I1403" s="82">
        <v>3.0</v>
      </c>
      <c r="J1403" s="152">
        <v>50.0</v>
      </c>
      <c r="K1403" s="84">
        <v>50.0</v>
      </c>
      <c r="L1403" s="155" t="s">
        <v>153</v>
      </c>
    </row>
    <row r="1404" ht="15.0" customHeight="1">
      <c r="A1404" s="78" t="s">
        <v>4488</v>
      </c>
      <c r="B1404" s="82" t="s">
        <v>4489</v>
      </c>
      <c r="C1404" s="78" t="s">
        <v>147</v>
      </c>
      <c r="D1404" s="82" t="s">
        <v>4496</v>
      </c>
      <c r="E1404" s="82" t="s">
        <v>4497</v>
      </c>
      <c r="F1404" s="86" t="s">
        <v>314</v>
      </c>
      <c r="G1404" s="82">
        <v>1.0</v>
      </c>
      <c r="H1404" s="82">
        <v>1.0</v>
      </c>
      <c r="I1404" s="82">
        <v>3.0</v>
      </c>
      <c r="J1404" s="152">
        <v>50.0</v>
      </c>
      <c r="K1404" s="84">
        <v>50.0</v>
      </c>
      <c r="L1404" s="155" t="s">
        <v>153</v>
      </c>
    </row>
    <row r="1405" ht="15.0" customHeight="1">
      <c r="A1405" s="78" t="s">
        <v>4498</v>
      </c>
      <c r="B1405" s="82" t="s">
        <v>4499</v>
      </c>
      <c r="C1405" s="78" t="s">
        <v>147</v>
      </c>
      <c r="D1405" s="82" t="s">
        <v>4500</v>
      </c>
      <c r="E1405" s="82" t="s">
        <v>4501</v>
      </c>
      <c r="F1405" s="86" t="s">
        <v>314</v>
      </c>
      <c r="G1405" s="82">
        <v>5.0</v>
      </c>
      <c r="H1405" s="82">
        <v>5.0</v>
      </c>
      <c r="I1405" s="82">
        <v>5.0</v>
      </c>
      <c r="J1405" s="152">
        <v>50.0</v>
      </c>
      <c r="K1405" s="84">
        <v>10.0</v>
      </c>
      <c r="L1405" s="155" t="s">
        <v>153</v>
      </c>
    </row>
    <row r="1406" ht="15.0" customHeight="1">
      <c r="A1406" s="78" t="s">
        <v>4502</v>
      </c>
      <c r="B1406" s="82" t="s">
        <v>4503</v>
      </c>
      <c r="C1406" s="78" t="s">
        <v>147</v>
      </c>
      <c r="D1406" s="82" t="s">
        <v>4504</v>
      </c>
      <c r="E1406" s="82" t="s">
        <v>4505</v>
      </c>
      <c r="F1406" s="86" t="s">
        <v>314</v>
      </c>
      <c r="G1406" s="82">
        <v>4.0</v>
      </c>
      <c r="H1406" s="82">
        <v>4.0</v>
      </c>
      <c r="I1406" s="82">
        <v>4.0</v>
      </c>
      <c r="J1406" s="152">
        <v>50.0</v>
      </c>
      <c r="K1406" s="84">
        <v>12.5</v>
      </c>
      <c r="L1406" s="155" t="s">
        <v>153</v>
      </c>
    </row>
    <row r="1407" ht="15.0" customHeight="1">
      <c r="A1407" s="78" t="s">
        <v>4506</v>
      </c>
      <c r="B1407" s="82" t="s">
        <v>4507</v>
      </c>
      <c r="C1407" s="78" t="s">
        <v>147</v>
      </c>
      <c r="D1407" s="82" t="s">
        <v>4508</v>
      </c>
      <c r="E1407" s="82" t="s">
        <v>4509</v>
      </c>
      <c r="F1407" s="86" t="s">
        <v>314</v>
      </c>
      <c r="G1407" s="82">
        <v>1.0</v>
      </c>
      <c r="H1407" s="82">
        <v>1.0</v>
      </c>
      <c r="I1407" s="82">
        <v>2.0</v>
      </c>
      <c r="J1407" s="152">
        <v>50.0</v>
      </c>
      <c r="K1407" s="84">
        <v>50.0</v>
      </c>
      <c r="L1407" s="155" t="s">
        <v>153</v>
      </c>
    </row>
    <row r="1408" ht="15.0" customHeight="1">
      <c r="A1408" s="78" t="s">
        <v>4506</v>
      </c>
      <c r="B1408" s="82" t="s">
        <v>4507</v>
      </c>
      <c r="C1408" s="78" t="s">
        <v>147</v>
      </c>
      <c r="D1408" s="82" t="s">
        <v>4510</v>
      </c>
      <c r="E1408" s="82" t="s">
        <v>4511</v>
      </c>
      <c r="F1408" s="86" t="s">
        <v>314</v>
      </c>
      <c r="G1408" s="82">
        <v>1.0</v>
      </c>
      <c r="H1408" s="82">
        <v>1.0</v>
      </c>
      <c r="I1408" s="82">
        <v>2.0</v>
      </c>
      <c r="J1408" s="152">
        <v>50.0</v>
      </c>
      <c r="K1408" s="84">
        <v>50.0</v>
      </c>
      <c r="L1408" s="155" t="s">
        <v>153</v>
      </c>
    </row>
    <row r="1409" ht="15.0" customHeight="1">
      <c r="A1409" s="78" t="s">
        <v>4506</v>
      </c>
      <c r="B1409" s="82" t="s">
        <v>4507</v>
      </c>
      <c r="C1409" s="78" t="s">
        <v>147</v>
      </c>
      <c r="D1409" s="82" t="s">
        <v>4512</v>
      </c>
      <c r="E1409" s="82" t="s">
        <v>4513</v>
      </c>
      <c r="F1409" s="86" t="s">
        <v>314</v>
      </c>
      <c r="G1409" s="82">
        <v>1.0</v>
      </c>
      <c r="H1409" s="82">
        <v>1.0</v>
      </c>
      <c r="I1409" s="82">
        <v>2.0</v>
      </c>
      <c r="J1409" s="152">
        <v>50.0</v>
      </c>
      <c r="K1409" s="84">
        <v>50.0</v>
      </c>
      <c r="L1409" s="155" t="s">
        <v>153</v>
      </c>
    </row>
    <row r="1410" ht="15.0" customHeight="1">
      <c r="A1410" s="78" t="s">
        <v>4506</v>
      </c>
      <c r="B1410" s="82" t="s">
        <v>4507</v>
      </c>
      <c r="C1410" s="78" t="s">
        <v>147</v>
      </c>
      <c r="D1410" s="82" t="s">
        <v>4514</v>
      </c>
      <c r="E1410" s="82" t="s">
        <v>4515</v>
      </c>
      <c r="F1410" s="86" t="s">
        <v>314</v>
      </c>
      <c r="G1410" s="82">
        <v>1.0</v>
      </c>
      <c r="H1410" s="82">
        <v>1.0</v>
      </c>
      <c r="I1410" s="82">
        <v>2.0</v>
      </c>
      <c r="J1410" s="152">
        <v>50.0</v>
      </c>
      <c r="K1410" s="84">
        <v>50.0</v>
      </c>
      <c r="L1410" s="155" t="s">
        <v>153</v>
      </c>
    </row>
    <row r="1411" ht="15.0" customHeight="1">
      <c r="A1411" s="78" t="s">
        <v>4506</v>
      </c>
      <c r="B1411" s="82" t="s">
        <v>4507</v>
      </c>
      <c r="C1411" s="78" t="s">
        <v>147</v>
      </c>
      <c r="D1411" s="82" t="s">
        <v>4516</v>
      </c>
      <c r="E1411" s="82" t="s">
        <v>4517</v>
      </c>
      <c r="F1411" s="86" t="s">
        <v>314</v>
      </c>
      <c r="G1411" s="82">
        <v>1.0</v>
      </c>
      <c r="H1411" s="82">
        <v>1.0</v>
      </c>
      <c r="I1411" s="82">
        <v>2.0</v>
      </c>
      <c r="J1411" s="152">
        <v>50.0</v>
      </c>
      <c r="K1411" s="84">
        <v>50.0</v>
      </c>
      <c r="L1411" s="155" t="s">
        <v>153</v>
      </c>
    </row>
    <row r="1412" ht="15.0" customHeight="1">
      <c r="A1412" s="78" t="s">
        <v>4506</v>
      </c>
      <c r="B1412" s="82" t="s">
        <v>4507</v>
      </c>
      <c r="C1412" s="78" t="s">
        <v>147</v>
      </c>
      <c r="D1412" s="82" t="s">
        <v>4518</v>
      </c>
      <c r="E1412" s="82" t="s">
        <v>4519</v>
      </c>
      <c r="F1412" s="86" t="s">
        <v>314</v>
      </c>
      <c r="G1412" s="82">
        <v>1.0</v>
      </c>
      <c r="H1412" s="82">
        <v>1.0</v>
      </c>
      <c r="I1412" s="82">
        <v>2.0</v>
      </c>
      <c r="J1412" s="152">
        <v>50.0</v>
      </c>
      <c r="K1412" s="84">
        <v>50.0</v>
      </c>
      <c r="L1412" s="155" t="s">
        <v>153</v>
      </c>
    </row>
    <row r="1413" ht="15.0" customHeight="1">
      <c r="A1413" s="78" t="s">
        <v>4506</v>
      </c>
      <c r="B1413" s="82" t="s">
        <v>4507</v>
      </c>
      <c r="C1413" s="78" t="s">
        <v>147</v>
      </c>
      <c r="D1413" s="82" t="s">
        <v>4520</v>
      </c>
      <c r="E1413" s="82" t="s">
        <v>4521</v>
      </c>
      <c r="F1413" s="86" t="s">
        <v>314</v>
      </c>
      <c r="G1413" s="82">
        <v>1.0</v>
      </c>
      <c r="H1413" s="82">
        <v>1.0</v>
      </c>
      <c r="I1413" s="82">
        <v>2.0</v>
      </c>
      <c r="J1413" s="152">
        <v>50.0</v>
      </c>
      <c r="K1413" s="84">
        <v>50.0</v>
      </c>
      <c r="L1413" s="155" t="s">
        <v>153</v>
      </c>
    </row>
    <row r="1414" ht="15.0" customHeight="1">
      <c r="A1414" s="78" t="s">
        <v>4506</v>
      </c>
      <c r="B1414" s="82" t="s">
        <v>4507</v>
      </c>
      <c r="C1414" s="78" t="s">
        <v>147</v>
      </c>
      <c r="D1414" s="82" t="s">
        <v>4522</v>
      </c>
      <c r="E1414" s="82" t="s">
        <v>4523</v>
      </c>
      <c r="F1414" s="86" t="s">
        <v>314</v>
      </c>
      <c r="G1414" s="82">
        <v>1.0</v>
      </c>
      <c r="H1414" s="82">
        <v>1.0</v>
      </c>
      <c r="I1414" s="82">
        <v>2.0</v>
      </c>
      <c r="J1414" s="152">
        <v>50.0</v>
      </c>
      <c r="K1414" s="84">
        <v>50.0</v>
      </c>
      <c r="L1414" s="155" t="s">
        <v>153</v>
      </c>
    </row>
    <row r="1415" ht="15.0" customHeight="1">
      <c r="A1415" s="78" t="s">
        <v>4506</v>
      </c>
      <c r="B1415" s="82" t="s">
        <v>4507</v>
      </c>
      <c r="C1415" s="78" t="s">
        <v>147</v>
      </c>
      <c r="D1415" s="82" t="s">
        <v>4524</v>
      </c>
      <c r="E1415" s="82" t="s">
        <v>4525</v>
      </c>
      <c r="F1415" s="86" t="s">
        <v>314</v>
      </c>
      <c r="G1415" s="82">
        <v>1.0</v>
      </c>
      <c r="H1415" s="82">
        <v>1.0</v>
      </c>
      <c r="I1415" s="82">
        <v>2.0</v>
      </c>
      <c r="J1415" s="152">
        <v>50.0</v>
      </c>
      <c r="K1415" s="84">
        <v>50.0</v>
      </c>
      <c r="L1415" s="155" t="s">
        <v>153</v>
      </c>
    </row>
    <row r="1416" ht="15.0" customHeight="1">
      <c r="A1416" s="78" t="s">
        <v>4526</v>
      </c>
      <c r="B1416" s="82" t="s">
        <v>4527</v>
      </c>
      <c r="C1416" s="78" t="s">
        <v>147</v>
      </c>
      <c r="D1416" s="82" t="s">
        <v>4528</v>
      </c>
      <c r="E1416" s="82" t="s">
        <v>4529</v>
      </c>
      <c r="F1416" s="86" t="s">
        <v>314</v>
      </c>
      <c r="G1416" s="82">
        <v>2.0</v>
      </c>
      <c r="H1416" s="82">
        <v>2.0</v>
      </c>
      <c r="I1416" s="82">
        <v>2.0</v>
      </c>
      <c r="J1416" s="152">
        <v>50.0</v>
      </c>
      <c r="K1416" s="84">
        <v>25.0</v>
      </c>
      <c r="L1416" s="155" t="s">
        <v>153</v>
      </c>
    </row>
    <row r="1417" ht="15.0" customHeight="1">
      <c r="A1417" s="78" t="s">
        <v>4526</v>
      </c>
      <c r="B1417" s="82" t="s">
        <v>4527</v>
      </c>
      <c r="C1417" s="78" t="s">
        <v>147</v>
      </c>
      <c r="D1417" s="82" t="s">
        <v>4530</v>
      </c>
      <c r="E1417" s="82" t="s">
        <v>4531</v>
      </c>
      <c r="F1417" s="86" t="s">
        <v>314</v>
      </c>
      <c r="G1417" s="82">
        <v>2.0</v>
      </c>
      <c r="H1417" s="82">
        <v>2.0</v>
      </c>
      <c r="I1417" s="82">
        <v>2.0</v>
      </c>
      <c r="J1417" s="152">
        <v>50.0</v>
      </c>
      <c r="K1417" s="84">
        <v>25.0</v>
      </c>
      <c r="L1417" s="155" t="s">
        <v>153</v>
      </c>
    </row>
    <row r="1418" ht="15.0" customHeight="1">
      <c r="A1418" s="78" t="s">
        <v>4532</v>
      </c>
      <c r="B1418" s="82" t="s">
        <v>4533</v>
      </c>
      <c r="C1418" s="78" t="s">
        <v>147</v>
      </c>
      <c r="D1418" s="82" t="s">
        <v>4534</v>
      </c>
      <c r="E1418" s="82" t="s">
        <v>4535</v>
      </c>
      <c r="F1418" s="86" t="s">
        <v>314</v>
      </c>
      <c r="G1418" s="82">
        <v>6.0</v>
      </c>
      <c r="H1418" s="82">
        <v>6.0</v>
      </c>
      <c r="I1418" s="82">
        <v>7.0</v>
      </c>
      <c r="J1418" s="152">
        <v>50.0</v>
      </c>
      <c r="K1418" s="84">
        <v>8.33</v>
      </c>
      <c r="L1418" s="155" t="s">
        <v>153</v>
      </c>
    </row>
    <row r="1419" ht="15.0" customHeight="1">
      <c r="A1419" s="78" t="s">
        <v>4532</v>
      </c>
      <c r="B1419" s="82" t="s">
        <v>4533</v>
      </c>
      <c r="C1419" s="78" t="s">
        <v>147</v>
      </c>
      <c r="D1419" s="82" t="s">
        <v>4536</v>
      </c>
      <c r="E1419" s="82" t="s">
        <v>4537</v>
      </c>
      <c r="F1419" s="86" t="s">
        <v>314</v>
      </c>
      <c r="G1419" s="82">
        <v>6.0</v>
      </c>
      <c r="H1419" s="82">
        <v>6.0</v>
      </c>
      <c r="I1419" s="82">
        <v>7.0</v>
      </c>
      <c r="J1419" s="152">
        <v>50.0</v>
      </c>
      <c r="K1419" s="84">
        <v>8.33</v>
      </c>
      <c r="L1419" s="155" t="s">
        <v>153</v>
      </c>
    </row>
    <row r="1420" ht="15.0" customHeight="1">
      <c r="A1420" s="78" t="s">
        <v>4532</v>
      </c>
      <c r="B1420" s="82" t="s">
        <v>4533</v>
      </c>
      <c r="C1420" s="78" t="s">
        <v>147</v>
      </c>
      <c r="D1420" s="82" t="s">
        <v>4538</v>
      </c>
      <c r="E1420" s="82" t="s">
        <v>4409</v>
      </c>
      <c r="F1420" s="86" t="s">
        <v>314</v>
      </c>
      <c r="G1420" s="82">
        <v>6.0</v>
      </c>
      <c r="H1420" s="82">
        <v>6.0</v>
      </c>
      <c r="I1420" s="82">
        <v>7.0</v>
      </c>
      <c r="J1420" s="152">
        <v>50.0</v>
      </c>
      <c r="K1420" s="84">
        <v>8.33</v>
      </c>
      <c r="L1420" s="155" t="s">
        <v>153</v>
      </c>
    </row>
    <row r="1421" ht="15.0" customHeight="1">
      <c r="A1421" s="78" t="s">
        <v>4539</v>
      </c>
      <c r="B1421" s="82" t="s">
        <v>4540</v>
      </c>
      <c r="C1421" s="78" t="s">
        <v>147</v>
      </c>
      <c r="D1421" s="82" t="s">
        <v>4541</v>
      </c>
      <c r="E1421" s="82" t="s">
        <v>4542</v>
      </c>
      <c r="F1421" s="86" t="s">
        <v>314</v>
      </c>
      <c r="G1421" s="82">
        <v>4.0</v>
      </c>
      <c r="H1421" s="82">
        <v>4.0</v>
      </c>
      <c r="I1421" s="82">
        <v>4.0</v>
      </c>
      <c r="J1421" s="152">
        <v>50.0</v>
      </c>
      <c r="K1421" s="84">
        <v>12.5</v>
      </c>
      <c r="L1421" s="155" t="s">
        <v>153</v>
      </c>
    </row>
    <row r="1422" ht="15.0" customHeight="1">
      <c r="A1422" s="78" t="s">
        <v>4543</v>
      </c>
      <c r="B1422" s="82" t="s">
        <v>4544</v>
      </c>
      <c r="C1422" s="78" t="s">
        <v>147</v>
      </c>
      <c r="D1422" s="82" t="s">
        <v>4545</v>
      </c>
      <c r="E1422" s="82" t="s">
        <v>4546</v>
      </c>
      <c r="F1422" s="86" t="s">
        <v>314</v>
      </c>
      <c r="G1422" s="82">
        <v>2.0</v>
      </c>
      <c r="H1422" s="82">
        <v>2.0</v>
      </c>
      <c r="I1422" s="82">
        <v>2.0</v>
      </c>
      <c r="J1422" s="152">
        <v>50.0</v>
      </c>
      <c r="K1422" s="84">
        <v>25.0</v>
      </c>
      <c r="L1422" s="155" t="s">
        <v>153</v>
      </c>
    </row>
    <row r="1423" ht="15.0" customHeight="1">
      <c r="A1423" s="78" t="s">
        <v>4547</v>
      </c>
      <c r="B1423" s="82" t="s">
        <v>4548</v>
      </c>
      <c r="C1423" s="78" t="s">
        <v>147</v>
      </c>
      <c r="D1423" s="82" t="s">
        <v>4368</v>
      </c>
      <c r="E1423" s="82" t="s">
        <v>4369</v>
      </c>
      <c r="F1423" s="86" t="s">
        <v>314</v>
      </c>
      <c r="G1423" s="82">
        <v>1.0</v>
      </c>
      <c r="H1423" s="82">
        <v>1.0</v>
      </c>
      <c r="I1423" s="82">
        <v>1.0</v>
      </c>
      <c r="J1423" s="152">
        <v>50.0</v>
      </c>
      <c r="K1423" s="84">
        <v>50.0</v>
      </c>
      <c r="L1423" s="155" t="s">
        <v>153</v>
      </c>
    </row>
    <row r="1424" ht="15.0" customHeight="1">
      <c r="A1424" s="78" t="s">
        <v>4547</v>
      </c>
      <c r="B1424" s="82" t="s">
        <v>4548</v>
      </c>
      <c r="C1424" s="78" t="s">
        <v>147</v>
      </c>
      <c r="D1424" s="82" t="s">
        <v>4549</v>
      </c>
      <c r="E1424" s="82" t="s">
        <v>4371</v>
      </c>
      <c r="F1424" s="86" t="s">
        <v>314</v>
      </c>
      <c r="G1424" s="82">
        <v>1.0</v>
      </c>
      <c r="H1424" s="82">
        <v>1.0</v>
      </c>
      <c r="I1424" s="82">
        <v>1.0</v>
      </c>
      <c r="J1424" s="152">
        <v>50.0</v>
      </c>
      <c r="K1424" s="84">
        <v>50.0</v>
      </c>
      <c r="L1424" s="155" t="s">
        <v>153</v>
      </c>
    </row>
    <row r="1425" ht="15.0" customHeight="1">
      <c r="A1425" s="78" t="s">
        <v>4547</v>
      </c>
      <c r="B1425" s="82" t="s">
        <v>4548</v>
      </c>
      <c r="C1425" s="78" t="s">
        <v>147</v>
      </c>
      <c r="D1425" s="82" t="s">
        <v>4550</v>
      </c>
      <c r="E1425" s="82" t="s">
        <v>4551</v>
      </c>
      <c r="F1425" s="86" t="s">
        <v>314</v>
      </c>
      <c r="G1425" s="82">
        <v>1.0</v>
      </c>
      <c r="H1425" s="82">
        <v>1.0</v>
      </c>
      <c r="I1425" s="82">
        <v>1.0</v>
      </c>
      <c r="J1425" s="152">
        <v>50.0</v>
      </c>
      <c r="K1425" s="84">
        <v>50.0</v>
      </c>
      <c r="L1425" s="155" t="s">
        <v>153</v>
      </c>
    </row>
    <row r="1426" ht="15.0" customHeight="1">
      <c r="A1426" s="78" t="s">
        <v>4552</v>
      </c>
      <c r="B1426" s="82" t="s">
        <v>4553</v>
      </c>
      <c r="C1426" s="78" t="s">
        <v>147</v>
      </c>
      <c r="D1426" s="82" t="s">
        <v>4554</v>
      </c>
      <c r="E1426" s="82" t="s">
        <v>4555</v>
      </c>
      <c r="F1426" s="86" t="s">
        <v>314</v>
      </c>
      <c r="G1426" s="82">
        <v>2.0</v>
      </c>
      <c r="H1426" s="82">
        <v>2.0</v>
      </c>
      <c r="I1426" s="82">
        <v>9.0</v>
      </c>
      <c r="J1426" s="152">
        <v>50.0</v>
      </c>
      <c r="K1426" s="84">
        <v>25.0</v>
      </c>
      <c r="L1426" s="155" t="s">
        <v>153</v>
      </c>
    </row>
    <row r="1427" ht="15.0" customHeight="1">
      <c r="A1427" s="78" t="s">
        <v>4552</v>
      </c>
      <c r="B1427" s="82" t="s">
        <v>4553</v>
      </c>
      <c r="C1427" s="78" t="s">
        <v>147</v>
      </c>
      <c r="D1427" s="82" t="s">
        <v>4556</v>
      </c>
      <c r="E1427" s="82" t="s">
        <v>4557</v>
      </c>
      <c r="F1427" s="86" t="s">
        <v>314</v>
      </c>
      <c r="G1427" s="82">
        <v>2.0</v>
      </c>
      <c r="H1427" s="82">
        <v>2.0</v>
      </c>
      <c r="I1427" s="82">
        <v>9.0</v>
      </c>
      <c r="J1427" s="152">
        <v>50.0</v>
      </c>
      <c r="K1427" s="84">
        <v>25.0</v>
      </c>
      <c r="L1427" s="155" t="s">
        <v>153</v>
      </c>
    </row>
    <row r="1428" ht="15.0" customHeight="1">
      <c r="A1428" s="78" t="s">
        <v>4558</v>
      </c>
      <c r="B1428" s="82" t="s">
        <v>4559</v>
      </c>
      <c r="C1428" s="78" t="s">
        <v>147</v>
      </c>
      <c r="D1428" s="82" t="s">
        <v>4560</v>
      </c>
      <c r="E1428" s="82" t="s">
        <v>4561</v>
      </c>
      <c r="F1428" s="86" t="s">
        <v>314</v>
      </c>
      <c r="G1428" s="82">
        <v>4.0</v>
      </c>
      <c r="H1428" s="82">
        <v>4.0</v>
      </c>
      <c r="I1428" s="82">
        <v>4.0</v>
      </c>
      <c r="J1428" s="152">
        <v>50.0</v>
      </c>
      <c r="K1428" s="84">
        <v>12.5</v>
      </c>
      <c r="L1428" s="155" t="s">
        <v>153</v>
      </c>
    </row>
    <row r="1429" ht="15.0" customHeight="1">
      <c r="A1429" s="78" t="s">
        <v>4562</v>
      </c>
      <c r="B1429" s="82" t="s">
        <v>4563</v>
      </c>
      <c r="C1429" s="78" t="s">
        <v>147</v>
      </c>
      <c r="D1429" s="82" t="s">
        <v>4564</v>
      </c>
      <c r="E1429" s="82" t="s">
        <v>4565</v>
      </c>
      <c r="F1429" s="86" t="s">
        <v>314</v>
      </c>
      <c r="G1429" s="82">
        <v>3.0</v>
      </c>
      <c r="H1429" s="82">
        <v>3.0</v>
      </c>
      <c r="I1429" s="82">
        <v>3.0</v>
      </c>
      <c r="J1429" s="152">
        <v>50.0</v>
      </c>
      <c r="K1429" s="84">
        <v>16.66</v>
      </c>
      <c r="L1429" s="155" t="s">
        <v>153</v>
      </c>
    </row>
    <row r="1430" ht="15.0" customHeight="1">
      <c r="A1430" s="78" t="s">
        <v>4562</v>
      </c>
      <c r="B1430" s="82" t="s">
        <v>4563</v>
      </c>
      <c r="C1430" s="78" t="s">
        <v>147</v>
      </c>
      <c r="D1430" s="82" t="s">
        <v>4566</v>
      </c>
      <c r="E1430" s="82" t="s">
        <v>4565</v>
      </c>
      <c r="F1430" s="86" t="s">
        <v>314</v>
      </c>
      <c r="G1430" s="82">
        <v>3.0</v>
      </c>
      <c r="H1430" s="82">
        <v>3.0</v>
      </c>
      <c r="I1430" s="82">
        <v>3.0</v>
      </c>
      <c r="J1430" s="152">
        <v>50.0</v>
      </c>
      <c r="K1430" s="84">
        <v>16.66</v>
      </c>
      <c r="L1430" s="155" t="s">
        <v>153</v>
      </c>
    </row>
    <row r="1431" ht="15.0" customHeight="1">
      <c r="A1431" s="78" t="s">
        <v>4567</v>
      </c>
      <c r="B1431" s="82" t="s">
        <v>4568</v>
      </c>
      <c r="C1431" s="78" t="s">
        <v>147</v>
      </c>
      <c r="D1431" s="82" t="s">
        <v>4368</v>
      </c>
      <c r="E1431" s="82" t="s">
        <v>4369</v>
      </c>
      <c r="F1431" s="86" t="s">
        <v>314</v>
      </c>
      <c r="G1431" s="82">
        <v>1.0</v>
      </c>
      <c r="H1431" s="82">
        <v>1.0</v>
      </c>
      <c r="I1431" s="82">
        <v>1.0</v>
      </c>
      <c r="J1431" s="152">
        <v>50.0</v>
      </c>
      <c r="K1431" s="84">
        <v>50.0</v>
      </c>
      <c r="L1431" s="155" t="s">
        <v>153</v>
      </c>
    </row>
    <row r="1432" ht="15.0" customHeight="1">
      <c r="A1432" s="78" t="s">
        <v>4567</v>
      </c>
      <c r="B1432" s="82" t="s">
        <v>4568</v>
      </c>
      <c r="C1432" s="78" t="s">
        <v>147</v>
      </c>
      <c r="D1432" s="82" t="s">
        <v>4549</v>
      </c>
      <c r="E1432" s="82" t="s">
        <v>4371</v>
      </c>
      <c r="F1432" s="86" t="s">
        <v>314</v>
      </c>
      <c r="G1432" s="82">
        <v>1.0</v>
      </c>
      <c r="H1432" s="82">
        <v>1.0</v>
      </c>
      <c r="I1432" s="82">
        <v>1.0</v>
      </c>
      <c r="J1432" s="152">
        <v>50.0</v>
      </c>
      <c r="K1432" s="84">
        <v>50.0</v>
      </c>
      <c r="L1432" s="155" t="s">
        <v>153</v>
      </c>
    </row>
    <row r="1433" ht="15.0" customHeight="1">
      <c r="A1433" s="78" t="s">
        <v>4569</v>
      </c>
      <c r="B1433" s="82" t="s">
        <v>4570</v>
      </c>
      <c r="C1433" s="78" t="s">
        <v>147</v>
      </c>
      <c r="D1433" s="82" t="s">
        <v>4571</v>
      </c>
      <c r="E1433" s="82" t="s">
        <v>4572</v>
      </c>
      <c r="F1433" s="86" t="s">
        <v>314</v>
      </c>
      <c r="G1433" s="82">
        <v>3.0</v>
      </c>
      <c r="H1433" s="82">
        <v>3.0</v>
      </c>
      <c r="I1433" s="82">
        <v>5.0</v>
      </c>
      <c r="J1433" s="152">
        <v>50.0</v>
      </c>
      <c r="K1433" s="84">
        <v>16.67</v>
      </c>
      <c r="L1433" s="155" t="s">
        <v>153</v>
      </c>
    </row>
    <row r="1434" ht="15.0" customHeight="1">
      <c r="A1434" s="78" t="s">
        <v>4573</v>
      </c>
      <c r="B1434" s="82" t="s">
        <v>4574</v>
      </c>
      <c r="C1434" s="78" t="s">
        <v>147</v>
      </c>
      <c r="D1434" s="82" t="s">
        <v>4575</v>
      </c>
      <c r="E1434" s="82" t="s">
        <v>4576</v>
      </c>
      <c r="F1434" s="86" t="s">
        <v>314</v>
      </c>
      <c r="G1434" s="82">
        <v>1.0</v>
      </c>
      <c r="H1434" s="82">
        <v>1.0</v>
      </c>
      <c r="I1434" s="82">
        <v>1.0</v>
      </c>
      <c r="J1434" s="152">
        <v>50.0</v>
      </c>
      <c r="K1434" s="84">
        <v>50.0</v>
      </c>
      <c r="L1434" s="155" t="s">
        <v>154</v>
      </c>
    </row>
    <row r="1435" ht="15.0" customHeight="1">
      <c r="A1435" s="78" t="s">
        <v>4573</v>
      </c>
      <c r="B1435" s="82" t="s">
        <v>4574</v>
      </c>
      <c r="C1435" s="78" t="s">
        <v>147</v>
      </c>
      <c r="D1435" s="82" t="s">
        <v>4577</v>
      </c>
      <c r="E1435" s="82" t="s">
        <v>4578</v>
      </c>
      <c r="F1435" s="86" t="s">
        <v>314</v>
      </c>
      <c r="G1435" s="82">
        <v>1.0</v>
      </c>
      <c r="H1435" s="82">
        <v>1.0</v>
      </c>
      <c r="I1435" s="82">
        <v>1.0</v>
      </c>
      <c r="J1435" s="152">
        <v>50.0</v>
      </c>
      <c r="K1435" s="84">
        <v>50.0</v>
      </c>
      <c r="L1435" s="155" t="s">
        <v>154</v>
      </c>
    </row>
    <row r="1436" ht="15.0" customHeight="1">
      <c r="A1436" s="78" t="s">
        <v>4573</v>
      </c>
      <c r="B1436" s="82" t="s">
        <v>4574</v>
      </c>
      <c r="C1436" s="78" t="s">
        <v>147</v>
      </c>
      <c r="D1436" s="82" t="s">
        <v>4579</v>
      </c>
      <c r="E1436" s="82" t="s">
        <v>4580</v>
      </c>
      <c r="F1436" s="86" t="s">
        <v>314</v>
      </c>
      <c r="G1436" s="82">
        <v>1.0</v>
      </c>
      <c r="H1436" s="82">
        <v>1.0</v>
      </c>
      <c r="I1436" s="82">
        <v>1.0</v>
      </c>
      <c r="J1436" s="152">
        <v>50.0</v>
      </c>
      <c r="K1436" s="84">
        <v>50.0</v>
      </c>
      <c r="L1436" s="155" t="s">
        <v>154</v>
      </c>
    </row>
    <row r="1437" ht="15.0" customHeight="1">
      <c r="A1437" s="78" t="s">
        <v>4573</v>
      </c>
      <c r="B1437" s="82" t="s">
        <v>4574</v>
      </c>
      <c r="C1437" s="78" t="s">
        <v>147</v>
      </c>
      <c r="D1437" s="82" t="s">
        <v>4581</v>
      </c>
      <c r="E1437" s="82" t="s">
        <v>4582</v>
      </c>
      <c r="F1437" s="86" t="s">
        <v>314</v>
      </c>
      <c r="G1437" s="82">
        <v>1.0</v>
      </c>
      <c r="H1437" s="82">
        <v>1.0</v>
      </c>
      <c r="I1437" s="82">
        <v>1.0</v>
      </c>
      <c r="J1437" s="152">
        <v>50.0</v>
      </c>
      <c r="K1437" s="84">
        <v>50.0</v>
      </c>
      <c r="L1437" s="155" t="s">
        <v>154</v>
      </c>
    </row>
    <row r="1438" ht="15.0" customHeight="1">
      <c r="A1438" s="78" t="s">
        <v>4573</v>
      </c>
      <c r="B1438" s="82" t="s">
        <v>4574</v>
      </c>
      <c r="C1438" s="78" t="s">
        <v>147</v>
      </c>
      <c r="D1438" s="82" t="s">
        <v>4583</v>
      </c>
      <c r="E1438" s="82" t="s">
        <v>4584</v>
      </c>
      <c r="F1438" s="86" t="s">
        <v>314</v>
      </c>
      <c r="G1438" s="82">
        <v>1.0</v>
      </c>
      <c r="H1438" s="82">
        <v>1.0</v>
      </c>
      <c r="I1438" s="82">
        <v>1.0</v>
      </c>
      <c r="J1438" s="152">
        <v>50.0</v>
      </c>
      <c r="K1438" s="84">
        <v>50.0</v>
      </c>
      <c r="L1438" s="155" t="s">
        <v>154</v>
      </c>
    </row>
    <row r="1439" ht="15.0" customHeight="1">
      <c r="A1439" s="78" t="s">
        <v>4573</v>
      </c>
      <c r="B1439" s="82" t="s">
        <v>4574</v>
      </c>
      <c r="C1439" s="78" t="s">
        <v>147</v>
      </c>
      <c r="D1439" s="82" t="s">
        <v>4585</v>
      </c>
      <c r="E1439" s="82" t="s">
        <v>4586</v>
      </c>
      <c r="F1439" s="86" t="s">
        <v>314</v>
      </c>
      <c r="G1439" s="82">
        <v>1.0</v>
      </c>
      <c r="H1439" s="82">
        <v>1.0</v>
      </c>
      <c r="I1439" s="82">
        <v>1.0</v>
      </c>
      <c r="J1439" s="152">
        <v>50.0</v>
      </c>
      <c r="K1439" s="84">
        <v>50.0</v>
      </c>
      <c r="L1439" s="155" t="s">
        <v>154</v>
      </c>
    </row>
    <row r="1440" ht="15.0" customHeight="1">
      <c r="A1440" s="78" t="s">
        <v>4573</v>
      </c>
      <c r="B1440" s="82" t="s">
        <v>4587</v>
      </c>
      <c r="C1440" s="78" t="s">
        <v>147</v>
      </c>
      <c r="D1440" s="82" t="s">
        <v>4588</v>
      </c>
      <c r="E1440" s="82" t="s">
        <v>4589</v>
      </c>
      <c r="F1440" s="86" t="s">
        <v>314</v>
      </c>
      <c r="G1440" s="82">
        <v>1.0</v>
      </c>
      <c r="H1440" s="82">
        <v>1.0</v>
      </c>
      <c r="I1440" s="82">
        <v>1.0</v>
      </c>
      <c r="J1440" s="152">
        <v>50.0</v>
      </c>
      <c r="K1440" s="84">
        <v>50.0</v>
      </c>
      <c r="L1440" s="155" t="s">
        <v>154</v>
      </c>
    </row>
    <row r="1441" ht="15.0" customHeight="1">
      <c r="A1441" s="78" t="s">
        <v>4573</v>
      </c>
      <c r="B1441" s="82" t="s">
        <v>4587</v>
      </c>
      <c r="C1441" s="78" t="s">
        <v>147</v>
      </c>
      <c r="D1441" s="82" t="s">
        <v>4590</v>
      </c>
      <c r="E1441" s="82" t="s">
        <v>4591</v>
      </c>
      <c r="F1441" s="86" t="s">
        <v>314</v>
      </c>
      <c r="G1441" s="82">
        <v>1.0</v>
      </c>
      <c r="H1441" s="82">
        <v>1.0</v>
      </c>
      <c r="I1441" s="82">
        <v>1.0</v>
      </c>
      <c r="J1441" s="152">
        <v>50.0</v>
      </c>
      <c r="K1441" s="84">
        <v>50.0</v>
      </c>
      <c r="L1441" s="155" t="s">
        <v>154</v>
      </c>
    </row>
    <row r="1442" ht="15.0" customHeight="1">
      <c r="A1442" s="78" t="s">
        <v>4573</v>
      </c>
      <c r="B1442" s="82" t="s">
        <v>4592</v>
      </c>
      <c r="C1442" s="78" t="s">
        <v>147</v>
      </c>
      <c r="D1442" s="82" t="s">
        <v>4593</v>
      </c>
      <c r="E1442" s="82" t="s">
        <v>4594</v>
      </c>
      <c r="F1442" s="86" t="s">
        <v>314</v>
      </c>
      <c r="G1442" s="82">
        <v>1.0</v>
      </c>
      <c r="H1442" s="82">
        <v>1.0</v>
      </c>
      <c r="I1442" s="82">
        <v>1.0</v>
      </c>
      <c r="J1442" s="152">
        <v>50.0</v>
      </c>
      <c r="K1442" s="84">
        <v>50.0</v>
      </c>
      <c r="L1442" s="155" t="s">
        <v>154</v>
      </c>
    </row>
    <row r="1443" ht="15.0" customHeight="1">
      <c r="A1443" s="78" t="s">
        <v>4595</v>
      </c>
      <c r="B1443" s="82" t="s">
        <v>4596</v>
      </c>
      <c r="C1443" s="78" t="s">
        <v>147</v>
      </c>
      <c r="D1443" s="82" t="s">
        <v>4597</v>
      </c>
      <c r="E1443" s="82" t="s">
        <v>4598</v>
      </c>
      <c r="F1443" s="86" t="s">
        <v>314</v>
      </c>
      <c r="G1443" s="82">
        <v>1.0</v>
      </c>
      <c r="H1443" s="82">
        <v>1.0</v>
      </c>
      <c r="I1443" s="82">
        <v>1.0</v>
      </c>
      <c r="J1443" s="152">
        <v>50.0</v>
      </c>
      <c r="K1443" s="84">
        <v>25.0</v>
      </c>
      <c r="L1443" s="155" t="s">
        <v>154</v>
      </c>
    </row>
    <row r="1444" ht="15.0" customHeight="1">
      <c r="A1444" s="78" t="s">
        <v>4573</v>
      </c>
      <c r="B1444" s="82" t="s">
        <v>4592</v>
      </c>
      <c r="C1444" s="78" t="s">
        <v>147</v>
      </c>
      <c r="D1444" s="82" t="s">
        <v>4593</v>
      </c>
      <c r="E1444" s="82" t="s">
        <v>4594</v>
      </c>
      <c r="F1444" s="86" t="s">
        <v>314</v>
      </c>
      <c r="G1444" s="82">
        <v>1.0</v>
      </c>
      <c r="H1444" s="82">
        <v>1.0</v>
      </c>
      <c r="I1444" s="82">
        <v>1.0</v>
      </c>
      <c r="J1444" s="152">
        <v>50.0</v>
      </c>
      <c r="K1444" s="84">
        <v>50.0</v>
      </c>
      <c r="L1444" s="155" t="s">
        <v>154</v>
      </c>
    </row>
    <row r="1445" ht="15.0" customHeight="1">
      <c r="A1445" s="78" t="s">
        <v>4573</v>
      </c>
      <c r="B1445" s="82" t="s">
        <v>4599</v>
      </c>
      <c r="C1445" s="78" t="s">
        <v>147</v>
      </c>
      <c r="D1445" s="82" t="s">
        <v>4600</v>
      </c>
      <c r="E1445" s="82" t="s">
        <v>4601</v>
      </c>
      <c r="F1445" s="86" t="s">
        <v>314</v>
      </c>
      <c r="G1445" s="82">
        <v>1.0</v>
      </c>
      <c r="H1445" s="82">
        <v>1.0</v>
      </c>
      <c r="I1445" s="82">
        <v>1.0</v>
      </c>
      <c r="J1445" s="152">
        <v>50.0</v>
      </c>
      <c r="K1445" s="84">
        <v>50.0</v>
      </c>
      <c r="L1445" s="155" t="s">
        <v>154</v>
      </c>
    </row>
    <row r="1446" ht="15.0" customHeight="1">
      <c r="A1446" s="78" t="s">
        <v>4573</v>
      </c>
      <c r="B1446" s="82" t="s">
        <v>4602</v>
      </c>
      <c r="C1446" s="78" t="s">
        <v>147</v>
      </c>
      <c r="D1446" s="82" t="s">
        <v>4603</v>
      </c>
      <c r="E1446" s="82" t="s">
        <v>4604</v>
      </c>
      <c r="F1446" s="86" t="s">
        <v>314</v>
      </c>
      <c r="G1446" s="82">
        <v>1.0</v>
      </c>
      <c r="H1446" s="82">
        <v>1.0</v>
      </c>
      <c r="I1446" s="82">
        <v>1.0</v>
      </c>
      <c r="J1446" s="152">
        <v>50.0</v>
      </c>
      <c r="K1446" s="84">
        <v>50.0</v>
      </c>
      <c r="L1446" s="155" t="s">
        <v>154</v>
      </c>
    </row>
    <row r="1447" ht="15.0" customHeight="1">
      <c r="A1447" s="78" t="s">
        <v>4605</v>
      </c>
      <c r="B1447" s="82" t="s">
        <v>4606</v>
      </c>
      <c r="C1447" s="78" t="s">
        <v>147</v>
      </c>
      <c r="D1447" s="82" t="s">
        <v>4607</v>
      </c>
      <c r="E1447" s="82" t="s">
        <v>4608</v>
      </c>
      <c r="F1447" s="86" t="s">
        <v>1264</v>
      </c>
      <c r="G1447" s="82">
        <v>3.0</v>
      </c>
      <c r="H1447" s="82">
        <v>3.0</v>
      </c>
      <c r="I1447" s="82">
        <v>3.0</v>
      </c>
      <c r="J1447" s="152">
        <v>50.0</v>
      </c>
      <c r="K1447" s="84">
        <v>16.6666666666667</v>
      </c>
      <c r="L1447" s="155" t="s">
        <v>149</v>
      </c>
    </row>
    <row r="1448" ht="15.0" customHeight="1">
      <c r="A1448" s="78" t="s">
        <v>4609</v>
      </c>
      <c r="B1448" s="82" t="s">
        <v>4610</v>
      </c>
      <c r="C1448" s="78" t="s">
        <v>147</v>
      </c>
      <c r="D1448" s="82" t="s">
        <v>4611</v>
      </c>
      <c r="E1448" s="82" t="s">
        <v>4612</v>
      </c>
      <c r="F1448" s="86" t="s">
        <v>1264</v>
      </c>
      <c r="G1448" s="82">
        <v>3.0</v>
      </c>
      <c r="H1448" s="82">
        <v>3.0</v>
      </c>
      <c r="I1448" s="82">
        <v>3.0</v>
      </c>
      <c r="J1448" s="152">
        <v>50.0</v>
      </c>
      <c r="K1448" s="84">
        <v>16.6666666666667</v>
      </c>
      <c r="L1448" s="155" t="s">
        <v>149</v>
      </c>
    </row>
    <row r="1449" ht="15.0" customHeight="1">
      <c r="A1449" s="78" t="s">
        <v>4609</v>
      </c>
      <c r="B1449" s="82" t="s">
        <v>4610</v>
      </c>
      <c r="C1449" s="78" t="s">
        <v>147</v>
      </c>
      <c r="D1449" s="82" t="s">
        <v>4613</v>
      </c>
      <c r="E1449" s="82" t="s">
        <v>4614</v>
      </c>
      <c r="F1449" s="86" t="s">
        <v>1264</v>
      </c>
      <c r="G1449" s="82">
        <v>3.0</v>
      </c>
      <c r="H1449" s="82">
        <v>3.0</v>
      </c>
      <c r="I1449" s="82">
        <v>3.0</v>
      </c>
      <c r="J1449" s="152">
        <v>50.0</v>
      </c>
      <c r="K1449" s="84">
        <v>16.6666666666667</v>
      </c>
      <c r="L1449" s="155" t="s">
        <v>149</v>
      </c>
    </row>
    <row r="1450" ht="15.0" customHeight="1">
      <c r="A1450" s="78" t="s">
        <v>4609</v>
      </c>
      <c r="B1450" s="82" t="s">
        <v>4610</v>
      </c>
      <c r="C1450" s="78" t="s">
        <v>147</v>
      </c>
      <c r="D1450" s="82" t="s">
        <v>4615</v>
      </c>
      <c r="E1450" s="82" t="s">
        <v>4616</v>
      </c>
      <c r="F1450" s="86" t="s">
        <v>1264</v>
      </c>
      <c r="G1450" s="82">
        <v>3.0</v>
      </c>
      <c r="H1450" s="82">
        <v>3.0</v>
      </c>
      <c r="I1450" s="82">
        <v>3.0</v>
      </c>
      <c r="J1450" s="152">
        <v>50.0</v>
      </c>
      <c r="K1450" s="84">
        <v>16.6666666666667</v>
      </c>
      <c r="L1450" s="155" t="s">
        <v>149</v>
      </c>
    </row>
    <row r="1451" ht="15.0" customHeight="1">
      <c r="A1451" s="78" t="s">
        <v>4609</v>
      </c>
      <c r="B1451" s="82" t="s">
        <v>4610</v>
      </c>
      <c r="C1451" s="78" t="s">
        <v>147</v>
      </c>
      <c r="D1451" s="82" t="s">
        <v>4617</v>
      </c>
      <c r="E1451" s="82" t="s">
        <v>4618</v>
      </c>
      <c r="F1451" s="86" t="s">
        <v>1264</v>
      </c>
      <c r="G1451" s="82">
        <v>3.0</v>
      </c>
      <c r="H1451" s="82">
        <v>3.0</v>
      </c>
      <c r="I1451" s="82">
        <v>3.0</v>
      </c>
      <c r="J1451" s="152">
        <v>50.0</v>
      </c>
      <c r="K1451" s="84">
        <v>16.6666666666667</v>
      </c>
      <c r="L1451" s="155" t="s">
        <v>149</v>
      </c>
    </row>
    <row r="1452" ht="15.0" customHeight="1">
      <c r="A1452" s="78" t="s">
        <v>4609</v>
      </c>
      <c r="B1452" s="82" t="s">
        <v>4610</v>
      </c>
      <c r="C1452" s="78" t="s">
        <v>147</v>
      </c>
      <c r="D1452" s="82" t="s">
        <v>4619</v>
      </c>
      <c r="E1452" s="82" t="s">
        <v>4620</v>
      </c>
      <c r="F1452" s="86" t="s">
        <v>259</v>
      </c>
      <c r="G1452" s="82">
        <v>3.0</v>
      </c>
      <c r="H1452" s="82">
        <v>3.0</v>
      </c>
      <c r="I1452" s="82">
        <v>3.0</v>
      </c>
      <c r="J1452" s="152">
        <v>50.0</v>
      </c>
      <c r="K1452" s="84">
        <v>16.6666666666667</v>
      </c>
      <c r="L1452" s="155" t="s">
        <v>149</v>
      </c>
    </row>
    <row r="1453" ht="15.0" customHeight="1">
      <c r="A1453" s="78" t="s">
        <v>4609</v>
      </c>
      <c r="B1453" s="82" t="s">
        <v>4610</v>
      </c>
      <c r="C1453" s="78" t="s">
        <v>147</v>
      </c>
      <c r="D1453" s="82" t="s">
        <v>4621</v>
      </c>
      <c r="E1453" s="82" t="s">
        <v>4622</v>
      </c>
      <c r="F1453" s="86" t="s">
        <v>259</v>
      </c>
      <c r="G1453" s="82">
        <v>3.0</v>
      </c>
      <c r="H1453" s="82">
        <v>3.0</v>
      </c>
      <c r="I1453" s="82">
        <v>3.0</v>
      </c>
      <c r="J1453" s="152">
        <v>50.0</v>
      </c>
      <c r="K1453" s="84">
        <v>16.6666666666667</v>
      </c>
      <c r="L1453" s="155" t="s">
        <v>149</v>
      </c>
    </row>
    <row r="1454" ht="15.0" customHeight="1">
      <c r="A1454" s="78" t="s">
        <v>4623</v>
      </c>
      <c r="B1454" s="82" t="s">
        <v>4624</v>
      </c>
      <c r="C1454" s="78" t="s">
        <v>147</v>
      </c>
      <c r="D1454" s="82" t="s">
        <v>4625</v>
      </c>
      <c r="E1454" s="82" t="s">
        <v>4626</v>
      </c>
      <c r="F1454" s="86" t="s">
        <v>1264</v>
      </c>
      <c r="G1454" s="82">
        <v>2.0</v>
      </c>
      <c r="H1454" s="82">
        <v>2.0</v>
      </c>
      <c r="I1454" s="82">
        <v>2.0</v>
      </c>
      <c r="J1454" s="152">
        <v>50.0</v>
      </c>
      <c r="K1454" s="84">
        <v>25.0</v>
      </c>
      <c r="L1454" s="155" t="s">
        <v>149</v>
      </c>
    </row>
    <row r="1455" ht="15.0" customHeight="1">
      <c r="A1455" s="78" t="s">
        <v>4623</v>
      </c>
      <c r="B1455" s="82" t="s">
        <v>4624</v>
      </c>
      <c r="C1455" s="78" t="s">
        <v>147</v>
      </c>
      <c r="D1455" s="82" t="s">
        <v>4627</v>
      </c>
      <c r="E1455" s="82" t="s">
        <v>4628</v>
      </c>
      <c r="F1455" s="86" t="s">
        <v>1264</v>
      </c>
      <c r="G1455" s="82">
        <v>2.0</v>
      </c>
      <c r="H1455" s="82">
        <v>2.0</v>
      </c>
      <c r="I1455" s="82">
        <v>2.0</v>
      </c>
      <c r="J1455" s="152">
        <v>50.0</v>
      </c>
      <c r="K1455" s="84">
        <v>25.0</v>
      </c>
      <c r="L1455" s="155" t="s">
        <v>149</v>
      </c>
    </row>
    <row r="1456" ht="15.0" customHeight="1">
      <c r="A1456" s="78" t="s">
        <v>4623</v>
      </c>
      <c r="B1456" s="82" t="s">
        <v>4624</v>
      </c>
      <c r="C1456" s="78" t="s">
        <v>147</v>
      </c>
      <c r="D1456" s="82" t="s">
        <v>4629</v>
      </c>
      <c r="E1456" s="82" t="s">
        <v>4630</v>
      </c>
      <c r="F1456" s="86" t="s">
        <v>1264</v>
      </c>
      <c r="G1456" s="82">
        <v>2.0</v>
      </c>
      <c r="H1456" s="82">
        <v>2.0</v>
      </c>
      <c r="I1456" s="82">
        <v>2.0</v>
      </c>
      <c r="J1456" s="152">
        <v>50.0</v>
      </c>
      <c r="K1456" s="84">
        <v>25.0</v>
      </c>
      <c r="L1456" s="155" t="s">
        <v>149</v>
      </c>
    </row>
    <row r="1457" ht="15.0" customHeight="1">
      <c r="A1457" s="78" t="s">
        <v>4623</v>
      </c>
      <c r="B1457" s="82" t="s">
        <v>4624</v>
      </c>
      <c r="C1457" s="78" t="s">
        <v>147</v>
      </c>
      <c r="D1457" s="82" t="s">
        <v>4631</v>
      </c>
      <c r="E1457" s="82" t="s">
        <v>4632</v>
      </c>
      <c r="F1457" s="86" t="s">
        <v>1264</v>
      </c>
      <c r="G1457" s="82">
        <v>2.0</v>
      </c>
      <c r="H1457" s="82">
        <v>2.0</v>
      </c>
      <c r="I1457" s="82">
        <v>2.0</v>
      </c>
      <c r="J1457" s="152">
        <v>50.0</v>
      </c>
      <c r="K1457" s="84">
        <v>25.0</v>
      </c>
      <c r="L1457" s="155" t="s">
        <v>149</v>
      </c>
    </row>
    <row r="1458" ht="15.0" customHeight="1">
      <c r="A1458" s="78" t="s">
        <v>4623</v>
      </c>
      <c r="B1458" s="82" t="s">
        <v>4624</v>
      </c>
      <c r="C1458" s="78" t="s">
        <v>147</v>
      </c>
      <c r="D1458" s="82" t="s">
        <v>4633</v>
      </c>
      <c r="E1458" s="82" t="s">
        <v>4634</v>
      </c>
      <c r="F1458" s="86" t="s">
        <v>1264</v>
      </c>
      <c r="G1458" s="82">
        <v>2.0</v>
      </c>
      <c r="H1458" s="82">
        <v>2.0</v>
      </c>
      <c r="I1458" s="82">
        <v>2.0</v>
      </c>
      <c r="J1458" s="152">
        <v>50.0</v>
      </c>
      <c r="K1458" s="84">
        <v>25.0</v>
      </c>
      <c r="L1458" s="155" t="s">
        <v>149</v>
      </c>
    </row>
    <row r="1459" ht="15.0" customHeight="1">
      <c r="A1459" s="78" t="s">
        <v>4623</v>
      </c>
      <c r="B1459" s="82" t="s">
        <v>4624</v>
      </c>
      <c r="C1459" s="78" t="s">
        <v>147</v>
      </c>
      <c r="D1459" s="82" t="s">
        <v>4635</v>
      </c>
      <c r="E1459" s="82" t="s">
        <v>4636</v>
      </c>
      <c r="F1459" s="86" t="s">
        <v>1264</v>
      </c>
      <c r="G1459" s="82">
        <v>2.0</v>
      </c>
      <c r="H1459" s="82">
        <v>2.0</v>
      </c>
      <c r="I1459" s="82">
        <v>2.0</v>
      </c>
      <c r="J1459" s="152">
        <v>50.0</v>
      </c>
      <c r="K1459" s="84">
        <v>25.0</v>
      </c>
      <c r="L1459" s="155" t="s">
        <v>149</v>
      </c>
    </row>
    <row r="1460" ht="15.0" customHeight="1">
      <c r="A1460" s="78" t="s">
        <v>4623</v>
      </c>
      <c r="B1460" s="82" t="s">
        <v>4624</v>
      </c>
      <c r="C1460" s="78" t="s">
        <v>147</v>
      </c>
      <c r="D1460" s="82" t="s">
        <v>4637</v>
      </c>
      <c r="E1460" s="82" t="s">
        <v>4638</v>
      </c>
      <c r="F1460" s="86" t="s">
        <v>259</v>
      </c>
      <c r="G1460" s="82">
        <v>2.0</v>
      </c>
      <c r="H1460" s="82">
        <v>2.0</v>
      </c>
      <c r="I1460" s="82">
        <v>2.0</v>
      </c>
      <c r="J1460" s="152">
        <v>50.0</v>
      </c>
      <c r="K1460" s="84">
        <v>25.0</v>
      </c>
      <c r="L1460" s="155" t="s">
        <v>149</v>
      </c>
    </row>
    <row r="1461" ht="15.0" customHeight="1">
      <c r="A1461" s="78" t="s">
        <v>4639</v>
      </c>
      <c r="B1461" s="82" t="s">
        <v>4640</v>
      </c>
      <c r="C1461" s="78" t="s">
        <v>147</v>
      </c>
      <c r="D1461" s="82" t="s">
        <v>4641</v>
      </c>
      <c r="E1461" s="82" t="s">
        <v>4642</v>
      </c>
      <c r="F1461" s="86" t="s">
        <v>259</v>
      </c>
      <c r="G1461" s="82">
        <v>1.0</v>
      </c>
      <c r="H1461" s="82">
        <v>1.0</v>
      </c>
      <c r="I1461" s="82">
        <v>1.0</v>
      </c>
      <c r="J1461" s="152">
        <v>50.0</v>
      </c>
      <c r="K1461" s="84">
        <v>50.0</v>
      </c>
      <c r="L1461" s="155" t="s">
        <v>149</v>
      </c>
    </row>
    <row r="1462" ht="15.0" customHeight="1">
      <c r="A1462" s="78" t="s">
        <v>4643</v>
      </c>
      <c r="B1462" s="82" t="s">
        <v>4644</v>
      </c>
      <c r="C1462" s="78" t="s">
        <v>147</v>
      </c>
      <c r="D1462" s="82" t="s">
        <v>4645</v>
      </c>
      <c r="E1462" s="82" t="s">
        <v>4646</v>
      </c>
      <c r="F1462" s="86" t="s">
        <v>259</v>
      </c>
      <c r="G1462" s="82">
        <v>2.0</v>
      </c>
      <c r="H1462" s="82">
        <v>2.0</v>
      </c>
      <c r="I1462" s="82">
        <v>2.0</v>
      </c>
      <c r="J1462" s="152">
        <v>50.0</v>
      </c>
      <c r="K1462" s="84">
        <v>25.0</v>
      </c>
      <c r="L1462" s="155" t="s">
        <v>149</v>
      </c>
    </row>
    <row r="1463" ht="15.0" customHeight="1">
      <c r="A1463" s="78" t="s">
        <v>4647</v>
      </c>
      <c r="B1463" s="82" t="s">
        <v>4648</v>
      </c>
      <c r="C1463" s="78" t="s">
        <v>147</v>
      </c>
      <c r="D1463" s="82" t="s">
        <v>4649</v>
      </c>
      <c r="E1463" s="82" t="s">
        <v>4650</v>
      </c>
      <c r="F1463" s="86" t="s">
        <v>1264</v>
      </c>
      <c r="G1463" s="82">
        <v>1.0</v>
      </c>
      <c r="H1463" s="82">
        <v>1.0</v>
      </c>
      <c r="I1463" s="82">
        <v>5.0</v>
      </c>
      <c r="J1463" s="152">
        <v>50.0</v>
      </c>
      <c r="K1463" s="84">
        <v>50.0</v>
      </c>
      <c r="L1463" s="155" t="s">
        <v>149</v>
      </c>
    </row>
    <row r="1464" ht="15.0" customHeight="1">
      <c r="A1464" s="78" t="s">
        <v>4647</v>
      </c>
      <c r="B1464" s="82" t="s">
        <v>4648</v>
      </c>
      <c r="C1464" s="78" t="s">
        <v>147</v>
      </c>
      <c r="D1464" s="82" t="s">
        <v>4651</v>
      </c>
      <c r="E1464" s="82" t="s">
        <v>4652</v>
      </c>
      <c r="F1464" s="86" t="s">
        <v>259</v>
      </c>
      <c r="G1464" s="82">
        <v>1.0</v>
      </c>
      <c r="H1464" s="82">
        <v>1.0</v>
      </c>
      <c r="I1464" s="82">
        <v>5.0</v>
      </c>
      <c r="J1464" s="152">
        <v>50.0</v>
      </c>
      <c r="K1464" s="84">
        <v>50.0</v>
      </c>
      <c r="L1464" s="155" t="s">
        <v>149</v>
      </c>
    </row>
    <row r="1465" ht="15.0" customHeight="1">
      <c r="A1465" s="78" t="s">
        <v>4643</v>
      </c>
      <c r="B1465" s="82" t="s">
        <v>4653</v>
      </c>
      <c r="C1465" s="78" t="s">
        <v>147</v>
      </c>
      <c r="D1465" s="82" t="s">
        <v>4654</v>
      </c>
      <c r="E1465" s="82" t="s">
        <v>4655</v>
      </c>
      <c r="F1465" s="86" t="s">
        <v>1264</v>
      </c>
      <c r="G1465" s="82">
        <v>2.0</v>
      </c>
      <c r="H1465" s="82">
        <v>2.0</v>
      </c>
      <c r="I1465" s="82">
        <v>2.0</v>
      </c>
      <c r="J1465" s="152">
        <v>50.0</v>
      </c>
      <c r="K1465" s="84">
        <v>25.0</v>
      </c>
      <c r="L1465" s="155" t="s">
        <v>149</v>
      </c>
    </row>
    <row r="1466" ht="15.0" customHeight="1">
      <c r="A1466" s="78" t="s">
        <v>1760</v>
      </c>
      <c r="B1466" s="82" t="s">
        <v>1761</v>
      </c>
      <c r="C1466" s="78" t="s">
        <v>147</v>
      </c>
      <c r="D1466" s="82" t="s">
        <v>1762</v>
      </c>
      <c r="E1466" s="82" t="s">
        <v>1763</v>
      </c>
      <c r="F1466" s="86" t="s">
        <v>259</v>
      </c>
      <c r="G1466" s="82">
        <v>2.0</v>
      </c>
      <c r="H1466" s="82">
        <v>2.0</v>
      </c>
      <c r="I1466" s="82">
        <v>3.0</v>
      </c>
      <c r="J1466" s="152">
        <v>50.0</v>
      </c>
      <c r="K1466" s="84">
        <v>25.0</v>
      </c>
      <c r="L1466" s="155" t="s">
        <v>149</v>
      </c>
    </row>
    <row r="1467" ht="15.0" customHeight="1">
      <c r="A1467" s="78" t="s">
        <v>1760</v>
      </c>
      <c r="B1467" s="82" t="s">
        <v>1761</v>
      </c>
      <c r="C1467" s="78" t="s">
        <v>147</v>
      </c>
      <c r="D1467" s="82" t="s">
        <v>1765</v>
      </c>
      <c r="E1467" s="82" t="s">
        <v>1766</v>
      </c>
      <c r="F1467" s="86" t="s">
        <v>1264</v>
      </c>
      <c r="G1467" s="82">
        <v>2.0</v>
      </c>
      <c r="H1467" s="82">
        <v>2.0</v>
      </c>
      <c r="I1467" s="82">
        <v>3.0</v>
      </c>
      <c r="J1467" s="152">
        <v>50.0</v>
      </c>
      <c r="K1467" s="84">
        <v>25.0</v>
      </c>
      <c r="L1467" s="155" t="s">
        <v>149</v>
      </c>
    </row>
    <row r="1468" ht="15.0" customHeight="1">
      <c r="A1468" s="78" t="s">
        <v>1760</v>
      </c>
      <c r="B1468" s="82" t="s">
        <v>1761</v>
      </c>
      <c r="C1468" s="78" t="s">
        <v>147</v>
      </c>
      <c r="D1468" s="82" t="s">
        <v>1767</v>
      </c>
      <c r="E1468" s="82" t="s">
        <v>1768</v>
      </c>
      <c r="F1468" s="86" t="s">
        <v>1264</v>
      </c>
      <c r="G1468" s="82">
        <v>2.0</v>
      </c>
      <c r="H1468" s="82">
        <v>2.0</v>
      </c>
      <c r="I1468" s="82">
        <v>3.0</v>
      </c>
      <c r="J1468" s="152">
        <v>50.0</v>
      </c>
      <c r="K1468" s="84">
        <v>25.0</v>
      </c>
      <c r="L1468" s="155" t="s">
        <v>149</v>
      </c>
    </row>
    <row r="1469" ht="15.0" customHeight="1">
      <c r="A1469" s="78" t="s">
        <v>4656</v>
      </c>
      <c r="B1469" s="82" t="s">
        <v>4657</v>
      </c>
      <c r="C1469" s="78" t="s">
        <v>147</v>
      </c>
      <c r="D1469" s="82" t="s">
        <v>4658</v>
      </c>
      <c r="E1469" s="82" t="s">
        <v>4659</v>
      </c>
      <c r="F1469" s="86" t="s">
        <v>259</v>
      </c>
      <c r="G1469" s="82">
        <v>2.0</v>
      </c>
      <c r="H1469" s="82">
        <v>2.0</v>
      </c>
      <c r="I1469" s="82">
        <v>2.0</v>
      </c>
      <c r="J1469" s="152">
        <v>50.0</v>
      </c>
      <c r="K1469" s="84">
        <v>25.0</v>
      </c>
      <c r="L1469" s="155" t="s">
        <v>149</v>
      </c>
    </row>
    <row r="1470" ht="15.0" customHeight="1">
      <c r="A1470" s="78" t="s">
        <v>4660</v>
      </c>
      <c r="B1470" s="82" t="s">
        <v>4661</v>
      </c>
      <c r="C1470" s="78" t="s">
        <v>147</v>
      </c>
      <c r="D1470" s="82" t="s">
        <v>4662</v>
      </c>
      <c r="E1470" s="82" t="s">
        <v>4663</v>
      </c>
      <c r="F1470" s="86" t="s">
        <v>1264</v>
      </c>
      <c r="G1470" s="82">
        <v>2.0</v>
      </c>
      <c r="H1470" s="82">
        <v>2.0</v>
      </c>
      <c r="I1470" s="82">
        <v>2.0</v>
      </c>
      <c r="J1470" s="152">
        <v>50.0</v>
      </c>
      <c r="K1470" s="84">
        <v>25.0</v>
      </c>
      <c r="L1470" s="155" t="s">
        <v>149</v>
      </c>
    </row>
    <row r="1471" ht="15.0" customHeight="1">
      <c r="A1471" s="78" t="s">
        <v>4664</v>
      </c>
      <c r="B1471" s="82" t="s">
        <v>4665</v>
      </c>
      <c r="C1471" s="78" t="s">
        <v>147</v>
      </c>
      <c r="D1471" s="82" t="s">
        <v>4666</v>
      </c>
      <c r="E1471" s="82" t="s">
        <v>4667</v>
      </c>
      <c r="F1471" s="86" t="s">
        <v>1264</v>
      </c>
      <c r="G1471" s="82">
        <v>12.0</v>
      </c>
      <c r="H1471" s="82">
        <v>8.0</v>
      </c>
      <c r="I1471" s="82">
        <v>14.0</v>
      </c>
      <c r="J1471" s="152">
        <v>50.0</v>
      </c>
      <c r="K1471" s="84">
        <v>4.16666666666667</v>
      </c>
      <c r="L1471" s="155" t="s">
        <v>149</v>
      </c>
    </row>
    <row r="1472" ht="15.0" customHeight="1">
      <c r="A1472" s="78" t="s">
        <v>4664</v>
      </c>
      <c r="B1472" s="82" t="s">
        <v>4665</v>
      </c>
      <c r="C1472" s="78" t="s">
        <v>147</v>
      </c>
      <c r="D1472" s="82" t="s">
        <v>4668</v>
      </c>
      <c r="E1472" s="82" t="s">
        <v>4669</v>
      </c>
      <c r="F1472" s="86" t="s">
        <v>1264</v>
      </c>
      <c r="G1472" s="82">
        <v>12.0</v>
      </c>
      <c r="H1472" s="82">
        <v>8.0</v>
      </c>
      <c r="I1472" s="82">
        <v>14.0</v>
      </c>
      <c r="J1472" s="152">
        <v>50.0</v>
      </c>
      <c r="K1472" s="84">
        <v>4.16666666666667</v>
      </c>
      <c r="L1472" s="155" t="s">
        <v>149</v>
      </c>
    </row>
    <row r="1473" ht="15.0" customHeight="1">
      <c r="A1473" s="78" t="s">
        <v>4664</v>
      </c>
      <c r="B1473" s="82" t="s">
        <v>4665</v>
      </c>
      <c r="C1473" s="78" t="s">
        <v>147</v>
      </c>
      <c r="D1473" s="82" t="s">
        <v>4670</v>
      </c>
      <c r="E1473" s="82" t="s">
        <v>4671</v>
      </c>
      <c r="F1473" s="86" t="s">
        <v>259</v>
      </c>
      <c r="G1473" s="82">
        <v>12.0</v>
      </c>
      <c r="H1473" s="82">
        <v>8.0</v>
      </c>
      <c r="I1473" s="82">
        <v>14.0</v>
      </c>
      <c r="J1473" s="152">
        <v>50.0</v>
      </c>
      <c r="K1473" s="84">
        <v>4.16666666666667</v>
      </c>
      <c r="L1473" s="155" t="s">
        <v>149</v>
      </c>
    </row>
    <row r="1474" ht="15.0" customHeight="1">
      <c r="A1474" s="78" t="s">
        <v>4664</v>
      </c>
      <c r="B1474" s="82" t="s">
        <v>4665</v>
      </c>
      <c r="C1474" s="78" t="s">
        <v>147</v>
      </c>
      <c r="D1474" s="82" t="s">
        <v>4672</v>
      </c>
      <c r="E1474" s="82" t="s">
        <v>4673</v>
      </c>
      <c r="F1474" s="86" t="s">
        <v>259</v>
      </c>
      <c r="G1474" s="82">
        <v>12.0</v>
      </c>
      <c r="H1474" s="82">
        <v>8.0</v>
      </c>
      <c r="I1474" s="82">
        <v>14.0</v>
      </c>
      <c r="J1474" s="152">
        <v>50.0</v>
      </c>
      <c r="K1474" s="84">
        <v>4.16666666666667</v>
      </c>
      <c r="L1474" s="155" t="s">
        <v>149</v>
      </c>
    </row>
    <row r="1475" ht="15.0" customHeight="1">
      <c r="A1475" s="78" t="s">
        <v>4664</v>
      </c>
      <c r="B1475" s="82" t="s">
        <v>4665</v>
      </c>
      <c r="C1475" s="78" t="s">
        <v>147</v>
      </c>
      <c r="D1475" s="82" t="s">
        <v>4674</v>
      </c>
      <c r="E1475" s="82" t="s">
        <v>4675</v>
      </c>
      <c r="F1475" s="86" t="s">
        <v>1264</v>
      </c>
      <c r="G1475" s="82">
        <v>12.0</v>
      </c>
      <c r="H1475" s="82">
        <v>8.0</v>
      </c>
      <c r="I1475" s="82">
        <v>14.0</v>
      </c>
      <c r="J1475" s="152">
        <v>50.0</v>
      </c>
      <c r="K1475" s="84">
        <v>4.16666666666667</v>
      </c>
      <c r="L1475" s="155" t="s">
        <v>149</v>
      </c>
    </row>
    <row r="1476" ht="15.0" customHeight="1">
      <c r="A1476" s="78" t="s">
        <v>4664</v>
      </c>
      <c r="B1476" s="82" t="s">
        <v>4665</v>
      </c>
      <c r="C1476" s="78" t="s">
        <v>147</v>
      </c>
      <c r="D1476" s="82" t="s">
        <v>4676</v>
      </c>
      <c r="E1476" s="82" t="s">
        <v>4677</v>
      </c>
      <c r="F1476" s="86" t="s">
        <v>1264</v>
      </c>
      <c r="G1476" s="82">
        <v>12.0</v>
      </c>
      <c r="H1476" s="82">
        <v>8.0</v>
      </c>
      <c r="I1476" s="82">
        <v>14.0</v>
      </c>
      <c r="J1476" s="152">
        <v>50.0</v>
      </c>
      <c r="K1476" s="84">
        <v>4.16666666666667</v>
      </c>
      <c r="L1476" s="155" t="s">
        <v>149</v>
      </c>
    </row>
    <row r="1477" ht="15.0" customHeight="1">
      <c r="A1477" s="78" t="s">
        <v>4664</v>
      </c>
      <c r="B1477" s="82" t="s">
        <v>4665</v>
      </c>
      <c r="C1477" s="78" t="s">
        <v>147</v>
      </c>
      <c r="D1477" s="82" t="s">
        <v>4678</v>
      </c>
      <c r="E1477" s="82" t="s">
        <v>4679</v>
      </c>
      <c r="F1477" s="86" t="s">
        <v>259</v>
      </c>
      <c r="G1477" s="82">
        <v>12.0</v>
      </c>
      <c r="H1477" s="82">
        <v>8.0</v>
      </c>
      <c r="I1477" s="82">
        <v>14.0</v>
      </c>
      <c r="J1477" s="152">
        <v>50.0</v>
      </c>
      <c r="K1477" s="84">
        <v>4.16666666666667</v>
      </c>
      <c r="L1477" s="155" t="s">
        <v>149</v>
      </c>
    </row>
    <row r="1478" ht="15.0" customHeight="1">
      <c r="A1478" s="78" t="s">
        <v>4680</v>
      </c>
      <c r="B1478" s="82" t="s">
        <v>4681</v>
      </c>
      <c r="C1478" s="78" t="s">
        <v>147</v>
      </c>
      <c r="D1478" s="82" t="s">
        <v>4682</v>
      </c>
      <c r="E1478" s="82" t="s">
        <v>4683</v>
      </c>
      <c r="F1478" s="86" t="s">
        <v>1264</v>
      </c>
      <c r="G1478" s="82">
        <v>2.0</v>
      </c>
      <c r="H1478" s="82">
        <v>2.0</v>
      </c>
      <c r="I1478" s="82">
        <v>2.0</v>
      </c>
      <c r="J1478" s="152">
        <v>50.0</v>
      </c>
      <c r="K1478" s="84">
        <v>25.0</v>
      </c>
      <c r="L1478" s="155" t="s">
        <v>149</v>
      </c>
    </row>
    <row r="1479" ht="15.0" customHeight="1">
      <c r="A1479" s="78" t="s">
        <v>4680</v>
      </c>
      <c r="B1479" s="82" t="s">
        <v>4681</v>
      </c>
      <c r="C1479" s="78" t="s">
        <v>147</v>
      </c>
      <c r="D1479" s="82" t="s">
        <v>4684</v>
      </c>
      <c r="E1479" s="82" t="s">
        <v>4685</v>
      </c>
      <c r="F1479" s="86" t="s">
        <v>1264</v>
      </c>
      <c r="G1479" s="82">
        <v>2.0</v>
      </c>
      <c r="H1479" s="82">
        <v>2.0</v>
      </c>
      <c r="I1479" s="82">
        <v>2.0</v>
      </c>
      <c r="J1479" s="152">
        <v>50.0</v>
      </c>
      <c r="K1479" s="84">
        <v>25.0</v>
      </c>
      <c r="L1479" s="155" t="s">
        <v>149</v>
      </c>
    </row>
    <row r="1480" ht="15.0" customHeight="1">
      <c r="A1480" s="78" t="s">
        <v>4680</v>
      </c>
      <c r="B1480" s="82" t="s">
        <v>4681</v>
      </c>
      <c r="C1480" s="78" t="s">
        <v>147</v>
      </c>
      <c r="D1480" s="82" t="s">
        <v>4686</v>
      </c>
      <c r="E1480" s="82" t="s">
        <v>4687</v>
      </c>
      <c r="F1480" s="86" t="s">
        <v>1264</v>
      </c>
      <c r="G1480" s="82">
        <v>2.0</v>
      </c>
      <c r="H1480" s="82">
        <v>2.0</v>
      </c>
      <c r="I1480" s="82">
        <v>2.0</v>
      </c>
      <c r="J1480" s="152">
        <v>50.0</v>
      </c>
      <c r="K1480" s="84">
        <v>25.0</v>
      </c>
      <c r="L1480" s="155" t="s">
        <v>149</v>
      </c>
    </row>
    <row r="1481" ht="15.0" customHeight="1">
      <c r="A1481" s="78" t="s">
        <v>4680</v>
      </c>
      <c r="B1481" s="82" t="s">
        <v>4681</v>
      </c>
      <c r="C1481" s="78" t="s">
        <v>147</v>
      </c>
      <c r="D1481" s="82" t="s">
        <v>4688</v>
      </c>
      <c r="E1481" s="82" t="s">
        <v>4689</v>
      </c>
      <c r="F1481" s="86" t="s">
        <v>1264</v>
      </c>
      <c r="G1481" s="82">
        <v>2.0</v>
      </c>
      <c r="H1481" s="82">
        <v>2.0</v>
      </c>
      <c r="I1481" s="82">
        <v>2.0</v>
      </c>
      <c r="J1481" s="152">
        <v>50.0</v>
      </c>
      <c r="K1481" s="84">
        <v>25.0</v>
      </c>
      <c r="L1481" s="155" t="s">
        <v>149</v>
      </c>
    </row>
    <row r="1482" ht="15.0" customHeight="1">
      <c r="A1482" s="78" t="s">
        <v>4690</v>
      </c>
      <c r="B1482" s="82" t="s">
        <v>4606</v>
      </c>
      <c r="C1482" s="78" t="s">
        <v>147</v>
      </c>
      <c r="D1482" s="82" t="s">
        <v>4691</v>
      </c>
      <c r="E1482" s="82" t="s">
        <v>4692</v>
      </c>
      <c r="F1482" s="86" t="s">
        <v>1264</v>
      </c>
      <c r="G1482" s="82">
        <v>3.0</v>
      </c>
      <c r="H1482" s="82">
        <v>3.0</v>
      </c>
      <c r="I1482" s="82">
        <v>3.0</v>
      </c>
      <c r="J1482" s="152">
        <v>50.0</v>
      </c>
      <c r="K1482" s="84">
        <v>16.6666666666667</v>
      </c>
      <c r="L1482" s="155" t="s">
        <v>149</v>
      </c>
    </row>
    <row r="1483" ht="15.0" customHeight="1">
      <c r="A1483" s="78" t="s">
        <v>4690</v>
      </c>
      <c r="B1483" s="82" t="s">
        <v>4606</v>
      </c>
      <c r="C1483" s="78" t="s">
        <v>147</v>
      </c>
      <c r="D1483" s="82" t="s">
        <v>4693</v>
      </c>
      <c r="E1483" s="82" t="s">
        <v>4694</v>
      </c>
      <c r="F1483" s="86" t="s">
        <v>259</v>
      </c>
      <c r="G1483" s="82">
        <v>3.0</v>
      </c>
      <c r="H1483" s="82">
        <v>3.0</v>
      </c>
      <c r="I1483" s="82">
        <v>3.0</v>
      </c>
      <c r="J1483" s="152">
        <v>50.0</v>
      </c>
      <c r="K1483" s="84">
        <v>16.6666666666667</v>
      </c>
      <c r="L1483" s="155" t="s">
        <v>149</v>
      </c>
    </row>
    <row r="1484" ht="15.0" customHeight="1">
      <c r="A1484" s="78" t="s">
        <v>4656</v>
      </c>
      <c r="B1484" s="82" t="s">
        <v>4695</v>
      </c>
      <c r="C1484" s="78" t="s">
        <v>147</v>
      </c>
      <c r="D1484" s="82" t="s">
        <v>4696</v>
      </c>
      <c r="E1484" s="82" t="s">
        <v>4697</v>
      </c>
      <c r="F1484" s="86" t="s">
        <v>259</v>
      </c>
      <c r="G1484" s="82">
        <v>2.0</v>
      </c>
      <c r="H1484" s="82">
        <v>2.0</v>
      </c>
      <c r="I1484" s="82">
        <v>2.0</v>
      </c>
      <c r="J1484" s="152">
        <v>50.0</v>
      </c>
      <c r="K1484" s="84">
        <v>25.0</v>
      </c>
      <c r="L1484" s="155" t="s">
        <v>149</v>
      </c>
    </row>
    <row r="1485" ht="15.0" customHeight="1">
      <c r="A1485" s="78" t="s">
        <v>4656</v>
      </c>
      <c r="B1485" s="82" t="s">
        <v>4695</v>
      </c>
      <c r="C1485" s="78" t="s">
        <v>147</v>
      </c>
      <c r="D1485" s="82" t="s">
        <v>4698</v>
      </c>
      <c r="E1485" s="82" t="s">
        <v>4699</v>
      </c>
      <c r="F1485" s="86" t="s">
        <v>259</v>
      </c>
      <c r="G1485" s="82">
        <v>2.0</v>
      </c>
      <c r="H1485" s="82">
        <v>2.0</v>
      </c>
      <c r="I1485" s="82">
        <v>2.0</v>
      </c>
      <c r="J1485" s="152">
        <v>50.0</v>
      </c>
      <c r="K1485" s="84">
        <v>25.0</v>
      </c>
      <c r="L1485" s="155" t="s">
        <v>149</v>
      </c>
    </row>
    <row r="1486" ht="15.0" customHeight="1">
      <c r="A1486" s="78" t="s">
        <v>4680</v>
      </c>
      <c r="B1486" s="82" t="s">
        <v>4700</v>
      </c>
      <c r="C1486" s="78" t="s">
        <v>147</v>
      </c>
      <c r="D1486" s="82" t="s">
        <v>4701</v>
      </c>
      <c r="E1486" s="82" t="s">
        <v>4702</v>
      </c>
      <c r="F1486" s="86" t="s">
        <v>1264</v>
      </c>
      <c r="G1486" s="82">
        <v>2.0</v>
      </c>
      <c r="H1486" s="82">
        <v>2.0</v>
      </c>
      <c r="I1486" s="82">
        <v>2.0</v>
      </c>
      <c r="J1486" s="152">
        <v>50.0</v>
      </c>
      <c r="K1486" s="84">
        <v>25.0</v>
      </c>
      <c r="L1486" s="155" t="s">
        <v>149</v>
      </c>
    </row>
    <row r="1487" ht="15.0" customHeight="1">
      <c r="A1487" s="78" t="s">
        <v>4690</v>
      </c>
      <c r="B1487" s="82" t="s">
        <v>4703</v>
      </c>
      <c r="C1487" s="78" t="s">
        <v>147</v>
      </c>
      <c r="D1487" s="82" t="s">
        <v>4704</v>
      </c>
      <c r="E1487" s="82" t="s">
        <v>4705</v>
      </c>
      <c r="F1487" s="86" t="s">
        <v>1264</v>
      </c>
      <c r="G1487" s="82">
        <v>3.0</v>
      </c>
      <c r="H1487" s="82">
        <v>3.0</v>
      </c>
      <c r="I1487" s="82">
        <v>3.0</v>
      </c>
      <c r="J1487" s="152">
        <v>50.0</v>
      </c>
      <c r="K1487" s="84">
        <v>16.6666666666667</v>
      </c>
      <c r="L1487" s="155" t="s">
        <v>149</v>
      </c>
    </row>
    <row r="1488" ht="15.0" customHeight="1">
      <c r="A1488" s="78" t="s">
        <v>1769</v>
      </c>
      <c r="B1488" s="82" t="s">
        <v>1770</v>
      </c>
      <c r="C1488" s="78" t="s">
        <v>147</v>
      </c>
      <c r="D1488" s="82" t="s">
        <v>1771</v>
      </c>
      <c r="E1488" s="82" t="s">
        <v>1772</v>
      </c>
      <c r="F1488" s="86" t="s">
        <v>1264</v>
      </c>
      <c r="G1488" s="82">
        <v>3.0</v>
      </c>
      <c r="H1488" s="82">
        <v>3.0</v>
      </c>
      <c r="I1488" s="82">
        <v>3.0</v>
      </c>
      <c r="J1488" s="152">
        <v>50.0</v>
      </c>
      <c r="K1488" s="84">
        <v>16.6666666666667</v>
      </c>
      <c r="L1488" s="155" t="s">
        <v>149</v>
      </c>
    </row>
    <row r="1489" ht="15.0" customHeight="1">
      <c r="A1489" s="78" t="s">
        <v>1769</v>
      </c>
      <c r="B1489" s="82" t="s">
        <v>1770</v>
      </c>
      <c r="C1489" s="78" t="s">
        <v>147</v>
      </c>
      <c r="D1489" s="82" t="s">
        <v>1773</v>
      </c>
      <c r="E1489" s="82" t="s">
        <v>1774</v>
      </c>
      <c r="F1489" s="86" t="s">
        <v>1264</v>
      </c>
      <c r="G1489" s="82">
        <v>3.0</v>
      </c>
      <c r="H1489" s="82">
        <v>3.0</v>
      </c>
      <c r="I1489" s="82">
        <v>3.0</v>
      </c>
      <c r="J1489" s="152">
        <v>50.0</v>
      </c>
      <c r="K1489" s="84">
        <v>16.6666666666667</v>
      </c>
      <c r="L1489" s="155" t="s">
        <v>149</v>
      </c>
    </row>
    <row r="1490" ht="15.0" customHeight="1">
      <c r="A1490" s="78" t="s">
        <v>4706</v>
      </c>
      <c r="B1490" s="82" t="s">
        <v>4707</v>
      </c>
      <c r="C1490" s="78" t="s">
        <v>147</v>
      </c>
      <c r="D1490" s="82" t="s">
        <v>4708</v>
      </c>
      <c r="E1490" s="82" t="s">
        <v>4709</v>
      </c>
      <c r="F1490" s="86" t="s">
        <v>1264</v>
      </c>
      <c r="G1490" s="82">
        <v>2.0</v>
      </c>
      <c r="H1490" s="82">
        <v>2.0</v>
      </c>
      <c r="I1490" s="82">
        <v>2.0</v>
      </c>
      <c r="J1490" s="152">
        <v>50.0</v>
      </c>
      <c r="K1490" s="84">
        <v>25.0</v>
      </c>
      <c r="L1490" s="155" t="s">
        <v>149</v>
      </c>
    </row>
    <row r="1491" ht="15.0" customHeight="1">
      <c r="A1491" s="78" t="s">
        <v>1085</v>
      </c>
      <c r="B1491" s="82" t="s">
        <v>1084</v>
      </c>
      <c r="C1491" s="78" t="s">
        <v>147</v>
      </c>
      <c r="D1491" s="82" t="s">
        <v>4710</v>
      </c>
      <c r="E1491" s="82" t="s">
        <v>4711</v>
      </c>
      <c r="F1491" s="86" t="s">
        <v>259</v>
      </c>
      <c r="G1491" s="82">
        <v>6.0</v>
      </c>
      <c r="H1491" s="82">
        <v>1.0</v>
      </c>
      <c r="I1491" s="82">
        <v>6.0</v>
      </c>
      <c r="J1491" s="152">
        <v>50.0</v>
      </c>
      <c r="K1491" s="84">
        <v>8.33333333333333</v>
      </c>
      <c r="L1491" s="155" t="s">
        <v>150</v>
      </c>
    </row>
    <row r="1492" ht="15.0" customHeight="1">
      <c r="A1492" s="78" t="s">
        <v>4712</v>
      </c>
      <c r="B1492" s="82" t="s">
        <v>4713</v>
      </c>
      <c r="C1492" s="78" t="s">
        <v>147</v>
      </c>
      <c r="D1492" s="82" t="s">
        <v>4714</v>
      </c>
      <c r="E1492" s="82" t="s">
        <v>4715</v>
      </c>
      <c r="F1492" s="86" t="s">
        <v>259</v>
      </c>
      <c r="G1492" s="82">
        <v>5.0</v>
      </c>
      <c r="H1492" s="82">
        <v>1.0</v>
      </c>
      <c r="I1492" s="82">
        <v>5.0</v>
      </c>
      <c r="J1492" s="152">
        <v>50.0</v>
      </c>
      <c r="K1492" s="84">
        <v>10.0</v>
      </c>
      <c r="L1492" s="155" t="s">
        <v>150</v>
      </c>
    </row>
    <row r="1493" ht="15.0" customHeight="1">
      <c r="A1493" s="78" t="s">
        <v>4712</v>
      </c>
      <c r="B1493" s="82" t="s">
        <v>4713</v>
      </c>
      <c r="C1493" s="78" t="s">
        <v>147</v>
      </c>
      <c r="D1493" s="82" t="s">
        <v>4716</v>
      </c>
      <c r="E1493" s="82" t="s">
        <v>4717</v>
      </c>
      <c r="F1493" s="86" t="s">
        <v>259</v>
      </c>
      <c r="G1493" s="82">
        <v>5.0</v>
      </c>
      <c r="H1493" s="82">
        <v>1.0</v>
      </c>
      <c r="I1493" s="82">
        <v>5.0</v>
      </c>
      <c r="J1493" s="152">
        <v>50.0</v>
      </c>
      <c r="K1493" s="84">
        <v>10.0</v>
      </c>
      <c r="L1493" s="155" t="s">
        <v>150</v>
      </c>
    </row>
    <row r="1494" ht="15.0" customHeight="1">
      <c r="A1494" s="78" t="s">
        <v>4712</v>
      </c>
      <c r="B1494" s="82" t="s">
        <v>4713</v>
      </c>
      <c r="C1494" s="78" t="s">
        <v>147</v>
      </c>
      <c r="D1494" s="82" t="s">
        <v>4718</v>
      </c>
      <c r="E1494" s="82" t="s">
        <v>4719</v>
      </c>
      <c r="F1494" s="86" t="s">
        <v>1417</v>
      </c>
      <c r="G1494" s="82">
        <v>5.0</v>
      </c>
      <c r="H1494" s="82">
        <v>1.0</v>
      </c>
      <c r="I1494" s="82">
        <v>5.0</v>
      </c>
      <c r="J1494" s="152">
        <v>50.0</v>
      </c>
      <c r="K1494" s="84">
        <v>10.0</v>
      </c>
      <c r="L1494" s="155" t="s">
        <v>150</v>
      </c>
    </row>
    <row r="1495" ht="15.0" customHeight="1">
      <c r="A1495" s="78" t="s">
        <v>4712</v>
      </c>
      <c r="B1495" s="82" t="s">
        <v>4713</v>
      </c>
      <c r="C1495" s="78" t="s">
        <v>147</v>
      </c>
      <c r="D1495" s="82" t="s">
        <v>4720</v>
      </c>
      <c r="E1495" s="82" t="s">
        <v>4721</v>
      </c>
      <c r="F1495" s="86" t="s">
        <v>4722</v>
      </c>
      <c r="G1495" s="82">
        <v>5.0</v>
      </c>
      <c r="H1495" s="82">
        <v>1.0</v>
      </c>
      <c r="I1495" s="82">
        <v>5.0</v>
      </c>
      <c r="J1495" s="152">
        <v>50.0</v>
      </c>
      <c r="K1495" s="84">
        <v>10.0</v>
      </c>
      <c r="L1495" s="155" t="s">
        <v>150</v>
      </c>
    </row>
    <row r="1496" ht="15.0" customHeight="1">
      <c r="A1496" s="78" t="s">
        <v>4723</v>
      </c>
      <c r="B1496" s="82" t="s">
        <v>4724</v>
      </c>
      <c r="C1496" s="78" t="s">
        <v>147</v>
      </c>
      <c r="D1496" s="82" t="s">
        <v>4725</v>
      </c>
      <c r="E1496" s="82" t="s">
        <v>4726</v>
      </c>
      <c r="F1496" s="86" t="s">
        <v>1417</v>
      </c>
      <c r="G1496" s="82">
        <v>5.0</v>
      </c>
      <c r="H1496" s="82">
        <v>1.0</v>
      </c>
      <c r="I1496" s="82">
        <v>5.0</v>
      </c>
      <c r="J1496" s="152">
        <v>50.0</v>
      </c>
      <c r="K1496" s="84">
        <v>10.0</v>
      </c>
      <c r="L1496" s="155" t="s">
        <v>150</v>
      </c>
    </row>
    <row r="1497" ht="15.0" customHeight="1">
      <c r="A1497" s="78" t="s">
        <v>4723</v>
      </c>
      <c r="B1497" s="82" t="s">
        <v>4724</v>
      </c>
      <c r="C1497" s="78" t="s">
        <v>147</v>
      </c>
      <c r="D1497" s="82" t="s">
        <v>4727</v>
      </c>
      <c r="E1497" s="82" t="s">
        <v>4728</v>
      </c>
      <c r="F1497" s="86" t="s">
        <v>259</v>
      </c>
      <c r="G1497" s="82">
        <v>5.0</v>
      </c>
      <c r="H1497" s="82">
        <v>1.0</v>
      </c>
      <c r="I1497" s="82">
        <v>5.0</v>
      </c>
      <c r="J1497" s="152">
        <v>50.0</v>
      </c>
      <c r="K1497" s="84">
        <v>10.0</v>
      </c>
      <c r="L1497" s="155" t="s">
        <v>150</v>
      </c>
    </row>
    <row r="1498" ht="15.0" customHeight="1">
      <c r="A1498" s="78" t="s">
        <v>4729</v>
      </c>
      <c r="B1498" s="82" t="s">
        <v>4730</v>
      </c>
      <c r="C1498" s="78" t="s">
        <v>147</v>
      </c>
      <c r="D1498" s="82" t="s">
        <v>4731</v>
      </c>
      <c r="E1498" s="82" t="s">
        <v>4732</v>
      </c>
      <c r="F1498" s="86" t="s">
        <v>259</v>
      </c>
      <c r="G1498" s="82">
        <v>3.0</v>
      </c>
      <c r="H1498" s="82">
        <v>2.0</v>
      </c>
      <c r="I1498" s="82">
        <v>3.0</v>
      </c>
      <c r="J1498" s="152">
        <v>50.0</v>
      </c>
      <c r="K1498" s="84">
        <v>16.6666666666667</v>
      </c>
      <c r="L1498" s="155" t="s">
        <v>150</v>
      </c>
    </row>
    <row r="1499" ht="15.0" customHeight="1">
      <c r="A1499" s="78" t="s">
        <v>4712</v>
      </c>
      <c r="B1499" s="82" t="s">
        <v>4713</v>
      </c>
      <c r="C1499" s="78" t="s">
        <v>147</v>
      </c>
      <c r="D1499" s="82" t="s">
        <v>4733</v>
      </c>
      <c r="E1499" s="82" t="s">
        <v>4734</v>
      </c>
      <c r="F1499" s="86" t="s">
        <v>259</v>
      </c>
      <c r="G1499" s="82">
        <v>5.0</v>
      </c>
      <c r="H1499" s="82">
        <v>1.0</v>
      </c>
      <c r="I1499" s="82">
        <v>5.0</v>
      </c>
      <c r="J1499" s="152">
        <v>50.0</v>
      </c>
      <c r="K1499" s="84">
        <v>10.0</v>
      </c>
      <c r="L1499" s="155" t="s">
        <v>150</v>
      </c>
    </row>
    <row r="1500" ht="15.0" customHeight="1">
      <c r="A1500" s="78" t="s">
        <v>4735</v>
      </c>
      <c r="B1500" s="82" t="s">
        <v>3169</v>
      </c>
      <c r="C1500" s="78" t="s">
        <v>147</v>
      </c>
      <c r="D1500" s="82" t="s">
        <v>4736</v>
      </c>
      <c r="E1500" s="82" t="s">
        <v>4737</v>
      </c>
      <c r="F1500" s="86" t="s">
        <v>1264</v>
      </c>
      <c r="G1500" s="82">
        <v>2.0</v>
      </c>
      <c r="H1500" s="82">
        <v>2.0</v>
      </c>
      <c r="I1500" s="82">
        <v>2.0</v>
      </c>
      <c r="J1500" s="152">
        <v>50.0</v>
      </c>
      <c r="K1500" s="84">
        <v>25.0</v>
      </c>
      <c r="L1500" s="155" t="s">
        <v>4738</v>
      </c>
    </row>
    <row r="1501" ht="15.0" customHeight="1">
      <c r="A1501" s="78" t="s">
        <v>4735</v>
      </c>
      <c r="B1501" s="82" t="s">
        <v>3169</v>
      </c>
      <c r="C1501" s="78" t="s">
        <v>147</v>
      </c>
      <c r="D1501" s="82" t="s">
        <v>4739</v>
      </c>
      <c r="E1501" s="82" t="s">
        <v>4740</v>
      </c>
      <c r="F1501" s="86" t="s">
        <v>1256</v>
      </c>
      <c r="G1501" s="82">
        <v>2.0</v>
      </c>
      <c r="H1501" s="82">
        <v>2.0</v>
      </c>
      <c r="I1501" s="82">
        <v>2.0</v>
      </c>
      <c r="J1501" s="152">
        <v>50.0</v>
      </c>
      <c r="K1501" s="84">
        <v>25.0</v>
      </c>
      <c r="L1501" s="155" t="s">
        <v>4738</v>
      </c>
    </row>
    <row r="1502" ht="15.0" customHeight="1">
      <c r="A1502" s="78" t="s">
        <v>4741</v>
      </c>
      <c r="B1502" s="82" t="s">
        <v>4742</v>
      </c>
      <c r="C1502" s="78" t="s">
        <v>147</v>
      </c>
      <c r="D1502" s="82" t="s">
        <v>4743</v>
      </c>
      <c r="E1502" s="82" t="s">
        <v>4744</v>
      </c>
      <c r="F1502" s="86" t="s">
        <v>1264</v>
      </c>
      <c r="G1502" s="82">
        <v>1.0</v>
      </c>
      <c r="H1502" s="82">
        <v>1.0</v>
      </c>
      <c r="I1502" s="82">
        <v>3.0</v>
      </c>
      <c r="J1502" s="152">
        <v>50.0</v>
      </c>
      <c r="K1502" s="84">
        <v>25.0</v>
      </c>
      <c r="L1502" s="155" t="s">
        <v>4738</v>
      </c>
    </row>
    <row r="1503" ht="15.0" customHeight="1">
      <c r="A1503" s="78" t="s">
        <v>4741</v>
      </c>
      <c r="B1503" s="82" t="s">
        <v>4742</v>
      </c>
      <c r="C1503" s="78" t="s">
        <v>147</v>
      </c>
      <c r="D1503" s="82" t="s">
        <v>4745</v>
      </c>
      <c r="E1503" s="82" t="s">
        <v>4746</v>
      </c>
      <c r="F1503" s="86" t="s">
        <v>1264</v>
      </c>
      <c r="G1503" s="82">
        <v>1.0</v>
      </c>
      <c r="H1503" s="82">
        <v>1.0</v>
      </c>
      <c r="I1503" s="82">
        <v>3.0</v>
      </c>
      <c r="J1503" s="152">
        <v>50.0</v>
      </c>
      <c r="K1503" s="84">
        <v>25.0</v>
      </c>
      <c r="L1503" s="155" t="s">
        <v>4738</v>
      </c>
    </row>
    <row r="1504" ht="15.0" customHeight="1">
      <c r="A1504" s="78" t="s">
        <v>4741</v>
      </c>
      <c r="B1504" s="82" t="s">
        <v>4742</v>
      </c>
      <c r="C1504" s="78" t="s">
        <v>147</v>
      </c>
      <c r="D1504" s="82" t="s">
        <v>4747</v>
      </c>
      <c r="E1504" s="82" t="s">
        <v>4748</v>
      </c>
      <c r="F1504" s="86" t="s">
        <v>1264</v>
      </c>
      <c r="G1504" s="82">
        <v>1.0</v>
      </c>
      <c r="H1504" s="82">
        <v>1.0</v>
      </c>
      <c r="I1504" s="82">
        <v>3.0</v>
      </c>
      <c r="J1504" s="152">
        <v>50.0</v>
      </c>
      <c r="K1504" s="84">
        <v>25.0</v>
      </c>
      <c r="L1504" s="155" t="s">
        <v>4738</v>
      </c>
    </row>
    <row r="1505" ht="15.0" customHeight="1">
      <c r="A1505" s="78" t="s">
        <v>4741</v>
      </c>
      <c r="B1505" s="82" t="s">
        <v>4742</v>
      </c>
      <c r="C1505" s="78" t="s">
        <v>147</v>
      </c>
      <c r="D1505" s="82" t="s">
        <v>4749</v>
      </c>
      <c r="E1505" s="82" t="s">
        <v>4750</v>
      </c>
      <c r="F1505" s="86" t="s">
        <v>1264</v>
      </c>
      <c r="G1505" s="82">
        <v>1.0</v>
      </c>
      <c r="H1505" s="82">
        <v>1.0</v>
      </c>
      <c r="I1505" s="82">
        <v>3.0</v>
      </c>
      <c r="J1505" s="152">
        <v>50.0</v>
      </c>
      <c r="K1505" s="84">
        <v>25.0</v>
      </c>
      <c r="L1505" s="155" t="s">
        <v>4738</v>
      </c>
    </row>
    <row r="1506" ht="15.0" customHeight="1">
      <c r="A1506" s="78" t="s">
        <v>4741</v>
      </c>
      <c r="B1506" s="82" t="s">
        <v>4742</v>
      </c>
      <c r="C1506" s="78" t="s">
        <v>147</v>
      </c>
      <c r="D1506" s="82" t="s">
        <v>4751</v>
      </c>
      <c r="E1506" s="82" t="s">
        <v>4752</v>
      </c>
      <c r="F1506" s="86" t="s">
        <v>1264</v>
      </c>
      <c r="G1506" s="82">
        <v>1.0</v>
      </c>
      <c r="H1506" s="82">
        <v>1.0</v>
      </c>
      <c r="I1506" s="82">
        <v>3.0</v>
      </c>
      <c r="J1506" s="152">
        <v>50.0</v>
      </c>
      <c r="K1506" s="84">
        <v>25.0</v>
      </c>
      <c r="L1506" s="155" t="s">
        <v>4738</v>
      </c>
    </row>
    <row r="1507" ht="15.0" customHeight="1">
      <c r="A1507" s="78" t="s">
        <v>4753</v>
      </c>
      <c r="B1507" s="82" t="s">
        <v>4754</v>
      </c>
      <c r="C1507" s="78" t="s">
        <v>147</v>
      </c>
      <c r="D1507" s="82" t="s">
        <v>4755</v>
      </c>
      <c r="E1507" s="82" t="s">
        <v>4756</v>
      </c>
      <c r="F1507" s="86" t="s">
        <v>1264</v>
      </c>
      <c r="G1507" s="82">
        <v>1.0</v>
      </c>
      <c r="H1507" s="82">
        <v>1.0</v>
      </c>
      <c r="I1507" s="82">
        <v>4.0</v>
      </c>
      <c r="J1507" s="152">
        <v>50.0</v>
      </c>
      <c r="K1507" s="84">
        <v>25.0</v>
      </c>
      <c r="L1507" s="155" t="s">
        <v>4738</v>
      </c>
    </row>
    <row r="1508" ht="15.0" customHeight="1">
      <c r="A1508" s="78" t="s">
        <v>4757</v>
      </c>
      <c r="B1508" s="82" t="s">
        <v>4758</v>
      </c>
      <c r="C1508" s="78" t="s">
        <v>147</v>
      </c>
      <c r="D1508" s="82" t="s">
        <v>4759</v>
      </c>
      <c r="E1508" s="82" t="s">
        <v>4760</v>
      </c>
      <c r="F1508" s="86" t="s">
        <v>1264</v>
      </c>
      <c r="G1508" s="82">
        <v>3.0</v>
      </c>
      <c r="H1508" s="82">
        <v>1.0</v>
      </c>
      <c r="I1508" s="82">
        <v>3.0</v>
      </c>
      <c r="J1508" s="152">
        <v>50.0</v>
      </c>
      <c r="K1508" s="84">
        <v>16.66</v>
      </c>
      <c r="L1508" s="155" t="s">
        <v>4738</v>
      </c>
    </row>
    <row r="1509" ht="15.0" customHeight="1">
      <c r="A1509" s="78" t="s">
        <v>4761</v>
      </c>
      <c r="B1509" s="82" t="s">
        <v>4762</v>
      </c>
      <c r="C1509" s="78" t="s">
        <v>147</v>
      </c>
      <c r="D1509" s="82" t="s">
        <v>4763</v>
      </c>
      <c r="E1509" s="82" t="s">
        <v>4764</v>
      </c>
      <c r="F1509" s="86" t="s">
        <v>1264</v>
      </c>
      <c r="G1509" s="82">
        <v>3.0</v>
      </c>
      <c r="H1509" s="82">
        <v>3.0</v>
      </c>
      <c r="I1509" s="82">
        <v>3.0</v>
      </c>
      <c r="J1509" s="152">
        <v>50.0</v>
      </c>
      <c r="K1509" s="84">
        <v>16.67</v>
      </c>
      <c r="L1509" s="155" t="s">
        <v>4738</v>
      </c>
    </row>
    <row r="1510" ht="15.0" customHeight="1">
      <c r="A1510" s="78" t="s">
        <v>4761</v>
      </c>
      <c r="B1510" s="82" t="s">
        <v>4762</v>
      </c>
      <c r="C1510" s="78" t="s">
        <v>147</v>
      </c>
      <c r="D1510" s="82" t="s">
        <v>4765</v>
      </c>
      <c r="E1510" s="82" t="s">
        <v>4766</v>
      </c>
      <c r="F1510" s="86" t="s">
        <v>1264</v>
      </c>
      <c r="G1510" s="82">
        <v>3.0</v>
      </c>
      <c r="H1510" s="82">
        <v>3.0</v>
      </c>
      <c r="I1510" s="82">
        <v>3.0</v>
      </c>
      <c r="J1510" s="152">
        <v>50.0</v>
      </c>
      <c r="K1510" s="84">
        <v>16.67</v>
      </c>
      <c r="L1510" s="155" t="s">
        <v>4738</v>
      </c>
    </row>
    <row r="1511" ht="15.0" customHeight="1">
      <c r="A1511" s="78" t="s">
        <v>4761</v>
      </c>
      <c r="B1511" s="82" t="s">
        <v>4762</v>
      </c>
      <c r="C1511" s="78" t="s">
        <v>147</v>
      </c>
      <c r="D1511" s="82" t="s">
        <v>4767</v>
      </c>
      <c r="E1511" s="82" t="s">
        <v>4768</v>
      </c>
      <c r="F1511" s="86" t="s">
        <v>259</v>
      </c>
      <c r="G1511" s="82">
        <v>3.0</v>
      </c>
      <c r="H1511" s="82">
        <v>3.0</v>
      </c>
      <c r="I1511" s="82">
        <v>3.0</v>
      </c>
      <c r="J1511" s="152">
        <v>50.0</v>
      </c>
      <c r="K1511" s="84">
        <v>16.67</v>
      </c>
      <c r="L1511" s="155" t="s">
        <v>4738</v>
      </c>
    </row>
    <row r="1512" ht="15.0" customHeight="1">
      <c r="A1512" s="78" t="s">
        <v>4769</v>
      </c>
      <c r="B1512" s="82" t="s">
        <v>4770</v>
      </c>
      <c r="C1512" s="78" t="s">
        <v>147</v>
      </c>
      <c r="D1512" s="82" t="s">
        <v>4771</v>
      </c>
      <c r="E1512" s="82" t="s">
        <v>4772</v>
      </c>
      <c r="F1512" s="86" t="s">
        <v>1264</v>
      </c>
      <c r="G1512" s="82">
        <v>4.0</v>
      </c>
      <c r="H1512" s="82">
        <v>4.0</v>
      </c>
      <c r="I1512" s="82">
        <v>6.0</v>
      </c>
      <c r="J1512" s="152">
        <v>50.0</v>
      </c>
      <c r="K1512" s="84">
        <v>12.5</v>
      </c>
      <c r="L1512" s="155" t="s">
        <v>4738</v>
      </c>
    </row>
    <row r="1513" ht="15.0" customHeight="1">
      <c r="A1513" s="78" t="s">
        <v>4769</v>
      </c>
      <c r="B1513" s="82" t="s">
        <v>4770</v>
      </c>
      <c r="C1513" s="78" t="s">
        <v>147</v>
      </c>
      <c r="D1513" s="82" t="s">
        <v>4773</v>
      </c>
      <c r="E1513" s="82" t="s">
        <v>4774</v>
      </c>
      <c r="F1513" s="86" t="s">
        <v>1264</v>
      </c>
      <c r="G1513" s="82">
        <v>4.0</v>
      </c>
      <c r="H1513" s="82">
        <v>4.0</v>
      </c>
      <c r="I1513" s="82">
        <v>6.0</v>
      </c>
      <c r="J1513" s="152">
        <v>50.0</v>
      </c>
      <c r="K1513" s="84">
        <v>12.5</v>
      </c>
      <c r="L1513" s="155" t="s">
        <v>4738</v>
      </c>
    </row>
    <row r="1514" ht="15.0" customHeight="1">
      <c r="A1514" s="78" t="s">
        <v>4775</v>
      </c>
      <c r="B1514" s="82" t="s">
        <v>4776</v>
      </c>
      <c r="C1514" s="78" t="s">
        <v>147</v>
      </c>
      <c r="D1514" s="82" t="s">
        <v>4777</v>
      </c>
      <c r="E1514" s="82" t="s">
        <v>4032</v>
      </c>
      <c r="F1514" s="86" t="s">
        <v>259</v>
      </c>
      <c r="G1514" s="82">
        <v>4.0</v>
      </c>
      <c r="H1514" s="82">
        <v>4.0</v>
      </c>
      <c r="I1514" s="82">
        <v>5.0</v>
      </c>
      <c r="J1514" s="152">
        <v>50.0</v>
      </c>
      <c r="K1514" s="84">
        <v>12.5</v>
      </c>
      <c r="L1514" s="155" t="s">
        <v>4738</v>
      </c>
    </row>
    <row r="1515" ht="15.0" customHeight="1">
      <c r="A1515" s="78" t="s">
        <v>4778</v>
      </c>
      <c r="B1515" s="82" t="s">
        <v>4779</v>
      </c>
      <c r="C1515" s="78" t="s">
        <v>147</v>
      </c>
      <c r="D1515" s="82" t="s">
        <v>4780</v>
      </c>
      <c r="E1515" s="82" t="s">
        <v>4781</v>
      </c>
      <c r="F1515" s="86" t="s">
        <v>1264</v>
      </c>
      <c r="G1515" s="82">
        <v>5.0</v>
      </c>
      <c r="H1515" s="82">
        <v>5.0</v>
      </c>
      <c r="I1515" s="82">
        <v>5.0</v>
      </c>
      <c r="J1515" s="152">
        <v>50.0</v>
      </c>
      <c r="K1515" s="84">
        <v>10.0</v>
      </c>
      <c r="L1515" s="155" t="s">
        <v>4738</v>
      </c>
    </row>
    <row r="1516" ht="15.0" customHeight="1">
      <c r="A1516" s="78" t="s">
        <v>4778</v>
      </c>
      <c r="B1516" s="82" t="s">
        <v>4779</v>
      </c>
      <c r="C1516" s="78" t="s">
        <v>147</v>
      </c>
      <c r="D1516" s="82" t="s">
        <v>4782</v>
      </c>
      <c r="E1516" s="82" t="s">
        <v>4783</v>
      </c>
      <c r="F1516" s="86" t="s">
        <v>1264</v>
      </c>
      <c r="G1516" s="82">
        <v>5.0</v>
      </c>
      <c r="H1516" s="82">
        <v>5.0</v>
      </c>
      <c r="I1516" s="82">
        <v>5.0</v>
      </c>
      <c r="J1516" s="152">
        <v>50.0</v>
      </c>
      <c r="K1516" s="84">
        <v>10.0</v>
      </c>
      <c r="L1516" s="155" t="s">
        <v>4738</v>
      </c>
    </row>
    <row r="1517" ht="15.0" customHeight="1">
      <c r="A1517" s="78" t="s">
        <v>4784</v>
      </c>
      <c r="B1517" s="82" t="s">
        <v>4785</v>
      </c>
      <c r="C1517" s="78" t="s">
        <v>147</v>
      </c>
      <c r="D1517" s="82" t="s">
        <v>4786</v>
      </c>
      <c r="E1517" s="82" t="s">
        <v>4787</v>
      </c>
      <c r="F1517" s="86" t="s">
        <v>1264</v>
      </c>
      <c r="G1517" s="82">
        <v>6.0</v>
      </c>
      <c r="H1517" s="82">
        <v>6.0</v>
      </c>
      <c r="I1517" s="82">
        <v>6.0</v>
      </c>
      <c r="J1517" s="152">
        <v>50.0</v>
      </c>
      <c r="K1517" s="84">
        <v>8.33</v>
      </c>
      <c r="L1517" s="155" t="s">
        <v>4738</v>
      </c>
    </row>
    <row r="1518" ht="15.0" customHeight="1">
      <c r="A1518" s="78" t="s">
        <v>4784</v>
      </c>
      <c r="B1518" s="82" t="s">
        <v>4785</v>
      </c>
      <c r="C1518" s="78" t="s">
        <v>147</v>
      </c>
      <c r="D1518" s="82" t="s">
        <v>4788</v>
      </c>
      <c r="E1518" s="82" t="s">
        <v>4789</v>
      </c>
      <c r="F1518" s="86" t="s">
        <v>1264</v>
      </c>
      <c r="G1518" s="82">
        <v>6.0</v>
      </c>
      <c r="H1518" s="82">
        <v>6.0</v>
      </c>
      <c r="I1518" s="82">
        <v>6.0</v>
      </c>
      <c r="J1518" s="152">
        <v>50.0</v>
      </c>
      <c r="K1518" s="84">
        <v>8.33</v>
      </c>
      <c r="L1518" s="155" t="s">
        <v>4738</v>
      </c>
    </row>
    <row r="1519" ht="15.0" customHeight="1">
      <c r="A1519" s="78" t="s">
        <v>4784</v>
      </c>
      <c r="B1519" s="82" t="s">
        <v>4785</v>
      </c>
      <c r="C1519" s="78" t="s">
        <v>147</v>
      </c>
      <c r="D1519" s="82" t="s">
        <v>4790</v>
      </c>
      <c r="E1519" s="82" t="s">
        <v>4791</v>
      </c>
      <c r="F1519" s="86" t="s">
        <v>259</v>
      </c>
      <c r="G1519" s="82">
        <v>6.0</v>
      </c>
      <c r="H1519" s="82">
        <v>6.0</v>
      </c>
      <c r="I1519" s="82">
        <v>6.0</v>
      </c>
      <c r="J1519" s="152">
        <v>50.0</v>
      </c>
      <c r="K1519" s="84">
        <v>8.33</v>
      </c>
      <c r="L1519" s="155" t="s">
        <v>4738</v>
      </c>
    </row>
    <row r="1520" ht="15.0" customHeight="1">
      <c r="A1520" s="78" t="s">
        <v>4784</v>
      </c>
      <c r="B1520" s="82" t="s">
        <v>4785</v>
      </c>
      <c r="C1520" s="78" t="s">
        <v>147</v>
      </c>
      <c r="D1520" s="82" t="s">
        <v>4792</v>
      </c>
      <c r="E1520" s="82" t="s">
        <v>4793</v>
      </c>
      <c r="F1520" s="86" t="s">
        <v>259</v>
      </c>
      <c r="G1520" s="82">
        <v>6.0</v>
      </c>
      <c r="H1520" s="82">
        <v>6.0</v>
      </c>
      <c r="I1520" s="82">
        <v>6.0</v>
      </c>
      <c r="J1520" s="152">
        <v>50.0</v>
      </c>
      <c r="K1520" s="84">
        <v>8.33</v>
      </c>
      <c r="L1520" s="155" t="s">
        <v>4738</v>
      </c>
    </row>
    <row r="1521" ht="15.0" customHeight="1">
      <c r="A1521" s="78" t="s">
        <v>4784</v>
      </c>
      <c r="B1521" s="82" t="s">
        <v>4785</v>
      </c>
      <c r="C1521" s="78" t="s">
        <v>147</v>
      </c>
      <c r="D1521" s="82" t="s">
        <v>4794</v>
      </c>
      <c r="E1521" s="82" t="s">
        <v>4795</v>
      </c>
      <c r="F1521" s="86" t="s">
        <v>259</v>
      </c>
      <c r="G1521" s="82">
        <v>6.0</v>
      </c>
      <c r="H1521" s="82">
        <v>6.0</v>
      </c>
      <c r="I1521" s="82">
        <v>6.0</v>
      </c>
      <c r="J1521" s="152">
        <v>50.0</v>
      </c>
      <c r="K1521" s="84">
        <v>8.33</v>
      </c>
      <c r="L1521" s="155" t="s">
        <v>4738</v>
      </c>
    </row>
    <row r="1522" ht="15.0" customHeight="1">
      <c r="A1522" s="78" t="s">
        <v>4796</v>
      </c>
      <c r="B1522" s="82" t="s">
        <v>4797</v>
      </c>
      <c r="C1522" s="78" t="s">
        <v>147</v>
      </c>
      <c r="D1522" s="82" t="s">
        <v>4798</v>
      </c>
      <c r="E1522" s="82" t="s">
        <v>4799</v>
      </c>
      <c r="F1522" s="86" t="s">
        <v>1264</v>
      </c>
      <c r="G1522" s="82">
        <v>5.0</v>
      </c>
      <c r="H1522" s="82">
        <v>5.0</v>
      </c>
      <c r="I1522" s="82">
        <v>5.0</v>
      </c>
      <c r="J1522" s="152">
        <v>50.0</v>
      </c>
      <c r="K1522" s="84">
        <v>10.0</v>
      </c>
      <c r="L1522" s="155" t="s">
        <v>4738</v>
      </c>
    </row>
    <row r="1523" ht="15.0" customHeight="1">
      <c r="A1523" s="78" t="s">
        <v>4796</v>
      </c>
      <c r="B1523" s="82" t="s">
        <v>4797</v>
      </c>
      <c r="C1523" s="78" t="s">
        <v>147</v>
      </c>
      <c r="D1523" s="82" t="s">
        <v>4800</v>
      </c>
      <c r="E1523" s="82" t="s">
        <v>4801</v>
      </c>
      <c r="F1523" s="86" t="s">
        <v>1264</v>
      </c>
      <c r="G1523" s="82">
        <v>5.0</v>
      </c>
      <c r="H1523" s="82">
        <v>5.0</v>
      </c>
      <c r="I1523" s="82">
        <v>5.0</v>
      </c>
      <c r="J1523" s="152">
        <v>50.0</v>
      </c>
      <c r="K1523" s="84">
        <v>10.0</v>
      </c>
      <c r="L1523" s="155" t="s">
        <v>4738</v>
      </c>
    </row>
    <row r="1524" ht="15.0" customHeight="1">
      <c r="A1524" s="78" t="s">
        <v>4802</v>
      </c>
      <c r="B1524" s="82" t="s">
        <v>4803</v>
      </c>
      <c r="C1524" s="78" t="s">
        <v>147</v>
      </c>
      <c r="D1524" s="82" t="s">
        <v>4804</v>
      </c>
      <c r="E1524" s="82" t="s">
        <v>4805</v>
      </c>
      <c r="F1524" s="86" t="s">
        <v>1264</v>
      </c>
      <c r="G1524" s="82">
        <v>3.0</v>
      </c>
      <c r="H1524" s="82">
        <v>3.0</v>
      </c>
      <c r="I1524" s="82">
        <v>3.0</v>
      </c>
      <c r="J1524" s="152">
        <v>50.0</v>
      </c>
      <c r="K1524" s="84">
        <v>16.67</v>
      </c>
      <c r="L1524" s="155" t="s">
        <v>4738</v>
      </c>
    </row>
    <row r="1525" ht="15.0" customHeight="1">
      <c r="A1525" s="78" t="s">
        <v>4806</v>
      </c>
      <c r="B1525" s="82" t="s">
        <v>4807</v>
      </c>
      <c r="C1525" s="78" t="s">
        <v>147</v>
      </c>
      <c r="D1525" s="82" t="s">
        <v>4808</v>
      </c>
      <c r="E1525" s="82" t="s">
        <v>4809</v>
      </c>
      <c r="F1525" s="86" t="s">
        <v>1264</v>
      </c>
      <c r="G1525" s="82">
        <v>2.0</v>
      </c>
      <c r="H1525" s="82">
        <v>2.0</v>
      </c>
      <c r="I1525" s="82">
        <v>2.0</v>
      </c>
      <c r="J1525" s="152">
        <v>50.0</v>
      </c>
      <c r="K1525" s="84">
        <v>25.0</v>
      </c>
      <c r="L1525" s="155" t="s">
        <v>4738</v>
      </c>
    </row>
    <row r="1526" ht="15.0" customHeight="1">
      <c r="A1526" s="78" t="s">
        <v>4810</v>
      </c>
      <c r="B1526" s="82" t="s">
        <v>4811</v>
      </c>
      <c r="C1526" s="78" t="s">
        <v>147</v>
      </c>
      <c r="D1526" s="82" t="s">
        <v>4812</v>
      </c>
      <c r="E1526" s="82" t="s">
        <v>4813</v>
      </c>
      <c r="F1526" s="86" t="s">
        <v>1264</v>
      </c>
      <c r="G1526" s="82">
        <v>2.0</v>
      </c>
      <c r="H1526" s="82">
        <v>2.0</v>
      </c>
      <c r="I1526" s="82">
        <v>4.0</v>
      </c>
      <c r="J1526" s="152">
        <v>50.0</v>
      </c>
      <c r="K1526" s="84">
        <v>25.0</v>
      </c>
      <c r="L1526" s="155" t="s">
        <v>4738</v>
      </c>
    </row>
    <row r="1527" ht="15.0" customHeight="1">
      <c r="A1527" s="78" t="s">
        <v>4810</v>
      </c>
      <c r="B1527" s="82" t="s">
        <v>4811</v>
      </c>
      <c r="C1527" s="78" t="s">
        <v>147</v>
      </c>
      <c r="D1527" s="82" t="s">
        <v>4814</v>
      </c>
      <c r="E1527" s="82" t="s">
        <v>4815</v>
      </c>
      <c r="F1527" s="86" t="s">
        <v>259</v>
      </c>
      <c r="G1527" s="82">
        <v>2.0</v>
      </c>
      <c r="H1527" s="82">
        <v>2.0</v>
      </c>
      <c r="I1527" s="82">
        <v>4.0</v>
      </c>
      <c r="J1527" s="152">
        <v>50.0</v>
      </c>
      <c r="K1527" s="84">
        <v>25.0</v>
      </c>
      <c r="L1527" s="155" t="s">
        <v>4738</v>
      </c>
    </row>
    <row r="1528" ht="15.0" customHeight="1">
      <c r="A1528" s="78" t="s">
        <v>4816</v>
      </c>
      <c r="B1528" s="82" t="s">
        <v>4817</v>
      </c>
      <c r="C1528" s="78" t="s">
        <v>147</v>
      </c>
      <c r="D1528" s="82" t="s">
        <v>4818</v>
      </c>
      <c r="E1528" s="82" t="s">
        <v>2710</v>
      </c>
      <c r="F1528" s="86" t="s">
        <v>259</v>
      </c>
      <c r="G1528" s="82">
        <v>3.0</v>
      </c>
      <c r="H1528" s="82">
        <v>1.0</v>
      </c>
      <c r="I1528" s="82">
        <v>3.0</v>
      </c>
      <c r="J1528" s="152">
        <v>50.0</v>
      </c>
      <c r="K1528" s="84">
        <v>16.67</v>
      </c>
      <c r="L1528" s="155" t="s">
        <v>4738</v>
      </c>
    </row>
    <row r="1529" ht="15.0" customHeight="1">
      <c r="A1529" s="78" t="s">
        <v>4816</v>
      </c>
      <c r="B1529" s="82" t="s">
        <v>4817</v>
      </c>
      <c r="C1529" s="78" t="s">
        <v>147</v>
      </c>
      <c r="D1529" s="82" t="s">
        <v>4819</v>
      </c>
      <c r="E1529" s="82" t="s">
        <v>4820</v>
      </c>
      <c r="F1529" s="86" t="s">
        <v>1264</v>
      </c>
      <c r="G1529" s="82">
        <v>3.0</v>
      </c>
      <c r="H1529" s="82">
        <v>1.0</v>
      </c>
      <c r="I1529" s="82">
        <v>3.0</v>
      </c>
      <c r="J1529" s="152">
        <v>50.0</v>
      </c>
      <c r="K1529" s="84">
        <v>16.67</v>
      </c>
      <c r="L1529" s="155" t="s">
        <v>4738</v>
      </c>
    </row>
    <row r="1530" ht="15.0" customHeight="1">
      <c r="A1530" s="78" t="s">
        <v>4816</v>
      </c>
      <c r="B1530" s="82" t="s">
        <v>4817</v>
      </c>
      <c r="C1530" s="78" t="s">
        <v>147</v>
      </c>
      <c r="D1530" s="82" t="s">
        <v>4821</v>
      </c>
      <c r="E1530" s="82" t="s">
        <v>4822</v>
      </c>
      <c r="F1530" s="86" t="s">
        <v>1264</v>
      </c>
      <c r="G1530" s="82">
        <v>3.0</v>
      </c>
      <c r="H1530" s="82">
        <v>1.0</v>
      </c>
      <c r="I1530" s="82">
        <v>3.0</v>
      </c>
      <c r="J1530" s="152">
        <v>50.0</v>
      </c>
      <c r="K1530" s="84">
        <v>16.67</v>
      </c>
      <c r="L1530" s="155" t="s">
        <v>4738</v>
      </c>
    </row>
    <row r="1531" ht="15.0" customHeight="1">
      <c r="A1531" s="78" t="s">
        <v>4816</v>
      </c>
      <c r="B1531" s="82" t="s">
        <v>4817</v>
      </c>
      <c r="C1531" s="78" t="s">
        <v>147</v>
      </c>
      <c r="D1531" s="82" t="s">
        <v>4823</v>
      </c>
      <c r="E1531" s="82" t="s">
        <v>4824</v>
      </c>
      <c r="F1531" s="86" t="s">
        <v>259</v>
      </c>
      <c r="G1531" s="82">
        <v>3.0</v>
      </c>
      <c r="H1531" s="82">
        <v>1.0</v>
      </c>
      <c r="I1531" s="82">
        <v>3.0</v>
      </c>
      <c r="J1531" s="152">
        <v>50.0</v>
      </c>
      <c r="K1531" s="84">
        <v>16.67</v>
      </c>
      <c r="L1531" s="155" t="s">
        <v>4738</v>
      </c>
    </row>
    <row r="1532" ht="15.0" customHeight="1">
      <c r="A1532" s="78" t="s">
        <v>4816</v>
      </c>
      <c r="B1532" s="82" t="s">
        <v>4817</v>
      </c>
      <c r="C1532" s="78" t="s">
        <v>147</v>
      </c>
      <c r="D1532" s="82" t="s">
        <v>4825</v>
      </c>
      <c r="E1532" s="82" t="s">
        <v>4826</v>
      </c>
      <c r="F1532" s="86" t="s">
        <v>1264</v>
      </c>
      <c r="G1532" s="82">
        <v>3.0</v>
      </c>
      <c r="H1532" s="82">
        <v>1.0</v>
      </c>
      <c r="I1532" s="82">
        <v>3.0</v>
      </c>
      <c r="J1532" s="152">
        <v>50.0</v>
      </c>
      <c r="K1532" s="84">
        <v>16.67</v>
      </c>
      <c r="L1532" s="155" t="s">
        <v>4738</v>
      </c>
    </row>
    <row r="1533" ht="15.0" customHeight="1">
      <c r="A1533" s="78" t="s">
        <v>4816</v>
      </c>
      <c r="B1533" s="82" t="s">
        <v>4817</v>
      </c>
      <c r="C1533" s="78" t="s">
        <v>147</v>
      </c>
      <c r="D1533" s="82" t="s">
        <v>4827</v>
      </c>
      <c r="E1533" s="82" t="s">
        <v>4828</v>
      </c>
      <c r="F1533" s="86" t="s">
        <v>259</v>
      </c>
      <c r="G1533" s="82">
        <v>3.0</v>
      </c>
      <c r="H1533" s="82">
        <v>1.0</v>
      </c>
      <c r="I1533" s="82">
        <v>3.0</v>
      </c>
      <c r="J1533" s="152">
        <v>50.0</v>
      </c>
      <c r="K1533" s="84">
        <v>16.67</v>
      </c>
      <c r="L1533" s="155" t="s">
        <v>4738</v>
      </c>
    </row>
    <row r="1534" ht="15.0" customHeight="1">
      <c r="A1534" s="78" t="s">
        <v>4816</v>
      </c>
      <c r="B1534" s="82" t="s">
        <v>4817</v>
      </c>
      <c r="C1534" s="78" t="s">
        <v>147</v>
      </c>
      <c r="D1534" s="82" t="s">
        <v>4829</v>
      </c>
      <c r="E1534" s="82" t="s">
        <v>4830</v>
      </c>
      <c r="F1534" s="86" t="s">
        <v>259</v>
      </c>
      <c r="G1534" s="82">
        <v>3.0</v>
      </c>
      <c r="H1534" s="82">
        <v>1.0</v>
      </c>
      <c r="I1534" s="82">
        <v>3.0</v>
      </c>
      <c r="J1534" s="152">
        <v>50.0</v>
      </c>
      <c r="K1534" s="84">
        <v>16.66</v>
      </c>
      <c r="L1534" s="155" t="s">
        <v>4738</v>
      </c>
    </row>
    <row r="1535" ht="15.0" customHeight="1">
      <c r="A1535" s="78" t="s">
        <v>4816</v>
      </c>
      <c r="B1535" s="82" t="s">
        <v>4817</v>
      </c>
      <c r="C1535" s="78" t="s">
        <v>147</v>
      </c>
      <c r="D1535" s="82" t="s">
        <v>4831</v>
      </c>
      <c r="E1535" s="82" t="s">
        <v>4832</v>
      </c>
      <c r="F1535" s="86" t="s">
        <v>259</v>
      </c>
      <c r="G1535" s="82">
        <v>3.0</v>
      </c>
      <c r="H1535" s="82">
        <v>1.0</v>
      </c>
      <c r="I1535" s="82">
        <v>3.0</v>
      </c>
      <c r="J1535" s="152">
        <v>50.0</v>
      </c>
      <c r="K1535" s="84">
        <v>16.66</v>
      </c>
      <c r="L1535" s="155" t="s">
        <v>4738</v>
      </c>
    </row>
    <row r="1536" ht="15.0" customHeight="1">
      <c r="A1536" s="82" t="s">
        <v>4833</v>
      </c>
      <c r="B1536" s="82" t="s">
        <v>4834</v>
      </c>
      <c r="C1536" s="82" t="s">
        <v>147</v>
      </c>
      <c r="D1536" s="82" t="s">
        <v>4835</v>
      </c>
      <c r="E1536" s="95" t="s">
        <v>4836</v>
      </c>
      <c r="F1536" s="82" t="s">
        <v>1264</v>
      </c>
      <c r="G1536" s="82">
        <v>3.0</v>
      </c>
      <c r="H1536" s="82">
        <v>3.0</v>
      </c>
      <c r="I1536" s="85">
        <v>3.0</v>
      </c>
      <c r="J1536" s="85">
        <v>50.0</v>
      </c>
      <c r="K1536" s="91">
        <v>16.66</v>
      </c>
      <c r="L1536" s="155" t="s">
        <v>156</v>
      </c>
    </row>
    <row r="1537" ht="15.0" customHeight="1">
      <c r="A1537" s="82" t="s">
        <v>4833</v>
      </c>
      <c r="B1537" s="82" t="s">
        <v>4834</v>
      </c>
      <c r="C1537" s="82" t="s">
        <v>147</v>
      </c>
      <c r="D1537" s="82" t="s">
        <v>4837</v>
      </c>
      <c r="E1537" s="95" t="s">
        <v>4838</v>
      </c>
      <c r="F1537" s="82" t="s">
        <v>314</v>
      </c>
      <c r="G1537" s="82">
        <v>3.0</v>
      </c>
      <c r="H1537" s="82">
        <v>3.0</v>
      </c>
      <c r="I1537" s="85">
        <v>3.0</v>
      </c>
      <c r="J1537" s="85">
        <v>50.0</v>
      </c>
      <c r="K1537" s="91">
        <v>16.67</v>
      </c>
      <c r="L1537" s="155" t="s">
        <v>156</v>
      </c>
    </row>
    <row r="1538" ht="15.0" customHeight="1">
      <c r="A1538" s="82" t="s">
        <v>4839</v>
      </c>
      <c r="B1538" s="82" t="s">
        <v>4840</v>
      </c>
      <c r="C1538" s="82" t="s">
        <v>147</v>
      </c>
      <c r="D1538" s="82" t="s">
        <v>4841</v>
      </c>
      <c r="E1538" s="95" t="s">
        <v>4842</v>
      </c>
      <c r="F1538" s="86" t="s">
        <v>259</v>
      </c>
      <c r="G1538" s="82">
        <v>4.0</v>
      </c>
      <c r="H1538" s="82">
        <v>4.0</v>
      </c>
      <c r="I1538" s="82">
        <v>4.0</v>
      </c>
      <c r="J1538" s="152">
        <v>50.0</v>
      </c>
      <c r="K1538" s="91">
        <v>12.5</v>
      </c>
      <c r="L1538" s="155" t="s">
        <v>156</v>
      </c>
    </row>
    <row r="1539" ht="15.0" customHeight="1">
      <c r="A1539" s="82" t="s">
        <v>4833</v>
      </c>
      <c r="B1539" s="78" t="s">
        <v>4834</v>
      </c>
      <c r="C1539" s="78" t="s">
        <v>147</v>
      </c>
      <c r="D1539" s="82" t="s">
        <v>4843</v>
      </c>
      <c r="E1539" s="82" t="s">
        <v>4844</v>
      </c>
      <c r="F1539" s="86" t="s">
        <v>259</v>
      </c>
      <c r="G1539" s="82">
        <v>3.0</v>
      </c>
      <c r="H1539" s="82">
        <v>3.0</v>
      </c>
      <c r="I1539" s="82">
        <v>3.0</v>
      </c>
      <c r="J1539" s="152">
        <v>50.0</v>
      </c>
      <c r="K1539" s="84">
        <v>16.66</v>
      </c>
      <c r="L1539" s="155" t="s">
        <v>4845</v>
      </c>
    </row>
    <row r="1540" ht="15.0" customHeight="1">
      <c r="A1540" s="82" t="s">
        <v>4833</v>
      </c>
      <c r="B1540" s="82" t="s">
        <v>4834</v>
      </c>
      <c r="C1540" s="82" t="s">
        <v>147</v>
      </c>
      <c r="D1540" s="82" t="s">
        <v>4846</v>
      </c>
      <c r="E1540" s="82" t="s">
        <v>4847</v>
      </c>
      <c r="F1540" s="86" t="s">
        <v>259</v>
      </c>
      <c r="G1540" s="82">
        <v>3.0</v>
      </c>
      <c r="H1540" s="82">
        <v>3.0</v>
      </c>
      <c r="I1540" s="82">
        <v>3.0</v>
      </c>
      <c r="J1540" s="152">
        <v>50.0</v>
      </c>
      <c r="K1540" s="84">
        <v>16.66</v>
      </c>
      <c r="L1540" s="155" t="s">
        <v>4845</v>
      </c>
    </row>
    <row r="1541" ht="15.0" customHeight="1">
      <c r="A1541" s="82" t="s">
        <v>4839</v>
      </c>
      <c r="B1541" s="82" t="s">
        <v>4840</v>
      </c>
      <c r="C1541" s="82" t="s">
        <v>147</v>
      </c>
      <c r="D1541" s="82" t="s">
        <v>4848</v>
      </c>
      <c r="E1541" s="82" t="s">
        <v>4849</v>
      </c>
      <c r="F1541" s="86" t="s">
        <v>259</v>
      </c>
      <c r="G1541" s="82">
        <v>4.0</v>
      </c>
      <c r="H1541" s="82">
        <v>4.0</v>
      </c>
      <c r="I1541" s="82">
        <v>4.0</v>
      </c>
      <c r="J1541" s="152">
        <v>50.0</v>
      </c>
      <c r="K1541" s="84">
        <v>12.5</v>
      </c>
      <c r="L1541" s="155" t="s">
        <v>4845</v>
      </c>
    </row>
    <row r="1542" ht="15.0" customHeight="1">
      <c r="A1542" s="82" t="s">
        <v>4850</v>
      </c>
      <c r="B1542" s="82" t="s">
        <v>4851</v>
      </c>
      <c r="C1542" s="82" t="s">
        <v>147</v>
      </c>
      <c r="D1542" s="82" t="s">
        <v>4852</v>
      </c>
      <c r="E1542" s="82" t="s">
        <v>4853</v>
      </c>
      <c r="F1542" s="86" t="s">
        <v>1833</v>
      </c>
      <c r="G1542" s="82">
        <v>2.0</v>
      </c>
      <c r="H1542" s="82">
        <v>2.0</v>
      </c>
      <c r="I1542" s="82">
        <v>3.0</v>
      </c>
      <c r="J1542" s="152">
        <v>50.0</v>
      </c>
      <c r="K1542" s="84">
        <v>25.0</v>
      </c>
      <c r="L1542" s="155" t="s">
        <v>158</v>
      </c>
    </row>
    <row r="1543" ht="15.0" customHeight="1">
      <c r="A1543" s="82" t="s">
        <v>4833</v>
      </c>
      <c r="B1543" s="82" t="s">
        <v>4834</v>
      </c>
      <c r="C1543" s="82" t="s">
        <v>147</v>
      </c>
      <c r="D1543" s="82" t="s">
        <v>4843</v>
      </c>
      <c r="E1543" s="82" t="s">
        <v>4844</v>
      </c>
      <c r="F1543" s="86" t="s">
        <v>259</v>
      </c>
      <c r="G1543" s="82">
        <v>3.0</v>
      </c>
      <c r="H1543" s="82">
        <v>3.0</v>
      </c>
      <c r="I1543" s="82">
        <v>3.0</v>
      </c>
      <c r="J1543" s="152">
        <v>50.0</v>
      </c>
      <c r="K1543" s="84">
        <v>16.66</v>
      </c>
      <c r="L1543" s="155" t="s">
        <v>158</v>
      </c>
    </row>
    <row r="1544" ht="15.0" customHeight="1">
      <c r="A1544" s="82" t="s">
        <v>4833</v>
      </c>
      <c r="B1544" s="82" t="s">
        <v>4834</v>
      </c>
      <c r="C1544" s="82" t="s">
        <v>147</v>
      </c>
      <c r="D1544" s="82" t="s">
        <v>4846</v>
      </c>
      <c r="E1544" s="82" t="s">
        <v>4847</v>
      </c>
      <c r="F1544" s="86" t="s">
        <v>259</v>
      </c>
      <c r="G1544" s="82">
        <v>3.0</v>
      </c>
      <c r="H1544" s="82">
        <v>3.0</v>
      </c>
      <c r="I1544" s="82">
        <v>3.0</v>
      </c>
      <c r="J1544" s="152">
        <v>50.0</v>
      </c>
      <c r="K1544" s="84">
        <v>16.66</v>
      </c>
      <c r="L1544" s="155" t="s">
        <v>158</v>
      </c>
    </row>
    <row r="1545" ht="15.0" customHeight="1">
      <c r="A1545" s="82" t="s">
        <v>4839</v>
      </c>
      <c r="B1545" s="82" t="s">
        <v>4840</v>
      </c>
      <c r="C1545" s="82" t="s">
        <v>147</v>
      </c>
      <c r="D1545" s="82" t="s">
        <v>4848</v>
      </c>
      <c r="E1545" s="82" t="s">
        <v>4849</v>
      </c>
      <c r="F1545" s="86" t="s">
        <v>259</v>
      </c>
      <c r="G1545" s="82">
        <v>4.0</v>
      </c>
      <c r="H1545" s="82">
        <v>4.0</v>
      </c>
      <c r="I1545" s="82">
        <v>4.0</v>
      </c>
      <c r="J1545" s="152">
        <v>50.0</v>
      </c>
      <c r="K1545" s="84" t="s">
        <v>4854</v>
      </c>
      <c r="L1545" s="155" t="s">
        <v>158</v>
      </c>
    </row>
    <row r="1546" ht="15.0" customHeight="1">
      <c r="A1546" s="82" t="s">
        <v>4855</v>
      </c>
      <c r="B1546" s="82" t="s">
        <v>4856</v>
      </c>
      <c r="C1546" s="82" t="s">
        <v>147</v>
      </c>
      <c r="D1546" s="82" t="s">
        <v>4857</v>
      </c>
      <c r="E1546" s="82" t="s">
        <v>4858</v>
      </c>
      <c r="F1546" s="86" t="s">
        <v>259</v>
      </c>
      <c r="G1546" s="82">
        <v>2.0</v>
      </c>
      <c r="H1546" s="82">
        <v>2.0</v>
      </c>
      <c r="I1546" s="82">
        <v>5.0</v>
      </c>
      <c r="J1546" s="152">
        <v>50.0</v>
      </c>
      <c r="K1546" s="84">
        <v>25.0</v>
      </c>
      <c r="L1546" s="155" t="s">
        <v>159</v>
      </c>
    </row>
    <row r="1547" ht="15.0" customHeight="1">
      <c r="A1547" s="82" t="s">
        <v>4859</v>
      </c>
      <c r="B1547" s="82" t="s">
        <v>4860</v>
      </c>
      <c r="C1547" s="82" t="s">
        <v>147</v>
      </c>
      <c r="D1547" s="82" t="s">
        <v>4857</v>
      </c>
      <c r="E1547" s="82" t="s">
        <v>4858</v>
      </c>
      <c r="F1547" s="86" t="s">
        <v>259</v>
      </c>
      <c r="G1547" s="82">
        <v>3.0</v>
      </c>
      <c r="H1547" s="82">
        <v>3.0</v>
      </c>
      <c r="I1547" s="82">
        <v>5.0</v>
      </c>
      <c r="J1547" s="152">
        <v>50.0</v>
      </c>
      <c r="K1547" s="84">
        <v>16.67</v>
      </c>
      <c r="L1547" s="155" t="s">
        <v>159</v>
      </c>
    </row>
    <row r="1548" ht="15.0" customHeight="1">
      <c r="A1548" s="82" t="s">
        <v>4859</v>
      </c>
      <c r="B1548" s="82" t="s">
        <v>4860</v>
      </c>
      <c r="C1548" s="82" t="s">
        <v>147</v>
      </c>
      <c r="D1548" s="82" t="s">
        <v>4861</v>
      </c>
      <c r="E1548" s="82" t="s">
        <v>4862</v>
      </c>
      <c r="F1548" s="86" t="s">
        <v>259</v>
      </c>
      <c r="G1548" s="82">
        <v>3.0</v>
      </c>
      <c r="H1548" s="82">
        <v>3.0</v>
      </c>
      <c r="I1548" s="82">
        <v>5.0</v>
      </c>
      <c r="J1548" s="152">
        <v>50.0</v>
      </c>
      <c r="K1548" s="84">
        <v>16.67</v>
      </c>
      <c r="L1548" s="155" t="s">
        <v>159</v>
      </c>
    </row>
    <row r="1549" ht="15.0" customHeight="1">
      <c r="A1549" s="82" t="s">
        <v>4863</v>
      </c>
      <c r="B1549" s="82" t="s">
        <v>4864</v>
      </c>
      <c r="C1549" s="82" t="s">
        <v>147</v>
      </c>
      <c r="D1549" s="82" t="s">
        <v>4865</v>
      </c>
      <c r="E1549" s="82" t="s">
        <v>4866</v>
      </c>
      <c r="F1549" s="86" t="s">
        <v>259</v>
      </c>
      <c r="G1549" s="82">
        <v>6.0</v>
      </c>
      <c r="H1549" s="82">
        <v>6.0</v>
      </c>
      <c r="I1549" s="82">
        <v>6.0</v>
      </c>
      <c r="J1549" s="152">
        <v>50.0</v>
      </c>
      <c r="K1549" s="84">
        <v>8.33</v>
      </c>
      <c r="L1549" s="155" t="s">
        <v>159</v>
      </c>
    </row>
    <row r="1550" ht="15.0" customHeight="1">
      <c r="A1550" s="82" t="s">
        <v>4867</v>
      </c>
      <c r="B1550" s="82" t="s">
        <v>4868</v>
      </c>
      <c r="C1550" s="82" t="s">
        <v>147</v>
      </c>
      <c r="D1550" s="82" t="s">
        <v>4869</v>
      </c>
      <c r="E1550" s="82" t="s">
        <v>4870</v>
      </c>
      <c r="F1550" s="86" t="s">
        <v>1264</v>
      </c>
      <c r="G1550" s="82">
        <v>2.0</v>
      </c>
      <c r="H1550" s="82">
        <v>2.0</v>
      </c>
      <c r="I1550" s="82">
        <v>2.0</v>
      </c>
      <c r="J1550" s="152">
        <v>50.0</v>
      </c>
      <c r="K1550" s="84">
        <v>25.0</v>
      </c>
      <c r="L1550" s="155" t="s">
        <v>159</v>
      </c>
    </row>
    <row r="1551" ht="15.0" customHeight="1">
      <c r="A1551" s="82" t="s">
        <v>4871</v>
      </c>
      <c r="B1551" s="82" t="s">
        <v>4872</v>
      </c>
      <c r="C1551" s="82" t="s">
        <v>147</v>
      </c>
      <c r="D1551" s="82" t="s">
        <v>4873</v>
      </c>
      <c r="E1551" s="82" t="s">
        <v>4874</v>
      </c>
      <c r="F1551" s="86" t="s">
        <v>259</v>
      </c>
      <c r="G1551" s="82">
        <v>2.0</v>
      </c>
      <c r="H1551" s="82">
        <v>2.0</v>
      </c>
      <c r="I1551" s="82">
        <v>2.0</v>
      </c>
      <c r="J1551" s="152">
        <v>50.0</v>
      </c>
      <c r="K1551" s="84">
        <v>25.0</v>
      </c>
      <c r="L1551" s="155" t="s">
        <v>159</v>
      </c>
    </row>
    <row r="1552" ht="15.0" customHeight="1">
      <c r="A1552" s="82" t="s">
        <v>4863</v>
      </c>
      <c r="B1552" s="82" t="s">
        <v>4864</v>
      </c>
      <c r="C1552" s="82" t="s">
        <v>147</v>
      </c>
      <c r="D1552" s="82" t="s">
        <v>4875</v>
      </c>
      <c r="E1552" s="82" t="s">
        <v>4795</v>
      </c>
      <c r="F1552" s="86" t="s">
        <v>259</v>
      </c>
      <c r="G1552" s="82">
        <v>6.0</v>
      </c>
      <c r="H1552" s="82">
        <v>6.0</v>
      </c>
      <c r="I1552" s="82">
        <v>6.0</v>
      </c>
      <c r="J1552" s="152">
        <v>50.0</v>
      </c>
      <c r="K1552" s="84">
        <v>8.33</v>
      </c>
      <c r="L1552" s="155" t="s">
        <v>159</v>
      </c>
    </row>
    <row r="1553" ht="15.0" customHeight="1">
      <c r="A1553" s="82" t="s">
        <v>4876</v>
      </c>
      <c r="B1553" s="82" t="s">
        <v>4877</v>
      </c>
      <c r="C1553" s="82" t="s">
        <v>147</v>
      </c>
      <c r="D1553" s="82" t="s">
        <v>4878</v>
      </c>
      <c r="E1553" s="82" t="s">
        <v>4783</v>
      </c>
      <c r="F1553" s="86" t="s">
        <v>1264</v>
      </c>
      <c r="G1553" s="82">
        <v>5.0</v>
      </c>
      <c r="H1553" s="82">
        <v>5.0</v>
      </c>
      <c r="I1553" s="82">
        <v>5.0</v>
      </c>
      <c r="J1553" s="152">
        <v>50.0</v>
      </c>
      <c r="K1553" s="84">
        <v>10.0</v>
      </c>
      <c r="L1553" s="155" t="s">
        <v>159</v>
      </c>
    </row>
    <row r="1554" ht="15.0" customHeight="1">
      <c r="A1554" s="82" t="s">
        <v>4879</v>
      </c>
      <c r="B1554" s="82" t="s">
        <v>4880</v>
      </c>
      <c r="C1554" s="82" t="s">
        <v>147</v>
      </c>
      <c r="D1554" s="82" t="s">
        <v>4881</v>
      </c>
      <c r="E1554" s="82" t="s">
        <v>4882</v>
      </c>
      <c r="F1554" s="86" t="s">
        <v>1264</v>
      </c>
      <c r="G1554" s="82">
        <v>3.0</v>
      </c>
      <c r="H1554" s="82">
        <v>3.0</v>
      </c>
      <c r="I1554" s="82">
        <v>3.0</v>
      </c>
      <c r="J1554" s="152">
        <v>50.0</v>
      </c>
      <c r="K1554" s="84">
        <v>16.67</v>
      </c>
      <c r="L1554" s="155" t="s">
        <v>159</v>
      </c>
    </row>
    <row r="1555" ht="15.0" customHeight="1">
      <c r="A1555" s="82" t="s">
        <v>4859</v>
      </c>
      <c r="B1555" s="82" t="s">
        <v>4883</v>
      </c>
      <c r="C1555" s="82" t="s">
        <v>147</v>
      </c>
      <c r="D1555" s="82" t="s">
        <v>4884</v>
      </c>
      <c r="E1555" s="82" t="s">
        <v>4443</v>
      </c>
      <c r="F1555" s="86" t="s">
        <v>1264</v>
      </c>
      <c r="G1555" s="82">
        <v>3.0</v>
      </c>
      <c r="H1555" s="82">
        <v>3.0</v>
      </c>
      <c r="I1555" s="82">
        <v>5.0</v>
      </c>
      <c r="J1555" s="152">
        <v>50.0</v>
      </c>
      <c r="K1555" s="84">
        <v>16.67</v>
      </c>
      <c r="L1555" s="155" t="s">
        <v>159</v>
      </c>
    </row>
    <row r="1556" ht="15.0" customHeight="1">
      <c r="A1556" s="82" t="s">
        <v>4859</v>
      </c>
      <c r="B1556" s="82" t="s">
        <v>4860</v>
      </c>
      <c r="C1556" s="82" t="s">
        <v>147</v>
      </c>
      <c r="D1556" s="82" t="s">
        <v>4885</v>
      </c>
      <c r="E1556" s="82" t="s">
        <v>4886</v>
      </c>
      <c r="F1556" s="86" t="s">
        <v>259</v>
      </c>
      <c r="G1556" s="82">
        <v>3.0</v>
      </c>
      <c r="H1556" s="82">
        <v>3.0</v>
      </c>
      <c r="I1556" s="82">
        <v>5.0</v>
      </c>
      <c r="J1556" s="152">
        <v>50.0</v>
      </c>
      <c r="K1556" s="84">
        <v>16.67</v>
      </c>
      <c r="L1556" s="155" t="s">
        <v>159</v>
      </c>
    </row>
    <row r="1557" ht="15.0" customHeight="1">
      <c r="A1557" s="82" t="s">
        <v>4887</v>
      </c>
      <c r="B1557" s="82" t="s">
        <v>4888</v>
      </c>
      <c r="C1557" s="82" t="s">
        <v>147</v>
      </c>
      <c r="D1557" s="82" t="s">
        <v>4889</v>
      </c>
      <c r="E1557" s="82" t="s">
        <v>4890</v>
      </c>
      <c r="F1557" s="86" t="s">
        <v>259</v>
      </c>
      <c r="G1557" s="82">
        <v>5.0</v>
      </c>
      <c r="H1557" s="82">
        <v>5.0</v>
      </c>
      <c r="I1557" s="82">
        <v>5.0</v>
      </c>
      <c r="J1557" s="152">
        <v>50.0</v>
      </c>
      <c r="K1557" s="84">
        <v>10.0</v>
      </c>
      <c r="L1557" s="155" t="s">
        <v>159</v>
      </c>
    </row>
    <row r="1558" ht="15.0" customHeight="1">
      <c r="A1558" s="82" t="s">
        <v>4859</v>
      </c>
      <c r="B1558" s="82" t="s">
        <v>4860</v>
      </c>
      <c r="C1558" s="82" t="s">
        <v>147</v>
      </c>
      <c r="D1558" s="82" t="s">
        <v>4891</v>
      </c>
      <c r="E1558" s="82" t="s">
        <v>4892</v>
      </c>
      <c r="F1558" s="86" t="s">
        <v>1264</v>
      </c>
      <c r="G1558" s="82">
        <v>3.0</v>
      </c>
      <c r="H1558" s="82">
        <v>3.0</v>
      </c>
      <c r="I1558" s="82">
        <v>5.0</v>
      </c>
      <c r="J1558" s="152">
        <v>50.0</v>
      </c>
      <c r="K1558" s="84">
        <v>16.67</v>
      </c>
      <c r="L1558" s="155" t="s">
        <v>159</v>
      </c>
    </row>
    <row r="1559" ht="15.0" customHeight="1">
      <c r="A1559" s="82" t="s">
        <v>4859</v>
      </c>
      <c r="B1559" s="82" t="s">
        <v>4860</v>
      </c>
      <c r="C1559" s="82" t="s">
        <v>147</v>
      </c>
      <c r="D1559" s="82" t="s">
        <v>4893</v>
      </c>
      <c r="E1559" s="82" t="s">
        <v>4894</v>
      </c>
      <c r="F1559" s="86" t="s">
        <v>1264</v>
      </c>
      <c r="G1559" s="82">
        <v>3.0</v>
      </c>
      <c r="H1559" s="82">
        <v>3.0</v>
      </c>
      <c r="I1559" s="82">
        <v>5.0</v>
      </c>
      <c r="J1559" s="152">
        <v>50.0</v>
      </c>
      <c r="K1559" s="84">
        <v>16.67</v>
      </c>
      <c r="L1559" s="155" t="s">
        <v>159</v>
      </c>
    </row>
    <row r="1560" ht="15.0" customHeight="1">
      <c r="A1560" s="82" t="s">
        <v>4895</v>
      </c>
      <c r="B1560" s="82" t="s">
        <v>4896</v>
      </c>
      <c r="C1560" s="82" t="s">
        <v>147</v>
      </c>
      <c r="D1560" s="82" t="s">
        <v>4897</v>
      </c>
      <c r="E1560" s="82" t="s">
        <v>4898</v>
      </c>
      <c r="F1560" s="86" t="s">
        <v>259</v>
      </c>
      <c r="G1560" s="82">
        <v>4.0</v>
      </c>
      <c r="H1560" s="82">
        <v>4.0</v>
      </c>
      <c r="I1560" s="82">
        <v>4.0</v>
      </c>
      <c r="J1560" s="152">
        <v>50.0</v>
      </c>
      <c r="K1560" s="84">
        <v>12.5</v>
      </c>
      <c r="L1560" s="155" t="s">
        <v>159</v>
      </c>
    </row>
    <row r="1561" ht="15.0" customHeight="1">
      <c r="A1561" s="82" t="s">
        <v>4863</v>
      </c>
      <c r="B1561" s="82" t="s">
        <v>4864</v>
      </c>
      <c r="C1561" s="82" t="s">
        <v>147</v>
      </c>
      <c r="D1561" s="82" t="s">
        <v>4899</v>
      </c>
      <c r="E1561" s="82" t="s">
        <v>4791</v>
      </c>
      <c r="F1561" s="86" t="s">
        <v>259</v>
      </c>
      <c r="G1561" s="82">
        <v>6.0</v>
      </c>
      <c r="H1561" s="82">
        <v>6.0</v>
      </c>
      <c r="I1561" s="82">
        <v>6.0</v>
      </c>
      <c r="J1561" s="152">
        <v>50.0</v>
      </c>
      <c r="K1561" s="84">
        <v>8.33</v>
      </c>
      <c r="L1561" s="155" t="s">
        <v>159</v>
      </c>
    </row>
    <row r="1562" ht="15.0" customHeight="1">
      <c r="A1562" s="82" t="s">
        <v>4900</v>
      </c>
      <c r="B1562" s="82" t="s">
        <v>4901</v>
      </c>
      <c r="C1562" s="82" t="s">
        <v>147</v>
      </c>
      <c r="D1562" s="82" t="s">
        <v>4902</v>
      </c>
      <c r="E1562" s="82" t="s">
        <v>4903</v>
      </c>
      <c r="F1562" s="86" t="s">
        <v>1264</v>
      </c>
      <c r="G1562" s="82">
        <v>2.0</v>
      </c>
      <c r="H1562" s="82">
        <v>2.0</v>
      </c>
      <c r="I1562" s="82">
        <v>2.0</v>
      </c>
      <c r="J1562" s="152">
        <v>50.0</v>
      </c>
      <c r="K1562" s="84">
        <v>25.0</v>
      </c>
      <c r="L1562" s="155" t="s">
        <v>159</v>
      </c>
    </row>
    <row r="1563" ht="15.0" customHeight="1">
      <c r="A1563" s="82" t="s">
        <v>4904</v>
      </c>
      <c r="B1563" s="82" t="s">
        <v>4905</v>
      </c>
      <c r="C1563" s="82" t="s">
        <v>147</v>
      </c>
      <c r="D1563" s="82" t="s">
        <v>4906</v>
      </c>
      <c r="E1563" s="82" t="s">
        <v>4907</v>
      </c>
      <c r="F1563" s="86" t="s">
        <v>1264</v>
      </c>
      <c r="G1563" s="82">
        <v>2.0</v>
      </c>
      <c r="H1563" s="82">
        <v>2.0</v>
      </c>
      <c r="I1563" s="82">
        <v>4.0</v>
      </c>
      <c r="J1563" s="152">
        <v>50.0</v>
      </c>
      <c r="K1563" s="84">
        <v>25.0</v>
      </c>
      <c r="L1563" s="155" t="s">
        <v>159</v>
      </c>
    </row>
    <row r="1564" ht="15.0" customHeight="1">
      <c r="A1564" s="82" t="s">
        <v>4908</v>
      </c>
      <c r="B1564" s="82" t="s">
        <v>4909</v>
      </c>
      <c r="C1564" s="82" t="s">
        <v>147</v>
      </c>
      <c r="D1564" s="82" t="s">
        <v>4910</v>
      </c>
      <c r="E1564" s="82" t="s">
        <v>4911</v>
      </c>
      <c r="F1564" s="86" t="s">
        <v>259</v>
      </c>
      <c r="G1564" s="82">
        <v>3.0</v>
      </c>
      <c r="H1564" s="82">
        <v>3.0</v>
      </c>
      <c r="I1564" s="82">
        <v>5.0</v>
      </c>
      <c r="J1564" s="152">
        <v>50.0</v>
      </c>
      <c r="K1564" s="84">
        <v>16.67</v>
      </c>
      <c r="L1564" s="155" t="s">
        <v>159</v>
      </c>
    </row>
    <row r="1565" ht="15.0" customHeight="1">
      <c r="A1565" s="82" t="s">
        <v>4912</v>
      </c>
      <c r="B1565" s="82" t="s">
        <v>4913</v>
      </c>
      <c r="C1565" s="82" t="s">
        <v>147</v>
      </c>
      <c r="D1565" s="82" t="s">
        <v>4914</v>
      </c>
      <c r="E1565" s="82" t="s">
        <v>4801</v>
      </c>
      <c r="F1565" s="86" t="s">
        <v>1264</v>
      </c>
      <c r="G1565" s="82">
        <v>5.0</v>
      </c>
      <c r="H1565" s="82">
        <v>5.0</v>
      </c>
      <c r="I1565" s="82">
        <v>5.0</v>
      </c>
      <c r="J1565" s="152">
        <v>50.0</v>
      </c>
      <c r="K1565" s="84">
        <v>10.0</v>
      </c>
      <c r="L1565" s="155" t="s">
        <v>159</v>
      </c>
    </row>
    <row r="1566" ht="15.0" customHeight="1">
      <c r="A1566" s="82" t="s">
        <v>4863</v>
      </c>
      <c r="B1566" s="82" t="s">
        <v>4864</v>
      </c>
      <c r="C1566" s="82" t="s">
        <v>147</v>
      </c>
      <c r="D1566" s="82" t="s">
        <v>4915</v>
      </c>
      <c r="E1566" s="82" t="s">
        <v>4916</v>
      </c>
      <c r="F1566" s="86" t="s">
        <v>1264</v>
      </c>
      <c r="G1566" s="82">
        <v>6.0</v>
      </c>
      <c r="H1566" s="82">
        <v>6.0</v>
      </c>
      <c r="I1566" s="82">
        <v>6.0</v>
      </c>
      <c r="J1566" s="152">
        <v>50.0</v>
      </c>
      <c r="K1566" s="84">
        <v>8.33</v>
      </c>
      <c r="L1566" s="155" t="s">
        <v>159</v>
      </c>
    </row>
    <row r="1567" ht="15.0" customHeight="1">
      <c r="A1567" s="82" t="s">
        <v>4859</v>
      </c>
      <c r="B1567" s="82" t="s">
        <v>4860</v>
      </c>
      <c r="C1567" s="82" t="s">
        <v>147</v>
      </c>
      <c r="D1567" s="82" t="s">
        <v>4917</v>
      </c>
      <c r="E1567" s="82" t="s">
        <v>4918</v>
      </c>
      <c r="F1567" s="86" t="s">
        <v>1264</v>
      </c>
      <c r="G1567" s="82">
        <v>3.0</v>
      </c>
      <c r="H1567" s="82">
        <v>3.0</v>
      </c>
      <c r="I1567" s="82">
        <v>5.0</v>
      </c>
      <c r="J1567" s="152">
        <v>50.0</v>
      </c>
      <c r="K1567" s="84">
        <v>16.67</v>
      </c>
      <c r="L1567" s="155" t="s">
        <v>159</v>
      </c>
    </row>
    <row r="1568" ht="15.0" customHeight="1">
      <c r="A1568" s="82" t="s">
        <v>4859</v>
      </c>
      <c r="B1568" s="82" t="s">
        <v>4860</v>
      </c>
      <c r="C1568" s="82" t="s">
        <v>147</v>
      </c>
      <c r="D1568" s="82" t="s">
        <v>4919</v>
      </c>
      <c r="E1568" s="82" t="s">
        <v>4920</v>
      </c>
      <c r="F1568" s="86" t="s">
        <v>1264</v>
      </c>
      <c r="G1568" s="82">
        <v>3.0</v>
      </c>
      <c r="H1568" s="82">
        <v>3.0</v>
      </c>
      <c r="I1568" s="82">
        <v>5.0</v>
      </c>
      <c r="J1568" s="152">
        <v>50.0</v>
      </c>
      <c r="K1568" s="84">
        <v>16.67</v>
      </c>
      <c r="L1568" s="155" t="s">
        <v>159</v>
      </c>
    </row>
    <row r="1569" ht="15.0" customHeight="1">
      <c r="A1569" s="82" t="s">
        <v>4908</v>
      </c>
      <c r="B1569" s="82" t="s">
        <v>4909</v>
      </c>
      <c r="C1569" s="82" t="s">
        <v>147</v>
      </c>
      <c r="D1569" s="82" t="s">
        <v>4921</v>
      </c>
      <c r="E1569" s="82" t="s">
        <v>4922</v>
      </c>
      <c r="F1569" s="86" t="s">
        <v>1264</v>
      </c>
      <c r="G1569" s="82">
        <v>3.0</v>
      </c>
      <c r="H1569" s="82">
        <v>3.0</v>
      </c>
      <c r="I1569" s="82">
        <v>5.0</v>
      </c>
      <c r="J1569" s="152">
        <v>50.0</v>
      </c>
      <c r="K1569" s="84">
        <v>16.67</v>
      </c>
      <c r="L1569" s="155" t="s">
        <v>159</v>
      </c>
    </row>
    <row r="1570" ht="15.0" customHeight="1">
      <c r="A1570" s="82" t="s">
        <v>4863</v>
      </c>
      <c r="B1570" s="82" t="s">
        <v>4864</v>
      </c>
      <c r="C1570" s="82" t="s">
        <v>147</v>
      </c>
      <c r="D1570" s="82" t="s">
        <v>4923</v>
      </c>
      <c r="E1570" s="82" t="s">
        <v>4787</v>
      </c>
      <c r="F1570" s="86" t="s">
        <v>1264</v>
      </c>
      <c r="G1570" s="82">
        <v>6.0</v>
      </c>
      <c r="H1570" s="82">
        <v>6.0</v>
      </c>
      <c r="I1570" s="82">
        <v>6.0</v>
      </c>
      <c r="J1570" s="152">
        <v>50.0</v>
      </c>
      <c r="K1570" s="84">
        <v>8.33</v>
      </c>
      <c r="L1570" s="155" t="s">
        <v>159</v>
      </c>
    </row>
    <row r="1571" ht="15.0" customHeight="1">
      <c r="A1571" s="82" t="s">
        <v>4855</v>
      </c>
      <c r="B1571" s="82" t="s">
        <v>4856</v>
      </c>
      <c r="C1571" s="82" t="s">
        <v>147</v>
      </c>
      <c r="D1571" s="82" t="s">
        <v>4924</v>
      </c>
      <c r="E1571" s="82" t="s">
        <v>4925</v>
      </c>
      <c r="F1571" s="86" t="s">
        <v>259</v>
      </c>
      <c r="G1571" s="82">
        <v>2.0</v>
      </c>
      <c r="H1571" s="82">
        <v>2.0</v>
      </c>
      <c r="I1571" s="82">
        <v>5.0</v>
      </c>
      <c r="J1571" s="152">
        <v>50.0</v>
      </c>
      <c r="K1571" s="84">
        <v>25.0</v>
      </c>
      <c r="L1571" s="155" t="s">
        <v>159</v>
      </c>
    </row>
    <row r="1572" ht="15.0" customHeight="1">
      <c r="A1572" s="82" t="s">
        <v>4926</v>
      </c>
      <c r="B1572" s="82" t="s">
        <v>4927</v>
      </c>
      <c r="C1572" s="82" t="s">
        <v>147</v>
      </c>
      <c r="D1572" s="82" t="s">
        <v>4928</v>
      </c>
      <c r="E1572" s="82" t="s">
        <v>4929</v>
      </c>
      <c r="F1572" s="86" t="s">
        <v>259</v>
      </c>
      <c r="G1572" s="82">
        <v>3.0</v>
      </c>
      <c r="H1572" s="82">
        <v>3.0</v>
      </c>
      <c r="I1572" s="82">
        <v>5.0</v>
      </c>
      <c r="J1572" s="152">
        <v>50.0</v>
      </c>
      <c r="K1572" s="84">
        <v>16.67</v>
      </c>
      <c r="L1572" s="155" t="s">
        <v>159</v>
      </c>
    </row>
    <row r="1573" ht="15.0" customHeight="1">
      <c r="A1573" s="82" t="s">
        <v>4859</v>
      </c>
      <c r="B1573" s="82" t="s">
        <v>4860</v>
      </c>
      <c r="C1573" s="82" t="s">
        <v>147</v>
      </c>
      <c r="D1573" s="82" t="s">
        <v>4930</v>
      </c>
      <c r="E1573" s="82" t="s">
        <v>4931</v>
      </c>
      <c r="F1573" s="86" t="s">
        <v>1264</v>
      </c>
      <c r="G1573" s="82">
        <v>3.0</v>
      </c>
      <c r="H1573" s="82">
        <v>3.0</v>
      </c>
      <c r="I1573" s="82">
        <v>5.0</v>
      </c>
      <c r="J1573" s="152">
        <v>50.0</v>
      </c>
      <c r="K1573" s="84">
        <v>16.67</v>
      </c>
      <c r="L1573" s="155" t="s">
        <v>159</v>
      </c>
    </row>
    <row r="1574" ht="15.0" customHeight="1">
      <c r="A1574" s="82" t="s">
        <v>4859</v>
      </c>
      <c r="B1574" s="82" t="s">
        <v>4860</v>
      </c>
      <c r="C1574" s="82" t="s">
        <v>147</v>
      </c>
      <c r="D1574" s="82" t="s">
        <v>4932</v>
      </c>
      <c r="E1574" s="82" t="s">
        <v>4933</v>
      </c>
      <c r="F1574" s="86" t="s">
        <v>1264</v>
      </c>
      <c r="G1574" s="82">
        <v>3.0</v>
      </c>
      <c r="H1574" s="82">
        <v>3.0</v>
      </c>
      <c r="I1574" s="82">
        <v>5.0</v>
      </c>
      <c r="J1574" s="152">
        <v>50.0</v>
      </c>
      <c r="K1574" s="84">
        <v>16.67</v>
      </c>
      <c r="L1574" s="155" t="s">
        <v>159</v>
      </c>
    </row>
    <row r="1575" ht="15.0" customHeight="1">
      <c r="A1575" s="82" t="s">
        <v>4871</v>
      </c>
      <c r="B1575" s="82" t="s">
        <v>4872</v>
      </c>
      <c r="C1575" s="82" t="s">
        <v>147</v>
      </c>
      <c r="D1575" s="82" t="s">
        <v>4934</v>
      </c>
      <c r="E1575" s="82" t="s">
        <v>4935</v>
      </c>
      <c r="F1575" s="86" t="s">
        <v>1264</v>
      </c>
      <c r="G1575" s="82">
        <v>2.0</v>
      </c>
      <c r="H1575" s="82">
        <v>2.0</v>
      </c>
      <c r="I1575" s="82">
        <v>2.0</v>
      </c>
      <c r="J1575" s="152">
        <v>50.0</v>
      </c>
      <c r="K1575" s="84">
        <v>25.0</v>
      </c>
      <c r="L1575" s="155" t="s">
        <v>159</v>
      </c>
    </row>
    <row r="1576" ht="15.0" customHeight="1">
      <c r="A1576" s="82" t="s">
        <v>4936</v>
      </c>
      <c r="B1576" s="82" t="s">
        <v>4937</v>
      </c>
      <c r="C1576" s="82" t="s">
        <v>147</v>
      </c>
      <c r="D1576" s="82" t="s">
        <v>4938</v>
      </c>
      <c r="E1576" s="82" t="s">
        <v>4939</v>
      </c>
      <c r="F1576" s="86" t="s">
        <v>1264</v>
      </c>
      <c r="G1576" s="82">
        <v>4.0</v>
      </c>
      <c r="H1576" s="82">
        <v>4.0</v>
      </c>
      <c r="I1576" s="82">
        <v>6.0</v>
      </c>
      <c r="J1576" s="152">
        <v>50.0</v>
      </c>
      <c r="K1576" s="84">
        <v>12.5</v>
      </c>
      <c r="L1576" s="155" t="s">
        <v>159</v>
      </c>
    </row>
    <row r="1577" ht="15.0" customHeight="1">
      <c r="A1577" s="82" t="s">
        <v>4912</v>
      </c>
      <c r="B1577" s="82" t="s">
        <v>4913</v>
      </c>
      <c r="C1577" s="82" t="s">
        <v>147</v>
      </c>
      <c r="D1577" s="82" t="s">
        <v>4940</v>
      </c>
      <c r="E1577" s="82" t="s">
        <v>4941</v>
      </c>
      <c r="F1577" s="86" t="s">
        <v>1264</v>
      </c>
      <c r="G1577" s="82">
        <v>5.0</v>
      </c>
      <c r="H1577" s="82">
        <v>5.0</v>
      </c>
      <c r="I1577" s="82">
        <v>5.0</v>
      </c>
      <c r="J1577" s="152">
        <v>50.0</v>
      </c>
      <c r="K1577" s="84">
        <v>10.0</v>
      </c>
      <c r="L1577" s="155" t="s">
        <v>159</v>
      </c>
    </row>
    <row r="1578" ht="15.0" customHeight="1">
      <c r="A1578" s="82" t="s">
        <v>4942</v>
      </c>
      <c r="B1578" s="82" t="s">
        <v>4943</v>
      </c>
      <c r="C1578" s="82" t="s">
        <v>147</v>
      </c>
      <c r="D1578" s="82" t="s">
        <v>4944</v>
      </c>
      <c r="E1578" s="82" t="s">
        <v>4572</v>
      </c>
      <c r="F1578" s="86" t="s">
        <v>259</v>
      </c>
      <c r="G1578" s="82">
        <v>3.0</v>
      </c>
      <c r="H1578" s="82">
        <v>3.0</v>
      </c>
      <c r="I1578" s="82">
        <v>5.0</v>
      </c>
      <c r="J1578" s="152">
        <v>50.0</v>
      </c>
      <c r="K1578" s="84">
        <v>16.67</v>
      </c>
      <c r="L1578" s="155" t="s">
        <v>159</v>
      </c>
    </row>
    <row r="1579" ht="15.0" customHeight="1">
      <c r="A1579" s="82" t="s">
        <v>4859</v>
      </c>
      <c r="B1579" s="82" t="s">
        <v>4860</v>
      </c>
      <c r="C1579" s="82" t="s">
        <v>147</v>
      </c>
      <c r="D1579" s="82" t="s">
        <v>4945</v>
      </c>
      <c r="E1579" s="82" t="s">
        <v>4946</v>
      </c>
      <c r="F1579" s="86" t="s">
        <v>1264</v>
      </c>
      <c r="G1579" s="82">
        <v>3.0</v>
      </c>
      <c r="H1579" s="82">
        <v>3.0</v>
      </c>
      <c r="I1579" s="82">
        <v>5.0</v>
      </c>
      <c r="J1579" s="152">
        <v>50.0</v>
      </c>
      <c r="K1579" s="84">
        <v>16.67</v>
      </c>
      <c r="L1579" s="155" t="s">
        <v>159</v>
      </c>
    </row>
    <row r="1580" ht="15.0" customHeight="1">
      <c r="A1580" s="82" t="s">
        <v>1113</v>
      </c>
      <c r="B1580" s="82" t="s">
        <v>4947</v>
      </c>
      <c r="C1580" s="82" t="s">
        <v>147</v>
      </c>
      <c r="D1580" s="82" t="s">
        <v>4948</v>
      </c>
      <c r="E1580" s="82" t="s">
        <v>4949</v>
      </c>
      <c r="F1580" s="86" t="s">
        <v>1264</v>
      </c>
      <c r="G1580" s="82">
        <v>5.0</v>
      </c>
      <c r="H1580" s="82">
        <v>5.0</v>
      </c>
      <c r="I1580" s="82">
        <v>5.0</v>
      </c>
      <c r="J1580" s="152">
        <v>50.0</v>
      </c>
      <c r="K1580" s="84">
        <v>10.0</v>
      </c>
      <c r="L1580" s="155" t="s">
        <v>159</v>
      </c>
    </row>
    <row r="1581" ht="15.0" customHeight="1">
      <c r="A1581" s="82" t="s">
        <v>4859</v>
      </c>
      <c r="B1581" s="82" t="s">
        <v>4860</v>
      </c>
      <c r="C1581" s="82" t="s">
        <v>147</v>
      </c>
      <c r="D1581" s="82" t="s">
        <v>4950</v>
      </c>
      <c r="E1581" s="82" t="s">
        <v>4951</v>
      </c>
      <c r="F1581" s="86" t="s">
        <v>1264</v>
      </c>
      <c r="G1581" s="82">
        <v>3.0</v>
      </c>
      <c r="H1581" s="82">
        <v>3.0</v>
      </c>
      <c r="I1581" s="82">
        <v>5.0</v>
      </c>
      <c r="J1581" s="152">
        <v>50.0</v>
      </c>
      <c r="K1581" s="84">
        <v>16.67</v>
      </c>
      <c r="L1581" s="155" t="s">
        <v>159</v>
      </c>
    </row>
    <row r="1582" ht="15.0" customHeight="1">
      <c r="A1582" s="82" t="s">
        <v>4859</v>
      </c>
      <c r="B1582" s="82" t="s">
        <v>4860</v>
      </c>
      <c r="C1582" s="82" t="s">
        <v>147</v>
      </c>
      <c r="D1582" s="82" t="s">
        <v>4952</v>
      </c>
      <c r="E1582" s="82" t="s">
        <v>4953</v>
      </c>
      <c r="F1582" s="86" t="s">
        <v>1264</v>
      </c>
      <c r="G1582" s="82">
        <v>3.0</v>
      </c>
      <c r="H1582" s="82">
        <v>3.0</v>
      </c>
      <c r="I1582" s="82">
        <v>5.0</v>
      </c>
      <c r="J1582" s="152">
        <v>50.0</v>
      </c>
      <c r="K1582" s="84">
        <v>16.67</v>
      </c>
      <c r="L1582" s="155" t="s">
        <v>159</v>
      </c>
    </row>
    <row r="1583" ht="15.0" customHeight="1">
      <c r="A1583" s="82" t="s">
        <v>4871</v>
      </c>
      <c r="B1583" s="82" t="s">
        <v>4954</v>
      </c>
      <c r="C1583" s="82" t="s">
        <v>147</v>
      </c>
      <c r="D1583" s="82" t="s">
        <v>4955</v>
      </c>
      <c r="E1583" s="82" t="s">
        <v>4956</v>
      </c>
      <c r="F1583" s="86" t="s">
        <v>259</v>
      </c>
      <c r="G1583" s="82">
        <v>2.0</v>
      </c>
      <c r="H1583" s="82">
        <v>2.0</v>
      </c>
      <c r="I1583" s="82">
        <v>2.0</v>
      </c>
      <c r="J1583" s="152">
        <v>50.0</v>
      </c>
      <c r="K1583" s="84">
        <v>25.0</v>
      </c>
      <c r="L1583" s="155" t="s">
        <v>159</v>
      </c>
    </row>
    <row r="1584" ht="15.0" customHeight="1">
      <c r="A1584" s="82" t="s">
        <v>4887</v>
      </c>
      <c r="B1584" s="82" t="s">
        <v>4888</v>
      </c>
      <c r="C1584" s="82" t="s">
        <v>147</v>
      </c>
      <c r="D1584" s="82" t="s">
        <v>4957</v>
      </c>
      <c r="E1584" s="82" t="s">
        <v>4890</v>
      </c>
      <c r="F1584" s="86" t="s">
        <v>259</v>
      </c>
      <c r="G1584" s="82">
        <v>5.0</v>
      </c>
      <c r="H1584" s="82">
        <v>5.0</v>
      </c>
      <c r="I1584" s="82">
        <v>5.0</v>
      </c>
      <c r="J1584" s="152">
        <v>50.0</v>
      </c>
      <c r="K1584" s="84">
        <v>10.0</v>
      </c>
      <c r="L1584" s="155" t="s">
        <v>159</v>
      </c>
    </row>
    <row r="1585" ht="15.0" customHeight="1">
      <c r="A1585" s="82" t="s">
        <v>4859</v>
      </c>
      <c r="B1585" s="82" t="s">
        <v>4860</v>
      </c>
      <c r="C1585" s="82" t="s">
        <v>147</v>
      </c>
      <c r="D1585" s="82" t="s">
        <v>4958</v>
      </c>
      <c r="E1585" s="82" t="s">
        <v>4959</v>
      </c>
      <c r="F1585" s="86" t="s">
        <v>1264</v>
      </c>
      <c r="G1585" s="82">
        <v>3.0</v>
      </c>
      <c r="H1585" s="82">
        <v>3.0</v>
      </c>
      <c r="I1585" s="82">
        <v>5.0</v>
      </c>
      <c r="J1585" s="152">
        <v>50.0</v>
      </c>
      <c r="K1585" s="84">
        <v>16.67</v>
      </c>
      <c r="L1585" s="155" t="s">
        <v>159</v>
      </c>
    </row>
    <row r="1586" ht="15.0" customHeight="1">
      <c r="A1586" s="82" t="s">
        <v>4876</v>
      </c>
      <c r="B1586" s="82" t="s">
        <v>4877</v>
      </c>
      <c r="C1586" s="82" t="s">
        <v>147</v>
      </c>
      <c r="D1586" s="82" t="s">
        <v>4960</v>
      </c>
      <c r="E1586" s="82" t="s">
        <v>4781</v>
      </c>
      <c r="F1586" s="86" t="s">
        <v>1264</v>
      </c>
      <c r="G1586" s="82">
        <v>5.0</v>
      </c>
      <c r="H1586" s="82">
        <v>5.0</v>
      </c>
      <c r="I1586" s="82">
        <v>5.0</v>
      </c>
      <c r="J1586" s="152">
        <v>50.0</v>
      </c>
      <c r="K1586" s="84">
        <v>10.0</v>
      </c>
      <c r="L1586" s="155" t="s">
        <v>159</v>
      </c>
    </row>
    <row r="1587" ht="15.0" customHeight="1">
      <c r="A1587" s="82" t="s">
        <v>4855</v>
      </c>
      <c r="B1587" s="82" t="s">
        <v>4856</v>
      </c>
      <c r="C1587" s="82" t="s">
        <v>147</v>
      </c>
      <c r="D1587" s="82" t="s">
        <v>4961</v>
      </c>
      <c r="E1587" s="82" t="s">
        <v>4389</v>
      </c>
      <c r="F1587" s="86" t="s">
        <v>259</v>
      </c>
      <c r="G1587" s="82">
        <v>2.0</v>
      </c>
      <c r="H1587" s="82">
        <v>2.0</v>
      </c>
      <c r="I1587" s="82">
        <v>5.0</v>
      </c>
      <c r="J1587" s="152">
        <v>50.0</v>
      </c>
      <c r="K1587" s="84">
        <v>25.0</v>
      </c>
      <c r="L1587" s="155" t="s">
        <v>159</v>
      </c>
    </row>
    <row r="1588" ht="15.0" customHeight="1">
      <c r="A1588" s="82" t="s">
        <v>4904</v>
      </c>
      <c r="B1588" s="82" t="s">
        <v>4905</v>
      </c>
      <c r="C1588" s="82" t="s">
        <v>147</v>
      </c>
      <c r="D1588" s="82" t="s">
        <v>4962</v>
      </c>
      <c r="E1588" s="82" t="s">
        <v>4963</v>
      </c>
      <c r="F1588" s="86" t="s">
        <v>1264</v>
      </c>
      <c r="G1588" s="82">
        <v>2.0</v>
      </c>
      <c r="H1588" s="82">
        <v>2.0</v>
      </c>
      <c r="I1588" s="82">
        <v>4.0</v>
      </c>
      <c r="J1588" s="152">
        <v>50.0</v>
      </c>
      <c r="K1588" s="84">
        <v>25.0</v>
      </c>
      <c r="L1588" s="155" t="s">
        <v>159</v>
      </c>
    </row>
    <row r="1589" ht="15.0" customHeight="1">
      <c r="A1589" s="82" t="s">
        <v>4964</v>
      </c>
      <c r="B1589" s="82" t="s">
        <v>4965</v>
      </c>
      <c r="C1589" s="82" t="s">
        <v>147</v>
      </c>
      <c r="D1589" s="82" t="s">
        <v>4966</v>
      </c>
      <c r="E1589" s="82" t="s">
        <v>4967</v>
      </c>
      <c r="F1589" s="86" t="s">
        <v>259</v>
      </c>
      <c r="G1589" s="82">
        <v>2.0</v>
      </c>
      <c r="H1589" s="82">
        <v>2.0</v>
      </c>
      <c r="I1589" s="82">
        <v>2.0</v>
      </c>
      <c r="J1589" s="152">
        <v>50.0</v>
      </c>
      <c r="K1589" s="84">
        <v>25.0</v>
      </c>
      <c r="L1589" s="155" t="s">
        <v>159</v>
      </c>
    </row>
    <row r="1590" ht="15.0" customHeight="1">
      <c r="A1590" s="82" t="s">
        <v>4859</v>
      </c>
      <c r="B1590" s="82" t="s">
        <v>4860</v>
      </c>
      <c r="C1590" s="82" t="s">
        <v>147</v>
      </c>
      <c r="D1590" s="82" t="s">
        <v>4968</v>
      </c>
      <c r="E1590" s="82" t="s">
        <v>4449</v>
      </c>
      <c r="F1590" s="86" t="s">
        <v>259</v>
      </c>
      <c r="G1590" s="82">
        <v>3.0</v>
      </c>
      <c r="H1590" s="82">
        <v>3.0</v>
      </c>
      <c r="I1590" s="82">
        <v>5.0</v>
      </c>
      <c r="J1590" s="152">
        <v>50.0</v>
      </c>
      <c r="K1590" s="84">
        <v>16.67</v>
      </c>
      <c r="L1590" s="155" t="s">
        <v>159</v>
      </c>
    </row>
    <row r="1591" ht="15.0" customHeight="1">
      <c r="A1591" s="82" t="s">
        <v>4871</v>
      </c>
      <c r="B1591" s="82" t="s">
        <v>4954</v>
      </c>
      <c r="C1591" s="82" t="s">
        <v>147</v>
      </c>
      <c r="D1591" s="82" t="s">
        <v>4969</v>
      </c>
      <c r="E1591" s="82" t="s">
        <v>4659</v>
      </c>
      <c r="F1591" s="86" t="s">
        <v>259</v>
      </c>
      <c r="G1591" s="82">
        <v>2.0</v>
      </c>
      <c r="H1591" s="82">
        <v>2.0</v>
      </c>
      <c r="I1591" s="82">
        <v>2.0</v>
      </c>
      <c r="J1591" s="152">
        <v>50.0</v>
      </c>
      <c r="K1591" s="84">
        <v>25.0</v>
      </c>
      <c r="L1591" s="155" t="s">
        <v>159</v>
      </c>
    </row>
    <row r="1592" ht="15.0" customHeight="1">
      <c r="A1592" s="82" t="s">
        <v>4855</v>
      </c>
      <c r="B1592" s="82" t="s">
        <v>4856</v>
      </c>
      <c r="C1592" s="82" t="s">
        <v>147</v>
      </c>
      <c r="D1592" s="82" t="s">
        <v>4970</v>
      </c>
      <c r="E1592" s="82" t="s">
        <v>4971</v>
      </c>
      <c r="F1592" s="86" t="s">
        <v>1264</v>
      </c>
      <c r="G1592" s="82">
        <v>2.0</v>
      </c>
      <c r="H1592" s="82">
        <v>2.0</v>
      </c>
      <c r="I1592" s="82">
        <v>5.0</v>
      </c>
      <c r="J1592" s="152">
        <v>50.0</v>
      </c>
      <c r="K1592" s="84">
        <v>25.0</v>
      </c>
      <c r="L1592" s="155" t="s">
        <v>159</v>
      </c>
    </row>
    <row r="1593" ht="15.0" customHeight="1">
      <c r="A1593" s="82" t="s">
        <v>4855</v>
      </c>
      <c r="B1593" s="82" t="s">
        <v>4856</v>
      </c>
      <c r="C1593" s="82" t="s">
        <v>147</v>
      </c>
      <c r="D1593" s="82" t="s">
        <v>4972</v>
      </c>
      <c r="E1593" s="82" t="s">
        <v>4973</v>
      </c>
      <c r="F1593" s="86" t="s">
        <v>1264</v>
      </c>
      <c r="G1593" s="82">
        <v>2.0</v>
      </c>
      <c r="H1593" s="82">
        <v>2.0</v>
      </c>
      <c r="I1593" s="82">
        <v>5.0</v>
      </c>
      <c r="J1593" s="152">
        <v>50.0</v>
      </c>
      <c r="K1593" s="84">
        <v>25.0</v>
      </c>
      <c r="L1593" s="155" t="s">
        <v>159</v>
      </c>
    </row>
    <row r="1594" ht="15.0" customHeight="1">
      <c r="A1594" s="82" t="s">
        <v>4974</v>
      </c>
      <c r="B1594" s="82" t="s">
        <v>4975</v>
      </c>
      <c r="C1594" s="82" t="s">
        <v>147</v>
      </c>
      <c r="D1594" s="82" t="s">
        <v>4976</v>
      </c>
      <c r="E1594" s="82" t="s">
        <v>4977</v>
      </c>
      <c r="F1594" s="86" t="s">
        <v>1264</v>
      </c>
      <c r="G1594" s="82">
        <v>3.0</v>
      </c>
      <c r="H1594" s="82">
        <v>3.0</v>
      </c>
      <c r="I1594" s="82">
        <v>3.0</v>
      </c>
      <c r="J1594" s="152">
        <v>50.0</v>
      </c>
      <c r="K1594" s="84">
        <v>16.67</v>
      </c>
      <c r="L1594" s="155" t="s">
        <v>159</v>
      </c>
    </row>
    <row r="1595" ht="15.0" customHeight="1">
      <c r="A1595" s="82" t="s">
        <v>4863</v>
      </c>
      <c r="B1595" s="82" t="s">
        <v>4864</v>
      </c>
      <c r="C1595" s="82" t="s">
        <v>147</v>
      </c>
      <c r="D1595" s="82" t="s">
        <v>4978</v>
      </c>
      <c r="E1595" s="82" t="s">
        <v>4979</v>
      </c>
      <c r="F1595" s="86" t="s">
        <v>1264</v>
      </c>
      <c r="G1595" s="82">
        <v>6.0</v>
      </c>
      <c r="H1595" s="82">
        <v>6.0</v>
      </c>
      <c r="I1595" s="82">
        <v>6.0</v>
      </c>
      <c r="J1595" s="152">
        <v>50.0</v>
      </c>
      <c r="K1595" s="84">
        <v>8.33</v>
      </c>
      <c r="L1595" s="155" t="s">
        <v>159</v>
      </c>
    </row>
    <row r="1596" ht="15.0" customHeight="1">
      <c r="A1596" s="82" t="s">
        <v>4859</v>
      </c>
      <c r="B1596" s="82" t="s">
        <v>4860</v>
      </c>
      <c r="C1596" s="82" t="s">
        <v>147</v>
      </c>
      <c r="D1596" s="82" t="s">
        <v>4980</v>
      </c>
      <c r="E1596" s="82" t="s">
        <v>4437</v>
      </c>
      <c r="F1596" s="86" t="s">
        <v>1264</v>
      </c>
      <c r="G1596" s="82">
        <v>3.0</v>
      </c>
      <c r="H1596" s="82">
        <v>3.0</v>
      </c>
      <c r="I1596" s="82">
        <v>5.0</v>
      </c>
      <c r="J1596" s="152">
        <v>50.0</v>
      </c>
      <c r="K1596" s="84">
        <v>16.67</v>
      </c>
      <c r="L1596" s="155" t="s">
        <v>159</v>
      </c>
    </row>
    <row r="1597" ht="15.0" customHeight="1">
      <c r="A1597" s="82" t="s">
        <v>4855</v>
      </c>
      <c r="B1597" s="82" t="s">
        <v>4856</v>
      </c>
      <c r="C1597" s="82" t="s">
        <v>147</v>
      </c>
      <c r="D1597" s="82" t="s">
        <v>4981</v>
      </c>
      <c r="E1597" s="82" t="s">
        <v>4982</v>
      </c>
      <c r="F1597" s="86" t="s">
        <v>259</v>
      </c>
      <c r="G1597" s="82">
        <v>2.0</v>
      </c>
      <c r="H1597" s="82">
        <v>2.0</v>
      </c>
      <c r="I1597" s="82">
        <v>5.0</v>
      </c>
      <c r="J1597" s="152">
        <v>50.0</v>
      </c>
      <c r="K1597" s="84">
        <v>25.0</v>
      </c>
      <c r="L1597" s="155" t="s">
        <v>159</v>
      </c>
    </row>
    <row r="1598" ht="15.0" customHeight="1">
      <c r="A1598" s="82" t="s">
        <v>4983</v>
      </c>
      <c r="B1598" s="82" t="s">
        <v>4984</v>
      </c>
      <c r="C1598" s="82" t="s">
        <v>147</v>
      </c>
      <c r="D1598" s="82" t="s">
        <v>4985</v>
      </c>
      <c r="E1598" s="82" t="s">
        <v>4986</v>
      </c>
      <c r="F1598" s="86" t="s">
        <v>1264</v>
      </c>
      <c r="G1598" s="82">
        <v>1.0</v>
      </c>
      <c r="H1598" s="82">
        <v>1.0</v>
      </c>
      <c r="I1598" s="82">
        <v>1.0</v>
      </c>
      <c r="J1598" s="152">
        <v>50.0</v>
      </c>
      <c r="K1598" s="84">
        <v>50.0</v>
      </c>
      <c r="L1598" s="155" t="s">
        <v>159</v>
      </c>
    </row>
    <row r="1599" ht="15.0" customHeight="1">
      <c r="A1599" s="82" t="s">
        <v>4904</v>
      </c>
      <c r="B1599" s="82" t="s">
        <v>4905</v>
      </c>
      <c r="C1599" s="82" t="s">
        <v>147</v>
      </c>
      <c r="D1599" s="82" t="s">
        <v>4987</v>
      </c>
      <c r="E1599" s="82" t="s">
        <v>4988</v>
      </c>
      <c r="F1599" s="86" t="s">
        <v>1264</v>
      </c>
      <c r="G1599" s="82">
        <v>2.0</v>
      </c>
      <c r="H1599" s="82">
        <v>2.0</v>
      </c>
      <c r="I1599" s="82">
        <v>4.0</v>
      </c>
      <c r="J1599" s="152">
        <v>50.0</v>
      </c>
      <c r="K1599" s="84">
        <v>25.0</v>
      </c>
      <c r="L1599" s="155" t="s">
        <v>159</v>
      </c>
    </row>
    <row r="1600" ht="15.0" customHeight="1">
      <c r="A1600" s="82" t="s">
        <v>4989</v>
      </c>
      <c r="B1600" s="82" t="s">
        <v>4990</v>
      </c>
      <c r="C1600" s="82" t="s">
        <v>147</v>
      </c>
      <c r="D1600" s="82" t="s">
        <v>4991</v>
      </c>
      <c r="E1600" s="82" t="s">
        <v>4992</v>
      </c>
      <c r="F1600" s="86" t="s">
        <v>1264</v>
      </c>
      <c r="G1600" s="82">
        <v>8.0</v>
      </c>
      <c r="H1600" s="82">
        <v>1.0</v>
      </c>
      <c r="I1600" s="82">
        <v>8.0</v>
      </c>
      <c r="J1600" s="152">
        <v>50.0</v>
      </c>
      <c r="K1600" s="84">
        <v>6.25</v>
      </c>
      <c r="L1600" s="155" t="s">
        <v>161</v>
      </c>
    </row>
    <row r="1601" ht="15.0" customHeight="1">
      <c r="A1601" s="82" t="s">
        <v>4989</v>
      </c>
      <c r="B1601" s="82" t="s">
        <v>4990</v>
      </c>
      <c r="C1601" s="82" t="s">
        <v>147</v>
      </c>
      <c r="D1601" s="82" t="s">
        <v>4993</v>
      </c>
      <c r="E1601" s="82" t="s">
        <v>4994</v>
      </c>
      <c r="F1601" s="86" t="s">
        <v>1264</v>
      </c>
      <c r="G1601" s="82">
        <v>8.0</v>
      </c>
      <c r="H1601" s="82">
        <v>1.0</v>
      </c>
      <c r="I1601" s="82">
        <v>8.0</v>
      </c>
      <c r="J1601" s="152">
        <v>50.0</v>
      </c>
      <c r="K1601" s="84">
        <v>6.25</v>
      </c>
      <c r="L1601" s="155" t="s">
        <v>161</v>
      </c>
    </row>
    <row r="1602" ht="15.0" customHeight="1">
      <c r="A1602" s="82" t="s">
        <v>4989</v>
      </c>
      <c r="B1602" s="82" t="s">
        <v>4990</v>
      </c>
      <c r="C1602" s="82" t="s">
        <v>147</v>
      </c>
      <c r="D1602" s="82" t="s">
        <v>4995</v>
      </c>
      <c r="E1602" s="82" t="s">
        <v>4996</v>
      </c>
      <c r="F1602" s="86" t="s">
        <v>1264</v>
      </c>
      <c r="G1602" s="82">
        <v>8.0</v>
      </c>
      <c r="H1602" s="82">
        <v>1.0</v>
      </c>
      <c r="I1602" s="82">
        <v>8.0</v>
      </c>
      <c r="J1602" s="152">
        <v>50.0</v>
      </c>
      <c r="K1602" s="84">
        <v>6.25</v>
      </c>
      <c r="L1602" s="155" t="s">
        <v>161</v>
      </c>
    </row>
    <row r="1603" ht="15.0" customHeight="1">
      <c r="A1603" s="82" t="s">
        <v>4997</v>
      </c>
      <c r="B1603" s="82" t="s">
        <v>4998</v>
      </c>
      <c r="C1603" s="82" t="s">
        <v>147</v>
      </c>
      <c r="D1603" s="82" t="s">
        <v>4999</v>
      </c>
      <c r="E1603" s="82" t="s">
        <v>5000</v>
      </c>
      <c r="F1603" s="86" t="s">
        <v>1264</v>
      </c>
      <c r="G1603" s="82">
        <v>2.0</v>
      </c>
      <c r="H1603" s="82">
        <v>2.0</v>
      </c>
      <c r="I1603" s="82">
        <v>4.0</v>
      </c>
      <c r="J1603" s="152">
        <v>50.0</v>
      </c>
      <c r="K1603" s="84">
        <v>25.0</v>
      </c>
      <c r="L1603" s="155" t="s">
        <v>161</v>
      </c>
    </row>
    <row r="1604" ht="15.0" customHeight="1">
      <c r="A1604" s="82" t="s">
        <v>4989</v>
      </c>
      <c r="B1604" s="82" t="s">
        <v>4990</v>
      </c>
      <c r="C1604" s="82" t="s">
        <v>147</v>
      </c>
      <c r="D1604" s="82" t="s">
        <v>5001</v>
      </c>
      <c r="E1604" s="82" t="s">
        <v>5002</v>
      </c>
      <c r="F1604" s="86" t="s">
        <v>1264</v>
      </c>
      <c r="G1604" s="82">
        <v>8.0</v>
      </c>
      <c r="H1604" s="82">
        <v>1.0</v>
      </c>
      <c r="I1604" s="82">
        <v>8.0</v>
      </c>
      <c r="J1604" s="152">
        <v>50.0</v>
      </c>
      <c r="K1604" s="84">
        <v>6.25</v>
      </c>
      <c r="L1604" s="155" t="s">
        <v>161</v>
      </c>
    </row>
    <row r="1605" ht="15.0" customHeight="1">
      <c r="A1605" s="82" t="s">
        <v>4989</v>
      </c>
      <c r="B1605" s="82" t="s">
        <v>4990</v>
      </c>
      <c r="C1605" s="82" t="s">
        <v>147</v>
      </c>
      <c r="D1605" s="82" t="s">
        <v>5003</v>
      </c>
      <c r="E1605" s="82" t="s">
        <v>5004</v>
      </c>
      <c r="F1605" s="86" t="s">
        <v>1264</v>
      </c>
      <c r="G1605" s="82">
        <v>8.0</v>
      </c>
      <c r="H1605" s="82">
        <v>1.0</v>
      </c>
      <c r="I1605" s="82">
        <v>8.0</v>
      </c>
      <c r="J1605" s="152">
        <v>50.0</v>
      </c>
      <c r="K1605" s="84">
        <v>6.25</v>
      </c>
      <c r="L1605" s="155" t="s">
        <v>161</v>
      </c>
    </row>
    <row r="1606" ht="15.0" customHeight="1">
      <c r="A1606" s="82" t="s">
        <v>4989</v>
      </c>
      <c r="B1606" s="82" t="s">
        <v>4990</v>
      </c>
      <c r="C1606" s="82" t="s">
        <v>147</v>
      </c>
      <c r="D1606" s="82" t="s">
        <v>5005</v>
      </c>
      <c r="E1606" s="82" t="s">
        <v>5006</v>
      </c>
      <c r="F1606" s="86" t="s">
        <v>1264</v>
      </c>
      <c r="G1606" s="82">
        <v>8.0</v>
      </c>
      <c r="H1606" s="82">
        <v>1.0</v>
      </c>
      <c r="I1606" s="82">
        <v>8.0</v>
      </c>
      <c r="J1606" s="152">
        <v>50.0</v>
      </c>
      <c r="K1606" s="84">
        <v>6.25</v>
      </c>
      <c r="L1606" s="155" t="s">
        <v>161</v>
      </c>
    </row>
    <row r="1607" ht="15.0" customHeight="1">
      <c r="A1607" s="82" t="s">
        <v>4989</v>
      </c>
      <c r="B1607" s="82" t="s">
        <v>4990</v>
      </c>
      <c r="C1607" s="82" t="s">
        <v>147</v>
      </c>
      <c r="D1607" s="82" t="s">
        <v>5007</v>
      </c>
      <c r="E1607" s="82" t="s">
        <v>5008</v>
      </c>
      <c r="F1607" s="86" t="s">
        <v>1264</v>
      </c>
      <c r="G1607" s="82">
        <v>8.0</v>
      </c>
      <c r="H1607" s="82">
        <v>1.0</v>
      </c>
      <c r="I1607" s="82">
        <v>8.0</v>
      </c>
      <c r="J1607" s="152">
        <v>50.0</v>
      </c>
      <c r="K1607" s="84">
        <v>6.25</v>
      </c>
      <c r="L1607" s="155" t="s">
        <v>161</v>
      </c>
    </row>
    <row r="1608" ht="15.0" customHeight="1">
      <c r="A1608" s="82" t="s">
        <v>4989</v>
      </c>
      <c r="B1608" s="82" t="s">
        <v>4990</v>
      </c>
      <c r="C1608" s="82" t="s">
        <v>147</v>
      </c>
      <c r="D1608" s="82" t="s">
        <v>5009</v>
      </c>
      <c r="E1608" s="82" t="s">
        <v>5010</v>
      </c>
      <c r="F1608" s="86" t="s">
        <v>1264</v>
      </c>
      <c r="G1608" s="82">
        <v>8.0</v>
      </c>
      <c r="H1608" s="82">
        <v>1.0</v>
      </c>
      <c r="I1608" s="82">
        <v>8.0</v>
      </c>
      <c r="J1608" s="152">
        <v>50.0</v>
      </c>
      <c r="K1608" s="84">
        <v>6.25</v>
      </c>
      <c r="L1608" s="155" t="s">
        <v>161</v>
      </c>
    </row>
    <row r="1609" ht="15.0" customHeight="1">
      <c r="A1609" s="82" t="s">
        <v>4989</v>
      </c>
      <c r="B1609" s="82" t="s">
        <v>4990</v>
      </c>
      <c r="C1609" s="82" t="s">
        <v>147</v>
      </c>
      <c r="D1609" s="82" t="s">
        <v>5011</v>
      </c>
      <c r="E1609" s="82" t="s">
        <v>5012</v>
      </c>
      <c r="F1609" s="86" t="s">
        <v>1256</v>
      </c>
      <c r="G1609" s="82">
        <v>8.0</v>
      </c>
      <c r="H1609" s="82">
        <v>1.0</v>
      </c>
      <c r="I1609" s="82">
        <v>8.0</v>
      </c>
      <c r="J1609" s="152">
        <v>50.0</v>
      </c>
      <c r="K1609" s="84">
        <v>6.25</v>
      </c>
      <c r="L1609" s="155" t="s">
        <v>161</v>
      </c>
    </row>
    <row r="1610" ht="15.0" customHeight="1">
      <c r="A1610" s="82" t="s">
        <v>4989</v>
      </c>
      <c r="B1610" s="82" t="s">
        <v>4990</v>
      </c>
      <c r="C1610" s="82" t="s">
        <v>147</v>
      </c>
      <c r="D1610" s="82" t="s">
        <v>5013</v>
      </c>
      <c r="E1610" s="82" t="s">
        <v>5014</v>
      </c>
      <c r="F1610" s="86" t="s">
        <v>1256</v>
      </c>
      <c r="G1610" s="82">
        <v>8.0</v>
      </c>
      <c r="H1610" s="82">
        <v>1.0</v>
      </c>
      <c r="I1610" s="82">
        <v>8.0</v>
      </c>
      <c r="J1610" s="152">
        <v>50.0</v>
      </c>
      <c r="K1610" s="84">
        <v>6.25</v>
      </c>
      <c r="L1610" s="155" t="s">
        <v>161</v>
      </c>
    </row>
    <row r="1611" ht="15.0" customHeight="1">
      <c r="A1611" s="82" t="s">
        <v>4989</v>
      </c>
      <c r="B1611" s="82" t="s">
        <v>4990</v>
      </c>
      <c r="C1611" s="82" t="s">
        <v>147</v>
      </c>
      <c r="D1611" s="82" t="s">
        <v>5015</v>
      </c>
      <c r="E1611" s="82" t="s">
        <v>5016</v>
      </c>
      <c r="F1611" s="86" t="s">
        <v>1256</v>
      </c>
      <c r="G1611" s="82">
        <v>8.0</v>
      </c>
      <c r="H1611" s="82">
        <v>1.0</v>
      </c>
      <c r="I1611" s="82">
        <v>8.0</v>
      </c>
      <c r="J1611" s="152">
        <v>50.0</v>
      </c>
      <c r="K1611" s="84">
        <v>6.25</v>
      </c>
      <c r="L1611" s="155" t="s">
        <v>161</v>
      </c>
    </row>
    <row r="1612" ht="15.0" customHeight="1">
      <c r="A1612" s="82" t="s">
        <v>4989</v>
      </c>
      <c r="B1612" s="82" t="s">
        <v>4990</v>
      </c>
      <c r="C1612" s="82" t="s">
        <v>147</v>
      </c>
      <c r="D1612" s="82" t="s">
        <v>5017</v>
      </c>
      <c r="E1612" s="82" t="s">
        <v>5018</v>
      </c>
      <c r="F1612" s="86" t="s">
        <v>1256</v>
      </c>
      <c r="G1612" s="82">
        <v>8.0</v>
      </c>
      <c r="H1612" s="82">
        <v>1.0</v>
      </c>
      <c r="I1612" s="82">
        <v>8.0</v>
      </c>
      <c r="J1612" s="152">
        <v>50.0</v>
      </c>
      <c r="K1612" s="84">
        <v>6.25</v>
      </c>
      <c r="L1612" s="155" t="s">
        <v>161</v>
      </c>
    </row>
    <row r="1613" ht="15.0" customHeight="1">
      <c r="A1613" s="82" t="s">
        <v>4989</v>
      </c>
      <c r="B1613" s="82" t="s">
        <v>4990</v>
      </c>
      <c r="C1613" s="82" t="s">
        <v>147</v>
      </c>
      <c r="D1613" s="82" t="s">
        <v>5019</v>
      </c>
      <c r="E1613" s="82" t="s">
        <v>5020</v>
      </c>
      <c r="F1613" s="86" t="s">
        <v>1256</v>
      </c>
      <c r="G1613" s="82">
        <v>8.0</v>
      </c>
      <c r="H1613" s="82">
        <v>1.0</v>
      </c>
      <c r="I1613" s="82">
        <v>8.0</v>
      </c>
      <c r="J1613" s="152">
        <v>50.0</v>
      </c>
      <c r="K1613" s="84">
        <v>6.25</v>
      </c>
      <c r="L1613" s="155" t="s">
        <v>161</v>
      </c>
    </row>
    <row r="1614" ht="15.0" customHeight="1">
      <c r="A1614" s="82" t="s">
        <v>4989</v>
      </c>
      <c r="B1614" s="82" t="s">
        <v>4990</v>
      </c>
      <c r="C1614" s="82" t="s">
        <v>147</v>
      </c>
      <c r="D1614" s="82" t="s">
        <v>5021</v>
      </c>
      <c r="E1614" s="82" t="s">
        <v>5022</v>
      </c>
      <c r="F1614" s="86" t="s">
        <v>1256</v>
      </c>
      <c r="G1614" s="82">
        <v>8.0</v>
      </c>
      <c r="H1614" s="82">
        <v>1.0</v>
      </c>
      <c r="I1614" s="82">
        <v>8.0</v>
      </c>
      <c r="J1614" s="152">
        <v>50.0</v>
      </c>
      <c r="K1614" s="84">
        <v>6.25</v>
      </c>
      <c r="L1614" s="155" t="s">
        <v>161</v>
      </c>
    </row>
    <row r="1615" ht="15.0" customHeight="1">
      <c r="A1615" s="82" t="s">
        <v>2934</v>
      </c>
      <c r="B1615" s="82" t="s">
        <v>2935</v>
      </c>
      <c r="C1615" s="82" t="s">
        <v>147</v>
      </c>
      <c r="D1615" s="82" t="s">
        <v>2936</v>
      </c>
      <c r="E1615" s="82" t="s">
        <v>2937</v>
      </c>
      <c r="F1615" s="86" t="s">
        <v>1833</v>
      </c>
      <c r="G1615" s="82">
        <v>5.0</v>
      </c>
      <c r="H1615" s="82">
        <v>5.0</v>
      </c>
      <c r="I1615" s="82">
        <v>5.0</v>
      </c>
      <c r="J1615" s="152">
        <v>50.0</v>
      </c>
      <c r="K1615" s="84">
        <v>10.0</v>
      </c>
      <c r="L1615" s="155" t="s">
        <v>165</v>
      </c>
    </row>
    <row r="1616" ht="15.0" customHeight="1">
      <c r="A1616" s="82" t="s">
        <v>2934</v>
      </c>
      <c r="B1616" s="82" t="s">
        <v>2935</v>
      </c>
      <c r="C1616" s="82" t="s">
        <v>147</v>
      </c>
      <c r="D1616" s="82" t="s">
        <v>5023</v>
      </c>
      <c r="E1616" s="82" t="s">
        <v>2939</v>
      </c>
      <c r="F1616" s="86" t="s">
        <v>1264</v>
      </c>
      <c r="G1616" s="82">
        <v>5.0</v>
      </c>
      <c r="H1616" s="82">
        <v>5.0</v>
      </c>
      <c r="I1616" s="82">
        <v>5.0</v>
      </c>
      <c r="J1616" s="152">
        <v>50.0</v>
      </c>
      <c r="K1616" s="84">
        <v>10.0</v>
      </c>
      <c r="L1616" s="155" t="s">
        <v>165</v>
      </c>
    </row>
    <row r="1617" ht="15.0" customHeight="1">
      <c r="A1617" s="82" t="s">
        <v>2934</v>
      </c>
      <c r="B1617" s="82" t="s">
        <v>2935</v>
      </c>
      <c r="C1617" s="82" t="s">
        <v>147</v>
      </c>
      <c r="D1617" s="82" t="s">
        <v>5024</v>
      </c>
      <c r="E1617" s="82" t="s">
        <v>1682</v>
      </c>
      <c r="F1617" s="86" t="s">
        <v>1264</v>
      </c>
      <c r="G1617" s="82">
        <v>5.0</v>
      </c>
      <c r="H1617" s="82">
        <v>5.0</v>
      </c>
      <c r="I1617" s="82">
        <v>5.0</v>
      </c>
      <c r="J1617" s="152">
        <v>50.0</v>
      </c>
      <c r="K1617" s="84">
        <v>10.0</v>
      </c>
      <c r="L1617" s="155" t="s">
        <v>165</v>
      </c>
    </row>
    <row r="1618" ht="15.0" customHeight="1">
      <c r="A1618" s="82" t="s">
        <v>2934</v>
      </c>
      <c r="B1618" s="82" t="s">
        <v>2935</v>
      </c>
      <c r="C1618" s="82" t="s">
        <v>147</v>
      </c>
      <c r="D1618" s="82" t="s">
        <v>5025</v>
      </c>
      <c r="E1618" s="82" t="s">
        <v>2942</v>
      </c>
      <c r="F1618" s="86" t="s">
        <v>1264</v>
      </c>
      <c r="G1618" s="82">
        <v>5.0</v>
      </c>
      <c r="H1618" s="82">
        <v>5.0</v>
      </c>
      <c r="I1618" s="82">
        <v>5.0</v>
      </c>
      <c r="J1618" s="152">
        <v>50.0</v>
      </c>
      <c r="K1618" s="84">
        <v>10.0</v>
      </c>
      <c r="L1618" s="155" t="s">
        <v>165</v>
      </c>
    </row>
    <row r="1619" ht="15.0" customHeight="1">
      <c r="A1619" s="82" t="s">
        <v>2943</v>
      </c>
      <c r="B1619" s="82" t="s">
        <v>2944</v>
      </c>
      <c r="C1619" s="82" t="s">
        <v>147</v>
      </c>
      <c r="D1619" s="82" t="s">
        <v>2945</v>
      </c>
      <c r="E1619" s="82" t="s">
        <v>2946</v>
      </c>
      <c r="F1619" s="86" t="s">
        <v>1264</v>
      </c>
      <c r="G1619" s="82">
        <v>7.0</v>
      </c>
      <c r="H1619" s="82">
        <v>7.0</v>
      </c>
      <c r="I1619" s="82">
        <v>8.0</v>
      </c>
      <c r="J1619" s="152">
        <v>50.0</v>
      </c>
      <c r="K1619" s="84">
        <v>7.142857142857143</v>
      </c>
      <c r="L1619" s="155" t="s">
        <v>165</v>
      </c>
    </row>
    <row r="1620" ht="15.0" customHeight="1">
      <c r="A1620" s="82" t="s">
        <v>2947</v>
      </c>
      <c r="B1620" s="82" t="s">
        <v>2948</v>
      </c>
      <c r="C1620" s="82" t="s">
        <v>147</v>
      </c>
      <c r="D1620" s="82" t="s">
        <v>2945</v>
      </c>
      <c r="E1620" s="82" t="s">
        <v>2946</v>
      </c>
      <c r="F1620" s="86" t="s">
        <v>1264</v>
      </c>
      <c r="G1620" s="82">
        <v>7.0</v>
      </c>
      <c r="H1620" s="82">
        <v>7.0</v>
      </c>
      <c r="I1620" s="82">
        <v>7.0</v>
      </c>
      <c r="J1620" s="152">
        <v>50.0</v>
      </c>
      <c r="K1620" s="84">
        <v>7.142857142857143</v>
      </c>
      <c r="L1620" s="155" t="s">
        <v>165</v>
      </c>
    </row>
    <row r="1621" ht="15.0" customHeight="1">
      <c r="A1621" s="82" t="s">
        <v>5026</v>
      </c>
      <c r="B1621" s="82" t="s">
        <v>5027</v>
      </c>
      <c r="C1621" s="82" t="s">
        <v>147</v>
      </c>
      <c r="D1621" s="82" t="s">
        <v>5028</v>
      </c>
      <c r="E1621" s="82" t="s">
        <v>5029</v>
      </c>
      <c r="F1621" s="86" t="s">
        <v>1264</v>
      </c>
      <c r="G1621" s="82">
        <v>3.0</v>
      </c>
      <c r="H1621" s="82">
        <v>2.0</v>
      </c>
      <c r="I1621" s="82">
        <v>4.0</v>
      </c>
      <c r="J1621" s="152">
        <v>50.0</v>
      </c>
      <c r="K1621" s="84">
        <v>16.666666666666668</v>
      </c>
      <c r="L1621" s="155" t="s">
        <v>165</v>
      </c>
    </row>
    <row r="1622" ht="15.0" customHeight="1">
      <c r="A1622" s="82" t="s">
        <v>5030</v>
      </c>
      <c r="B1622" s="82" t="s">
        <v>5031</v>
      </c>
      <c r="C1622" s="82" t="s">
        <v>147</v>
      </c>
      <c r="D1622" s="82" t="s">
        <v>5032</v>
      </c>
      <c r="E1622" s="82" t="s">
        <v>5033</v>
      </c>
      <c r="F1622" s="86" t="s">
        <v>259</v>
      </c>
      <c r="G1622" s="82">
        <v>1.0</v>
      </c>
      <c r="H1622" s="82">
        <v>1.0</v>
      </c>
      <c r="I1622" s="82">
        <v>5.0</v>
      </c>
      <c r="J1622" s="152">
        <v>50.0</v>
      </c>
      <c r="K1622" s="84">
        <v>50.0</v>
      </c>
      <c r="L1622" s="155" t="s">
        <v>165</v>
      </c>
    </row>
    <row r="1623" ht="15.0" customHeight="1">
      <c r="A1623" s="82" t="s">
        <v>2950</v>
      </c>
      <c r="B1623" s="82" t="s">
        <v>2951</v>
      </c>
      <c r="C1623" s="82" t="s">
        <v>147</v>
      </c>
      <c r="D1623" s="82" t="s">
        <v>5034</v>
      </c>
      <c r="E1623" s="82" t="s">
        <v>2953</v>
      </c>
      <c r="F1623" s="86" t="s">
        <v>259</v>
      </c>
      <c r="G1623" s="82">
        <v>4.0</v>
      </c>
      <c r="H1623" s="82">
        <v>4.0</v>
      </c>
      <c r="I1623" s="82">
        <v>4.0</v>
      </c>
      <c r="J1623" s="152">
        <v>50.0</v>
      </c>
      <c r="K1623" s="84">
        <v>12.5</v>
      </c>
      <c r="L1623" s="155" t="s">
        <v>165</v>
      </c>
    </row>
    <row r="1624" ht="15.0" customHeight="1">
      <c r="A1624" s="82" t="s">
        <v>5035</v>
      </c>
      <c r="B1624" s="82" t="s">
        <v>5036</v>
      </c>
      <c r="C1624" s="82" t="s">
        <v>147</v>
      </c>
      <c r="D1624" s="82" t="s">
        <v>5037</v>
      </c>
      <c r="E1624" s="82" t="s">
        <v>5038</v>
      </c>
      <c r="F1624" s="86" t="s">
        <v>259</v>
      </c>
      <c r="G1624" s="82">
        <v>1.0</v>
      </c>
      <c r="H1624" s="82">
        <v>1.0</v>
      </c>
      <c r="I1624" s="82">
        <v>5.0</v>
      </c>
      <c r="J1624" s="152">
        <v>50.0</v>
      </c>
      <c r="K1624" s="84">
        <v>50.0</v>
      </c>
      <c r="L1624" s="155" t="s">
        <v>165</v>
      </c>
    </row>
    <row r="1625" ht="15.0" customHeight="1">
      <c r="A1625" s="82" t="s">
        <v>5039</v>
      </c>
      <c r="B1625" s="82" t="s">
        <v>5040</v>
      </c>
      <c r="C1625" s="82" t="s">
        <v>147</v>
      </c>
      <c r="D1625" s="82" t="s">
        <v>5041</v>
      </c>
      <c r="E1625" s="82" t="s">
        <v>5042</v>
      </c>
      <c r="F1625" s="86" t="s">
        <v>259</v>
      </c>
      <c r="G1625" s="82">
        <v>1.0</v>
      </c>
      <c r="H1625" s="82">
        <v>1.0</v>
      </c>
      <c r="I1625" s="82">
        <v>4.0</v>
      </c>
      <c r="J1625" s="152">
        <v>50.0</v>
      </c>
      <c r="K1625" s="84">
        <v>50.0</v>
      </c>
      <c r="L1625" s="155" t="s">
        <v>168</v>
      </c>
    </row>
    <row r="1626" ht="15.0" customHeight="1">
      <c r="A1626" s="82" t="s">
        <v>5043</v>
      </c>
      <c r="B1626" s="82" t="s">
        <v>5044</v>
      </c>
      <c r="C1626" s="82" t="s">
        <v>147</v>
      </c>
      <c r="D1626" s="82" t="s">
        <v>5045</v>
      </c>
      <c r="E1626" s="82" t="s">
        <v>5046</v>
      </c>
      <c r="F1626" s="86" t="s">
        <v>259</v>
      </c>
      <c r="G1626" s="82">
        <v>4.0</v>
      </c>
      <c r="H1626" s="82">
        <v>1.0</v>
      </c>
      <c r="I1626" s="82">
        <v>5.0</v>
      </c>
      <c r="J1626" s="152">
        <v>50.0</v>
      </c>
      <c r="K1626" s="84">
        <v>12.5</v>
      </c>
      <c r="L1626" s="155" t="s">
        <v>168</v>
      </c>
    </row>
    <row r="1627" ht="15.0" customHeight="1">
      <c r="A1627" s="82" t="s">
        <v>5047</v>
      </c>
      <c r="B1627" s="82" t="s">
        <v>5048</v>
      </c>
      <c r="C1627" s="82" t="s">
        <v>147</v>
      </c>
      <c r="D1627" s="82" t="s">
        <v>5049</v>
      </c>
      <c r="E1627" s="82" t="s">
        <v>5050</v>
      </c>
      <c r="F1627" s="86" t="s">
        <v>5051</v>
      </c>
      <c r="G1627" s="82">
        <v>5.0</v>
      </c>
      <c r="H1627" s="82">
        <v>1.0</v>
      </c>
      <c r="I1627" s="82">
        <v>5.0</v>
      </c>
      <c r="J1627" s="152">
        <v>50.0</v>
      </c>
      <c r="K1627" s="84">
        <v>10.0</v>
      </c>
      <c r="L1627" s="155" t="s">
        <v>168</v>
      </c>
    </row>
    <row r="1628" ht="15.0" customHeight="1">
      <c r="A1628" s="82" t="s">
        <v>5052</v>
      </c>
      <c r="B1628" s="82" t="s">
        <v>5053</v>
      </c>
      <c r="C1628" s="82" t="s">
        <v>147</v>
      </c>
      <c r="D1628" s="82" t="s">
        <v>5054</v>
      </c>
      <c r="E1628" s="82" t="s">
        <v>5055</v>
      </c>
      <c r="F1628" s="86" t="s">
        <v>259</v>
      </c>
      <c r="G1628" s="82">
        <v>5.0</v>
      </c>
      <c r="H1628" s="82">
        <v>1.0</v>
      </c>
      <c r="I1628" s="82">
        <v>5.0</v>
      </c>
      <c r="J1628" s="152">
        <v>50.0</v>
      </c>
      <c r="K1628" s="84">
        <v>10.0</v>
      </c>
      <c r="L1628" s="155" t="s">
        <v>168</v>
      </c>
    </row>
    <row r="1629" ht="15.0" customHeight="1">
      <c r="A1629" s="82" t="s">
        <v>5056</v>
      </c>
      <c r="B1629" s="82" t="s">
        <v>5057</v>
      </c>
      <c r="C1629" s="82" t="s">
        <v>147</v>
      </c>
      <c r="D1629" s="82" t="s">
        <v>5058</v>
      </c>
      <c r="E1629" s="82" t="s">
        <v>5059</v>
      </c>
      <c r="F1629" s="86" t="s">
        <v>259</v>
      </c>
      <c r="G1629" s="82">
        <v>4.0</v>
      </c>
      <c r="H1629" s="82">
        <v>1.0</v>
      </c>
      <c r="I1629" s="82">
        <v>6.0</v>
      </c>
      <c r="J1629" s="152">
        <v>50.0</v>
      </c>
      <c r="K1629" s="84">
        <v>12.5</v>
      </c>
      <c r="L1629" s="155" t="s">
        <v>168</v>
      </c>
    </row>
    <row r="1630" ht="15.0" customHeight="1">
      <c r="A1630" s="82" t="s">
        <v>5060</v>
      </c>
      <c r="B1630" s="82" t="s">
        <v>5061</v>
      </c>
      <c r="C1630" s="82" t="s">
        <v>147</v>
      </c>
      <c r="D1630" s="82" t="s">
        <v>5062</v>
      </c>
      <c r="E1630" s="82" t="s">
        <v>5063</v>
      </c>
      <c r="F1630" s="86" t="s">
        <v>259</v>
      </c>
      <c r="G1630" s="82">
        <v>6.0</v>
      </c>
      <c r="H1630" s="82">
        <v>1.0</v>
      </c>
      <c r="I1630" s="82">
        <v>6.0</v>
      </c>
      <c r="J1630" s="152">
        <v>50.0</v>
      </c>
      <c r="K1630" s="84">
        <v>8.33</v>
      </c>
      <c r="L1630" s="155" t="s">
        <v>168</v>
      </c>
    </row>
    <row r="1631" ht="15.0" customHeight="1">
      <c r="A1631" s="82" t="s">
        <v>5060</v>
      </c>
      <c r="B1631" s="82" t="s">
        <v>5061</v>
      </c>
      <c r="C1631" s="82" t="s">
        <v>5064</v>
      </c>
      <c r="D1631" s="82" t="s">
        <v>5065</v>
      </c>
      <c r="E1631" s="82" t="s">
        <v>5066</v>
      </c>
      <c r="F1631" s="86" t="s">
        <v>259</v>
      </c>
      <c r="G1631" s="82">
        <v>6.0</v>
      </c>
      <c r="H1631" s="82">
        <v>1.0</v>
      </c>
      <c r="I1631" s="82">
        <v>6.0</v>
      </c>
      <c r="J1631" s="152">
        <v>50.0</v>
      </c>
      <c r="K1631" s="84">
        <v>8.33</v>
      </c>
      <c r="L1631" s="155" t="s">
        <v>168</v>
      </c>
    </row>
    <row r="1632" ht="15.0" customHeight="1">
      <c r="A1632" s="82" t="s">
        <v>5067</v>
      </c>
      <c r="B1632" s="82" t="s">
        <v>5068</v>
      </c>
      <c r="C1632" s="82" t="s">
        <v>147</v>
      </c>
      <c r="D1632" s="82" t="s">
        <v>5069</v>
      </c>
      <c r="E1632" s="82" t="s">
        <v>5070</v>
      </c>
      <c r="F1632" s="86" t="s">
        <v>1264</v>
      </c>
      <c r="G1632" s="82">
        <v>1.0</v>
      </c>
      <c r="H1632" s="82">
        <v>1.0</v>
      </c>
      <c r="I1632" s="82">
        <v>3.0</v>
      </c>
      <c r="J1632" s="152">
        <v>50.0</v>
      </c>
      <c r="K1632" s="84">
        <v>25.0</v>
      </c>
      <c r="L1632" s="155" t="s">
        <v>170</v>
      </c>
    </row>
    <row r="1633" ht="15.0" customHeight="1">
      <c r="A1633" s="82" t="s">
        <v>5067</v>
      </c>
      <c r="B1633" s="82" t="s">
        <v>5068</v>
      </c>
      <c r="C1633" s="82" t="s">
        <v>147</v>
      </c>
      <c r="D1633" s="82" t="s">
        <v>5071</v>
      </c>
      <c r="E1633" s="82" t="s">
        <v>5072</v>
      </c>
      <c r="F1633" s="86" t="s">
        <v>1264</v>
      </c>
      <c r="G1633" s="82">
        <v>1.0</v>
      </c>
      <c r="H1633" s="82">
        <v>1.0</v>
      </c>
      <c r="I1633" s="82">
        <v>3.0</v>
      </c>
      <c r="J1633" s="152">
        <v>50.0</v>
      </c>
      <c r="K1633" s="84">
        <v>25.0</v>
      </c>
      <c r="L1633" s="155" t="s">
        <v>170</v>
      </c>
    </row>
    <row r="1634" ht="15.0" customHeight="1">
      <c r="A1634" s="82" t="s">
        <v>5073</v>
      </c>
      <c r="B1634" s="82" t="s">
        <v>5074</v>
      </c>
      <c r="C1634" s="82" t="s">
        <v>147</v>
      </c>
      <c r="D1634" s="82" t="s">
        <v>5075</v>
      </c>
      <c r="E1634" s="82" t="s">
        <v>5076</v>
      </c>
      <c r="F1634" s="86" t="s">
        <v>259</v>
      </c>
      <c r="G1634" s="82">
        <v>5.0</v>
      </c>
      <c r="H1634" s="82">
        <v>1.0</v>
      </c>
      <c r="I1634" s="82">
        <v>5.0</v>
      </c>
      <c r="J1634" s="152">
        <v>50.0</v>
      </c>
      <c r="K1634" s="84">
        <v>10.0</v>
      </c>
      <c r="L1634" s="155" t="s">
        <v>5077</v>
      </c>
    </row>
    <row r="1635" ht="15.0" customHeight="1">
      <c r="A1635" s="82" t="s">
        <v>5078</v>
      </c>
      <c r="B1635" s="82" t="s">
        <v>5079</v>
      </c>
      <c r="C1635" s="82" t="s">
        <v>147</v>
      </c>
      <c r="D1635" s="82" t="s">
        <v>5080</v>
      </c>
      <c r="E1635" s="82" t="s">
        <v>5081</v>
      </c>
      <c r="F1635" s="86" t="s">
        <v>259</v>
      </c>
      <c r="G1635" s="82">
        <v>5.0</v>
      </c>
      <c r="H1635" s="82">
        <v>1.0</v>
      </c>
      <c r="I1635" s="82">
        <v>5.0</v>
      </c>
      <c r="J1635" s="152">
        <v>50.0</v>
      </c>
      <c r="K1635" s="84">
        <v>10.0</v>
      </c>
      <c r="L1635" s="155" t="s">
        <v>5077</v>
      </c>
    </row>
    <row r="1636" ht="15.0" customHeight="1">
      <c r="A1636" s="82" t="s">
        <v>5078</v>
      </c>
      <c r="B1636" s="82" t="s">
        <v>5079</v>
      </c>
      <c r="C1636" s="82" t="s">
        <v>147</v>
      </c>
      <c r="D1636" s="82" t="s">
        <v>5082</v>
      </c>
      <c r="E1636" s="82" t="s">
        <v>5083</v>
      </c>
      <c r="F1636" s="86" t="s">
        <v>259</v>
      </c>
      <c r="G1636" s="82">
        <v>5.0</v>
      </c>
      <c r="H1636" s="82">
        <v>1.0</v>
      </c>
      <c r="I1636" s="82">
        <v>5.0</v>
      </c>
      <c r="J1636" s="152">
        <v>50.0</v>
      </c>
      <c r="K1636" s="84">
        <v>10.0</v>
      </c>
      <c r="L1636" s="155" t="s">
        <v>5077</v>
      </c>
    </row>
    <row r="1637" ht="15.0" customHeight="1">
      <c r="A1637" s="82" t="s">
        <v>5084</v>
      </c>
      <c r="B1637" s="82" t="s">
        <v>5085</v>
      </c>
      <c r="C1637" s="82" t="s">
        <v>147</v>
      </c>
      <c r="D1637" s="82" t="s">
        <v>5086</v>
      </c>
      <c r="E1637" s="82" t="s">
        <v>5087</v>
      </c>
      <c r="F1637" s="86" t="s">
        <v>259</v>
      </c>
      <c r="G1637" s="82">
        <v>2.0</v>
      </c>
      <c r="H1637" s="82">
        <v>2.0</v>
      </c>
      <c r="I1637" s="82">
        <v>2.0</v>
      </c>
      <c r="J1637" s="152">
        <v>50.0</v>
      </c>
      <c r="K1637" s="84">
        <v>25.0</v>
      </c>
      <c r="L1637" s="155" t="s">
        <v>5077</v>
      </c>
    </row>
    <row r="1638" ht="15.0" customHeight="1">
      <c r="A1638" s="82" t="s">
        <v>5088</v>
      </c>
      <c r="B1638" s="82" t="s">
        <v>5089</v>
      </c>
      <c r="C1638" s="82" t="s">
        <v>147</v>
      </c>
      <c r="D1638" s="82" t="s">
        <v>5090</v>
      </c>
      <c r="E1638" s="82" t="s">
        <v>5091</v>
      </c>
      <c r="F1638" s="86" t="s">
        <v>259</v>
      </c>
      <c r="G1638" s="82">
        <v>2.0</v>
      </c>
      <c r="H1638" s="82">
        <v>2.0</v>
      </c>
      <c r="I1638" s="82">
        <v>2.0</v>
      </c>
      <c r="J1638" s="152">
        <v>50.0</v>
      </c>
      <c r="K1638" s="84">
        <v>25.0</v>
      </c>
      <c r="L1638" s="155" t="s">
        <v>5077</v>
      </c>
    </row>
    <row r="1639" ht="15.0" customHeight="1">
      <c r="A1639" s="82" t="s">
        <v>5092</v>
      </c>
      <c r="B1639" s="82" t="s">
        <v>5093</v>
      </c>
      <c r="C1639" s="82" t="s">
        <v>147</v>
      </c>
      <c r="D1639" s="82" t="s">
        <v>5094</v>
      </c>
      <c r="E1639" s="82" t="s">
        <v>5095</v>
      </c>
      <c r="F1639" s="86" t="s">
        <v>259</v>
      </c>
      <c r="G1639" s="82">
        <v>5.0</v>
      </c>
      <c r="H1639" s="82">
        <v>5.0</v>
      </c>
      <c r="I1639" s="82">
        <v>5.0</v>
      </c>
      <c r="J1639" s="152">
        <v>50.0</v>
      </c>
      <c r="K1639" s="84">
        <v>10.0</v>
      </c>
      <c r="L1639" s="155" t="s">
        <v>5077</v>
      </c>
    </row>
    <row r="1640" ht="15.0" customHeight="1">
      <c r="A1640" s="82" t="s">
        <v>5096</v>
      </c>
      <c r="B1640" s="82" t="s">
        <v>5097</v>
      </c>
      <c r="C1640" s="82" t="s">
        <v>5098</v>
      </c>
      <c r="D1640" s="82" t="s">
        <v>5099</v>
      </c>
      <c r="E1640" s="82" t="s">
        <v>5100</v>
      </c>
      <c r="F1640" s="86" t="s">
        <v>314</v>
      </c>
      <c r="G1640" s="82">
        <v>2.0</v>
      </c>
      <c r="H1640" s="82">
        <v>1.0</v>
      </c>
      <c r="I1640" s="82">
        <v>2.0</v>
      </c>
      <c r="J1640" s="152">
        <v>50.0</v>
      </c>
      <c r="K1640" s="84">
        <v>25.0</v>
      </c>
      <c r="L1640" s="155" t="s">
        <v>5101</v>
      </c>
    </row>
    <row r="1641" ht="15.0" customHeight="1">
      <c r="A1641" s="82" t="s">
        <v>5096</v>
      </c>
      <c r="B1641" s="82" t="s">
        <v>5097</v>
      </c>
      <c r="C1641" s="82" t="s">
        <v>5098</v>
      </c>
      <c r="D1641" s="82" t="s">
        <v>5102</v>
      </c>
      <c r="E1641" s="82" t="s">
        <v>5103</v>
      </c>
      <c r="F1641" s="86" t="s">
        <v>314</v>
      </c>
      <c r="G1641" s="82">
        <v>2.0</v>
      </c>
      <c r="H1641" s="82">
        <v>1.0</v>
      </c>
      <c r="I1641" s="82">
        <v>2.0</v>
      </c>
      <c r="J1641" s="152">
        <v>50.0</v>
      </c>
      <c r="K1641" s="84">
        <v>25.0</v>
      </c>
      <c r="L1641" s="155" t="s">
        <v>5101</v>
      </c>
    </row>
    <row r="1642" ht="15.0" customHeight="1">
      <c r="A1642" s="82" t="s">
        <v>4418</v>
      </c>
      <c r="B1642" s="82" t="s">
        <v>4419</v>
      </c>
      <c r="C1642" s="82" t="s">
        <v>147</v>
      </c>
      <c r="D1642" s="82" t="s">
        <v>4420</v>
      </c>
      <c r="E1642" s="82" t="s">
        <v>4421</v>
      </c>
      <c r="F1642" s="86" t="s">
        <v>1264</v>
      </c>
      <c r="G1642" s="82">
        <v>3.0</v>
      </c>
      <c r="H1642" s="82">
        <v>3.0</v>
      </c>
      <c r="I1642" s="82">
        <v>5.0</v>
      </c>
      <c r="J1642" s="152">
        <v>50.0</v>
      </c>
      <c r="K1642" s="84">
        <v>16.666666666666668</v>
      </c>
      <c r="L1642" s="155" t="s">
        <v>5104</v>
      </c>
    </row>
    <row r="1643" ht="15.0" customHeight="1">
      <c r="A1643" s="82" t="s">
        <v>4418</v>
      </c>
      <c r="B1643" s="82" t="s">
        <v>4419</v>
      </c>
      <c r="C1643" s="82" t="s">
        <v>147</v>
      </c>
      <c r="D1643" s="82" t="s">
        <v>4422</v>
      </c>
      <c r="E1643" s="82" t="s">
        <v>4423</v>
      </c>
      <c r="F1643" s="86" t="s">
        <v>1264</v>
      </c>
      <c r="G1643" s="82">
        <v>3.0</v>
      </c>
      <c r="H1643" s="82">
        <v>3.0</v>
      </c>
      <c r="I1643" s="82">
        <v>5.0</v>
      </c>
      <c r="J1643" s="152">
        <v>50.0</v>
      </c>
      <c r="K1643" s="84">
        <v>16.666666666666668</v>
      </c>
      <c r="L1643" s="155" t="s">
        <v>5104</v>
      </c>
    </row>
    <row r="1644" ht="15.0" customHeight="1">
      <c r="A1644" s="82" t="s">
        <v>4418</v>
      </c>
      <c r="B1644" s="82" t="s">
        <v>4419</v>
      </c>
      <c r="C1644" s="82" t="s">
        <v>147</v>
      </c>
      <c r="D1644" s="82" t="s">
        <v>4424</v>
      </c>
      <c r="E1644" s="82" t="s">
        <v>4425</v>
      </c>
      <c r="F1644" s="86" t="s">
        <v>1264</v>
      </c>
      <c r="G1644" s="82">
        <v>3.0</v>
      </c>
      <c r="H1644" s="82">
        <v>3.0</v>
      </c>
      <c r="I1644" s="82">
        <v>5.0</v>
      </c>
      <c r="J1644" s="152">
        <v>50.0</v>
      </c>
      <c r="K1644" s="84">
        <v>16.666666666666668</v>
      </c>
      <c r="L1644" s="155" t="s">
        <v>5104</v>
      </c>
    </row>
    <row r="1645" ht="15.0" customHeight="1">
      <c r="A1645" s="82" t="s">
        <v>4418</v>
      </c>
      <c r="B1645" s="82" t="s">
        <v>4419</v>
      </c>
      <c r="C1645" s="82" t="s">
        <v>147</v>
      </c>
      <c r="D1645" s="82" t="s">
        <v>4426</v>
      </c>
      <c r="E1645" s="82" t="s">
        <v>4427</v>
      </c>
      <c r="F1645" s="86" t="s">
        <v>1264</v>
      </c>
      <c r="G1645" s="82">
        <v>3.0</v>
      </c>
      <c r="H1645" s="82">
        <v>3.0</v>
      </c>
      <c r="I1645" s="82">
        <v>5.0</v>
      </c>
      <c r="J1645" s="152">
        <v>50.0</v>
      </c>
      <c r="K1645" s="84">
        <v>16.666666666666668</v>
      </c>
      <c r="L1645" s="155" t="s">
        <v>5104</v>
      </c>
    </row>
    <row r="1646" ht="15.0" customHeight="1">
      <c r="A1646" s="82" t="s">
        <v>4418</v>
      </c>
      <c r="B1646" s="82" t="s">
        <v>4419</v>
      </c>
      <c r="C1646" s="82" t="s">
        <v>147</v>
      </c>
      <c r="D1646" s="82" t="s">
        <v>4428</v>
      </c>
      <c r="E1646" s="82" t="s">
        <v>4429</v>
      </c>
      <c r="F1646" s="86" t="s">
        <v>1264</v>
      </c>
      <c r="G1646" s="82">
        <v>3.0</v>
      </c>
      <c r="H1646" s="82">
        <v>3.0</v>
      </c>
      <c r="I1646" s="82">
        <v>5.0</v>
      </c>
      <c r="J1646" s="152">
        <v>50.0</v>
      </c>
      <c r="K1646" s="84">
        <v>16.666666666666668</v>
      </c>
      <c r="L1646" s="155" t="s">
        <v>5104</v>
      </c>
    </row>
    <row r="1647" ht="15.0" customHeight="1">
      <c r="A1647" s="82" t="s">
        <v>4418</v>
      </c>
      <c r="B1647" s="82" t="s">
        <v>4419</v>
      </c>
      <c r="C1647" s="82" t="s">
        <v>147</v>
      </c>
      <c r="D1647" s="82" t="s">
        <v>4430</v>
      </c>
      <c r="E1647" s="82" t="s">
        <v>4431</v>
      </c>
      <c r="F1647" s="86" t="s">
        <v>1264</v>
      </c>
      <c r="G1647" s="82">
        <v>3.0</v>
      </c>
      <c r="H1647" s="82">
        <v>3.0</v>
      </c>
      <c r="I1647" s="82">
        <v>5.0</v>
      </c>
      <c r="J1647" s="152">
        <v>50.0</v>
      </c>
      <c r="K1647" s="84">
        <v>16.666666666666668</v>
      </c>
      <c r="L1647" s="155" t="s">
        <v>5104</v>
      </c>
    </row>
    <row r="1648" ht="15.0" customHeight="1">
      <c r="A1648" s="82" t="s">
        <v>4418</v>
      </c>
      <c r="B1648" s="82" t="s">
        <v>4419</v>
      </c>
      <c r="C1648" s="82" t="s">
        <v>147</v>
      </c>
      <c r="D1648" s="82" t="s">
        <v>4432</v>
      </c>
      <c r="E1648" s="82" t="s">
        <v>4433</v>
      </c>
      <c r="F1648" s="86" t="s">
        <v>1264</v>
      </c>
      <c r="G1648" s="82">
        <v>3.0</v>
      </c>
      <c r="H1648" s="82">
        <v>3.0</v>
      </c>
      <c r="I1648" s="82">
        <v>5.0</v>
      </c>
      <c r="J1648" s="152">
        <v>50.0</v>
      </c>
      <c r="K1648" s="84">
        <v>16.666666666666668</v>
      </c>
      <c r="L1648" s="155" t="s">
        <v>5104</v>
      </c>
    </row>
    <row r="1649" ht="15.0" customHeight="1">
      <c r="A1649" s="82" t="s">
        <v>4418</v>
      </c>
      <c r="B1649" s="82" t="s">
        <v>4419</v>
      </c>
      <c r="C1649" s="82" t="s">
        <v>147</v>
      </c>
      <c r="D1649" s="82" t="s">
        <v>4434</v>
      </c>
      <c r="E1649" s="82" t="s">
        <v>4435</v>
      </c>
      <c r="F1649" s="86" t="s">
        <v>1264</v>
      </c>
      <c r="G1649" s="82">
        <v>3.0</v>
      </c>
      <c r="H1649" s="82">
        <v>3.0</v>
      </c>
      <c r="I1649" s="82">
        <v>5.0</v>
      </c>
      <c r="J1649" s="152">
        <v>50.0</v>
      </c>
      <c r="K1649" s="84">
        <v>16.666666666666668</v>
      </c>
      <c r="L1649" s="155" t="s">
        <v>5104</v>
      </c>
    </row>
    <row r="1650" ht="15.0" customHeight="1">
      <c r="A1650" s="82" t="s">
        <v>4418</v>
      </c>
      <c r="B1650" s="82" t="s">
        <v>4419</v>
      </c>
      <c r="C1650" s="82" t="s">
        <v>147</v>
      </c>
      <c r="D1650" s="82" t="s">
        <v>4436</v>
      </c>
      <c r="E1650" s="82" t="s">
        <v>4437</v>
      </c>
      <c r="F1650" s="86" t="s">
        <v>1264</v>
      </c>
      <c r="G1650" s="82">
        <v>3.0</v>
      </c>
      <c r="H1650" s="82">
        <v>3.0</v>
      </c>
      <c r="I1650" s="82">
        <v>5.0</v>
      </c>
      <c r="J1650" s="152">
        <v>50.0</v>
      </c>
      <c r="K1650" s="84">
        <v>16.666666666666668</v>
      </c>
      <c r="L1650" s="155" t="s">
        <v>5104</v>
      </c>
    </row>
    <row r="1651" ht="15.0" customHeight="1">
      <c r="A1651" s="82" t="s">
        <v>4418</v>
      </c>
      <c r="B1651" s="82" t="s">
        <v>4419</v>
      </c>
      <c r="C1651" s="82" t="s">
        <v>147</v>
      </c>
      <c r="D1651" s="82" t="s">
        <v>4438</v>
      </c>
      <c r="E1651" s="82" t="s">
        <v>4439</v>
      </c>
      <c r="F1651" s="86" t="s">
        <v>314</v>
      </c>
      <c r="G1651" s="82">
        <v>3.0</v>
      </c>
      <c r="H1651" s="82">
        <v>3.0</v>
      </c>
      <c r="I1651" s="82">
        <v>5.0</v>
      </c>
      <c r="J1651" s="152">
        <v>50.0</v>
      </c>
      <c r="K1651" s="84">
        <v>16.666666666666668</v>
      </c>
      <c r="L1651" s="155" t="s">
        <v>5104</v>
      </c>
    </row>
    <row r="1652" ht="15.0" customHeight="1">
      <c r="A1652" s="82" t="s">
        <v>4418</v>
      </c>
      <c r="B1652" s="82" t="s">
        <v>4419</v>
      </c>
      <c r="C1652" s="82" t="s">
        <v>147</v>
      </c>
      <c r="D1652" s="82" t="s">
        <v>4440</v>
      </c>
      <c r="E1652" s="82" t="s">
        <v>4441</v>
      </c>
      <c r="F1652" s="86" t="s">
        <v>314</v>
      </c>
      <c r="G1652" s="82">
        <v>3.0</v>
      </c>
      <c r="H1652" s="82">
        <v>3.0</v>
      </c>
      <c r="I1652" s="82">
        <v>5.0</v>
      </c>
      <c r="J1652" s="152">
        <v>50.0</v>
      </c>
      <c r="K1652" s="84">
        <v>16.666666666666668</v>
      </c>
      <c r="L1652" s="155" t="s">
        <v>5104</v>
      </c>
    </row>
    <row r="1653" ht="15.0" customHeight="1">
      <c r="A1653" s="82" t="s">
        <v>4418</v>
      </c>
      <c r="B1653" s="82" t="s">
        <v>4419</v>
      </c>
      <c r="C1653" s="82" t="s">
        <v>147</v>
      </c>
      <c r="D1653" s="82" t="s">
        <v>4442</v>
      </c>
      <c r="E1653" s="82" t="s">
        <v>4443</v>
      </c>
      <c r="F1653" s="86" t="s">
        <v>1264</v>
      </c>
      <c r="G1653" s="82">
        <v>3.0</v>
      </c>
      <c r="H1653" s="82">
        <v>3.0</v>
      </c>
      <c r="I1653" s="82">
        <v>5.0</v>
      </c>
      <c r="J1653" s="152">
        <v>50.0</v>
      </c>
      <c r="K1653" s="84">
        <v>16.666666666666668</v>
      </c>
      <c r="L1653" s="155" t="s">
        <v>5104</v>
      </c>
    </row>
    <row r="1654" ht="15.0" customHeight="1">
      <c r="A1654" s="82" t="s">
        <v>4418</v>
      </c>
      <c r="B1654" s="82" t="s">
        <v>4419</v>
      </c>
      <c r="C1654" s="82" t="s">
        <v>147</v>
      </c>
      <c r="D1654" s="82" t="s">
        <v>4444</v>
      </c>
      <c r="E1654" s="82" t="s">
        <v>4445</v>
      </c>
      <c r="F1654" s="86" t="s">
        <v>314</v>
      </c>
      <c r="G1654" s="82">
        <v>3.0</v>
      </c>
      <c r="H1654" s="82">
        <v>3.0</v>
      </c>
      <c r="I1654" s="82">
        <v>5.0</v>
      </c>
      <c r="J1654" s="152">
        <v>50.0</v>
      </c>
      <c r="K1654" s="84">
        <v>16.666666666666668</v>
      </c>
      <c r="L1654" s="155" t="s">
        <v>5104</v>
      </c>
    </row>
    <row r="1655" ht="15.0" customHeight="1">
      <c r="A1655" s="82" t="s">
        <v>4418</v>
      </c>
      <c r="B1655" s="82" t="s">
        <v>4419</v>
      </c>
      <c r="C1655" s="82" t="s">
        <v>147</v>
      </c>
      <c r="D1655" s="82" t="s">
        <v>4446</v>
      </c>
      <c r="E1655" s="82" t="s">
        <v>4447</v>
      </c>
      <c r="F1655" s="86" t="s">
        <v>314</v>
      </c>
      <c r="G1655" s="82">
        <v>3.0</v>
      </c>
      <c r="H1655" s="82">
        <v>3.0</v>
      </c>
      <c r="I1655" s="82">
        <v>5.0</v>
      </c>
      <c r="J1655" s="152">
        <v>50.0</v>
      </c>
      <c r="K1655" s="84">
        <v>16.666666666666668</v>
      </c>
      <c r="L1655" s="155" t="s">
        <v>5104</v>
      </c>
    </row>
    <row r="1656" ht="15.0" customHeight="1">
      <c r="A1656" s="82" t="s">
        <v>5105</v>
      </c>
      <c r="B1656" s="82" t="s">
        <v>5106</v>
      </c>
      <c r="C1656" s="82" t="s">
        <v>147</v>
      </c>
      <c r="D1656" s="82" t="s">
        <v>5107</v>
      </c>
      <c r="E1656" s="82" t="s">
        <v>4705</v>
      </c>
      <c r="F1656" s="86" t="s">
        <v>1264</v>
      </c>
      <c r="G1656" s="82">
        <v>3.0</v>
      </c>
      <c r="H1656" s="82">
        <v>3.0</v>
      </c>
      <c r="I1656" s="82">
        <v>3.0</v>
      </c>
      <c r="J1656" s="152">
        <v>50.0</v>
      </c>
      <c r="K1656" s="84">
        <v>16.67</v>
      </c>
      <c r="L1656" s="155" t="s">
        <v>5108</v>
      </c>
    </row>
    <row r="1657" ht="15.0" customHeight="1">
      <c r="A1657" s="82" t="s">
        <v>5109</v>
      </c>
      <c r="B1657" s="82" t="s">
        <v>5110</v>
      </c>
      <c r="C1657" s="82" t="s">
        <v>147</v>
      </c>
      <c r="D1657" s="82" t="s">
        <v>5111</v>
      </c>
      <c r="E1657" s="82" t="s">
        <v>4683</v>
      </c>
      <c r="F1657" s="86" t="s">
        <v>1264</v>
      </c>
      <c r="G1657" s="82">
        <v>2.0</v>
      </c>
      <c r="H1657" s="82">
        <v>2.0</v>
      </c>
      <c r="I1657" s="82">
        <v>2.0</v>
      </c>
      <c r="J1657" s="152">
        <v>50.0</v>
      </c>
      <c r="K1657" s="84">
        <v>25.0</v>
      </c>
      <c r="L1657" s="155" t="s">
        <v>5108</v>
      </c>
    </row>
    <row r="1658" ht="15.0" customHeight="1">
      <c r="A1658" s="82" t="s">
        <v>5109</v>
      </c>
      <c r="B1658" s="82" t="s">
        <v>5110</v>
      </c>
      <c r="C1658" s="82" t="s">
        <v>147</v>
      </c>
      <c r="D1658" s="82" t="s">
        <v>5112</v>
      </c>
      <c r="E1658" s="82" t="s">
        <v>4685</v>
      </c>
      <c r="F1658" s="86" t="s">
        <v>1264</v>
      </c>
      <c r="G1658" s="82">
        <v>2.0</v>
      </c>
      <c r="H1658" s="82">
        <v>2.0</v>
      </c>
      <c r="I1658" s="82">
        <v>2.0</v>
      </c>
      <c r="J1658" s="152">
        <v>50.0</v>
      </c>
      <c r="K1658" s="84">
        <v>25.0</v>
      </c>
      <c r="L1658" s="155" t="s">
        <v>5108</v>
      </c>
    </row>
    <row r="1659" ht="15.0" customHeight="1">
      <c r="A1659" s="82" t="s">
        <v>5109</v>
      </c>
      <c r="B1659" s="82" t="s">
        <v>5110</v>
      </c>
      <c r="C1659" s="82" t="s">
        <v>147</v>
      </c>
      <c r="D1659" s="82" t="s">
        <v>5113</v>
      </c>
      <c r="E1659" s="82" t="s">
        <v>4687</v>
      </c>
      <c r="F1659" s="86" t="s">
        <v>1264</v>
      </c>
      <c r="G1659" s="82">
        <v>2.0</v>
      </c>
      <c r="H1659" s="82">
        <v>2.0</v>
      </c>
      <c r="I1659" s="82">
        <v>2.0</v>
      </c>
      <c r="J1659" s="152">
        <v>50.0</v>
      </c>
      <c r="K1659" s="84">
        <v>25.0</v>
      </c>
      <c r="L1659" s="155" t="s">
        <v>5108</v>
      </c>
    </row>
    <row r="1660" ht="15.0" customHeight="1">
      <c r="A1660" s="82" t="s">
        <v>5109</v>
      </c>
      <c r="B1660" s="82" t="s">
        <v>4700</v>
      </c>
      <c r="C1660" s="82" t="s">
        <v>147</v>
      </c>
      <c r="D1660" s="82" t="s">
        <v>5114</v>
      </c>
      <c r="E1660" s="82" t="s">
        <v>4702</v>
      </c>
      <c r="F1660" s="86" t="s">
        <v>1264</v>
      </c>
      <c r="G1660" s="82">
        <v>2.0</v>
      </c>
      <c r="H1660" s="82">
        <v>2.0</v>
      </c>
      <c r="I1660" s="82">
        <v>2.0</v>
      </c>
      <c r="J1660" s="152">
        <v>50.0</v>
      </c>
      <c r="K1660" s="84">
        <v>25.0</v>
      </c>
      <c r="L1660" s="155" t="s">
        <v>5108</v>
      </c>
    </row>
    <row r="1661" ht="15.0" customHeight="1">
      <c r="A1661" s="82" t="s">
        <v>4690</v>
      </c>
      <c r="B1661" s="82" t="s">
        <v>5115</v>
      </c>
      <c r="C1661" s="82" t="s">
        <v>147</v>
      </c>
      <c r="D1661" s="82" t="s">
        <v>5116</v>
      </c>
      <c r="E1661" s="82" t="s">
        <v>4692</v>
      </c>
      <c r="F1661" s="86" t="s">
        <v>1264</v>
      </c>
      <c r="G1661" s="82">
        <v>3.0</v>
      </c>
      <c r="H1661" s="82">
        <v>3.0</v>
      </c>
      <c r="I1661" s="82">
        <v>3.0</v>
      </c>
      <c r="J1661" s="152">
        <v>50.0</v>
      </c>
      <c r="K1661" s="84">
        <v>16.67</v>
      </c>
      <c r="L1661" s="155" t="s">
        <v>5108</v>
      </c>
    </row>
    <row r="1662" ht="15.0" customHeight="1">
      <c r="A1662" s="82" t="s">
        <v>4690</v>
      </c>
      <c r="B1662" s="82" t="s">
        <v>5115</v>
      </c>
      <c r="C1662" s="82" t="s">
        <v>147</v>
      </c>
      <c r="D1662" s="82" t="s">
        <v>5117</v>
      </c>
      <c r="E1662" s="82" t="s">
        <v>4608</v>
      </c>
      <c r="F1662" s="86" t="s">
        <v>1264</v>
      </c>
      <c r="G1662" s="82">
        <v>3.0</v>
      </c>
      <c r="H1662" s="82">
        <v>3.0</v>
      </c>
      <c r="I1662" s="82">
        <v>3.0</v>
      </c>
      <c r="J1662" s="152">
        <v>50.0</v>
      </c>
      <c r="K1662" s="84">
        <v>16.67</v>
      </c>
      <c r="L1662" s="155" t="s">
        <v>5108</v>
      </c>
    </row>
    <row r="1663" ht="15.0" customHeight="1">
      <c r="A1663" s="82" t="s">
        <v>4690</v>
      </c>
      <c r="B1663" s="82" t="s">
        <v>5115</v>
      </c>
      <c r="C1663" s="82" t="s">
        <v>147</v>
      </c>
      <c r="D1663" s="82" t="s">
        <v>4693</v>
      </c>
      <c r="E1663" s="82" t="s">
        <v>4694</v>
      </c>
      <c r="F1663" s="86" t="s">
        <v>259</v>
      </c>
      <c r="G1663" s="82">
        <v>3.0</v>
      </c>
      <c r="H1663" s="82">
        <v>3.0</v>
      </c>
      <c r="I1663" s="82">
        <v>3.0</v>
      </c>
      <c r="J1663" s="152">
        <v>50.0</v>
      </c>
      <c r="K1663" s="84">
        <v>16.67</v>
      </c>
      <c r="L1663" s="155" t="s">
        <v>5108</v>
      </c>
    </row>
    <row r="1664" ht="15.0" customHeight="1">
      <c r="A1664" s="82" t="s">
        <v>5118</v>
      </c>
      <c r="B1664" s="82" t="s">
        <v>5119</v>
      </c>
      <c r="C1664" s="82" t="s">
        <v>147</v>
      </c>
      <c r="D1664" s="82" t="s">
        <v>5120</v>
      </c>
      <c r="E1664" s="82" t="s">
        <v>1116</v>
      </c>
      <c r="F1664" s="86" t="s">
        <v>1264</v>
      </c>
      <c r="G1664" s="82">
        <v>4.0</v>
      </c>
      <c r="H1664" s="82">
        <v>4.0</v>
      </c>
      <c r="I1664" s="82">
        <v>4.0</v>
      </c>
      <c r="J1664" s="152">
        <v>50.0</v>
      </c>
      <c r="K1664" s="84">
        <v>12.5</v>
      </c>
      <c r="L1664" s="155" t="s">
        <v>5108</v>
      </c>
    </row>
    <row r="1665" ht="12.75" customHeight="1">
      <c r="A1665" s="82" t="s">
        <v>5121</v>
      </c>
      <c r="B1665" s="82" t="s">
        <v>5122</v>
      </c>
      <c r="C1665" s="82" t="s">
        <v>147</v>
      </c>
      <c r="D1665" s="82" t="s">
        <v>5123</v>
      </c>
      <c r="E1665" s="82" t="s">
        <v>5124</v>
      </c>
      <c r="F1665" s="86" t="s">
        <v>1256</v>
      </c>
      <c r="G1665" s="82">
        <v>2.0</v>
      </c>
      <c r="H1665" s="82">
        <v>1.0</v>
      </c>
      <c r="I1665" s="82">
        <v>7.0</v>
      </c>
      <c r="J1665" s="152">
        <v>50.0</v>
      </c>
      <c r="K1665" s="84">
        <v>25.0</v>
      </c>
      <c r="L1665" s="155" t="s">
        <v>5125</v>
      </c>
    </row>
    <row r="1666" ht="15.75" customHeight="1">
      <c r="A1666" s="193" t="s">
        <v>185</v>
      </c>
      <c r="B1666" s="61"/>
      <c r="C1666" s="1"/>
      <c r="D1666" s="1"/>
      <c r="E1666" s="1"/>
      <c r="F1666" s="1"/>
      <c r="G1666" s="1"/>
      <c r="H1666" s="1"/>
      <c r="I1666" s="1"/>
      <c r="J1666" s="106"/>
      <c r="K1666" s="194">
        <f>SUM(K16:K1665)</f>
        <v>37165.14351</v>
      </c>
    </row>
    <row r="1667" ht="15.75" customHeight="1">
      <c r="A1667" s="193"/>
      <c r="B1667" s="61"/>
      <c r="C1667" s="1"/>
      <c r="D1667" s="1"/>
      <c r="E1667" s="1"/>
      <c r="F1667" s="1"/>
      <c r="G1667" s="1"/>
      <c r="H1667" s="1"/>
      <c r="I1667" s="1"/>
      <c r="J1667" s="1"/>
      <c r="K1667" s="193"/>
    </row>
    <row r="1668" ht="15.75" customHeight="1">
      <c r="A1668" s="144" t="s">
        <v>1169</v>
      </c>
      <c r="B1668" s="103"/>
      <c r="C1668" s="103"/>
      <c r="D1668" s="103"/>
      <c r="E1668" s="103"/>
      <c r="F1668" s="103"/>
      <c r="G1668" s="103"/>
      <c r="H1668" s="103"/>
      <c r="I1668" s="103"/>
      <c r="J1668" s="103"/>
      <c r="K1668" s="103"/>
    </row>
  </sheetData>
  <mergeCells count="12">
    <mergeCell ref="A10:K10"/>
    <mergeCell ref="A11:K11"/>
    <mergeCell ref="A12:K12"/>
    <mergeCell ref="A13:K13"/>
    <mergeCell ref="A1668:K1668"/>
    <mergeCell ref="A2:K2"/>
    <mergeCell ref="A4:K4"/>
    <mergeCell ref="A5:K5"/>
    <mergeCell ref="A6:K6"/>
    <mergeCell ref="A7:K7"/>
    <mergeCell ref="A8:K8"/>
    <mergeCell ref="A9:K9"/>
  </mergeCells>
  <hyperlinks>
    <hyperlink r:id="rId1" ref="E16"/>
    <hyperlink r:id="rId2" ref="E24"/>
    <hyperlink r:id="rId3" ref="E25"/>
    <hyperlink r:id="rId4" ref="E26"/>
    <hyperlink r:id="rId5" ref="E38"/>
    <hyperlink r:id="rId6" ref="E45"/>
    <hyperlink r:id="rId7" ref="E78"/>
    <hyperlink r:id="rId8" ref="E80"/>
    <hyperlink r:id="rId9" ref="E81"/>
    <hyperlink r:id="rId10" ref="E82"/>
    <hyperlink r:id="rId11" ref="E83"/>
    <hyperlink r:id="rId12" ref="E85"/>
    <hyperlink r:id="rId13" ref="E87"/>
    <hyperlink r:id="rId14" ref="E88"/>
    <hyperlink r:id="rId15" ref="E89"/>
    <hyperlink r:id="rId16" ref="E90"/>
    <hyperlink r:id="rId17" ref="D91"/>
    <hyperlink r:id="rId18" ref="E91"/>
    <hyperlink r:id="rId19" ref="D92"/>
    <hyperlink r:id="rId20" ref="E93"/>
    <hyperlink r:id="rId21" ref="E98"/>
    <hyperlink r:id="rId22" ref="E99"/>
    <hyperlink r:id="rId23" ref="E100"/>
    <hyperlink r:id="rId24" ref="B104"/>
    <hyperlink r:id="rId25" ref="E105"/>
    <hyperlink r:id="rId26" ref="E106"/>
    <hyperlink r:id="rId27" ref="E107"/>
    <hyperlink r:id="rId28" ref="E108"/>
    <hyperlink r:id="rId29" ref="E109"/>
    <hyperlink r:id="rId30" ref="E110"/>
    <hyperlink r:id="rId31" ref="E111"/>
    <hyperlink r:id="rId32" ref="E112"/>
    <hyperlink r:id="rId33" ref="E113"/>
    <hyperlink r:id="rId34" ref="E114"/>
    <hyperlink r:id="rId35" ref="E115"/>
    <hyperlink r:id="rId36" ref="E116"/>
    <hyperlink r:id="rId37" ref="E117"/>
    <hyperlink r:id="rId38" ref="E118"/>
    <hyperlink r:id="rId39" ref="E119"/>
    <hyperlink r:id="rId40" ref="E120"/>
    <hyperlink r:id="rId41" ref="E121"/>
    <hyperlink r:id="rId42" ref="E122"/>
    <hyperlink r:id="rId43" ref="E123"/>
    <hyperlink r:id="rId44" ref="E124"/>
    <hyperlink r:id="rId45" ref="E125"/>
    <hyperlink r:id="rId46" ref="E126"/>
    <hyperlink r:id="rId47" ref="E127"/>
    <hyperlink r:id="rId48" ref="E128"/>
    <hyperlink r:id="rId49" ref="E129"/>
    <hyperlink r:id="rId50" ref="E130"/>
    <hyperlink r:id="rId51" ref="E131"/>
    <hyperlink r:id="rId52" ref="E132"/>
    <hyperlink r:id="rId53" ref="E133"/>
    <hyperlink r:id="rId54" ref="E134"/>
    <hyperlink r:id="rId55" ref="E135"/>
    <hyperlink r:id="rId56" ref="E136"/>
    <hyperlink r:id="rId57" ref="E137"/>
    <hyperlink r:id="rId58" ref="E138"/>
    <hyperlink r:id="rId59" ref="E139"/>
    <hyperlink r:id="rId60" ref="E140"/>
    <hyperlink r:id="rId61" ref="E141"/>
    <hyperlink r:id="rId62" ref="E142"/>
    <hyperlink r:id="rId63" ref="E143"/>
    <hyperlink r:id="rId64" ref="E144"/>
    <hyperlink r:id="rId65" ref="E145"/>
    <hyperlink r:id="rId66" ref="E146"/>
    <hyperlink r:id="rId67" ref="E147"/>
    <hyperlink r:id="rId68" ref="E148"/>
    <hyperlink r:id="rId69" ref="E149"/>
    <hyperlink r:id="rId70" ref="E150"/>
    <hyperlink r:id="rId71" ref="E151"/>
    <hyperlink r:id="rId72" ref="E152"/>
    <hyperlink r:id="rId73" ref="E153"/>
    <hyperlink r:id="rId74" ref="E154"/>
    <hyperlink r:id="rId75" ref="E155"/>
    <hyperlink r:id="rId76" ref="E156"/>
    <hyperlink r:id="rId77" ref="E157"/>
    <hyperlink r:id="rId78" ref="E158"/>
    <hyperlink r:id="rId79" ref="E159"/>
    <hyperlink r:id="rId80" ref="E160"/>
    <hyperlink r:id="rId81" ref="E161"/>
    <hyperlink r:id="rId82" ref="E162"/>
    <hyperlink r:id="rId83" ref="E163"/>
    <hyperlink r:id="rId84" ref="E164"/>
    <hyperlink r:id="rId85" ref="E165"/>
    <hyperlink r:id="rId86" ref="E166"/>
    <hyperlink r:id="rId87" ref="E167"/>
    <hyperlink r:id="rId88" ref="E168"/>
    <hyperlink r:id="rId89" ref="E169"/>
    <hyperlink r:id="rId90" ref="E170"/>
    <hyperlink r:id="rId91" ref="E171"/>
    <hyperlink r:id="rId92" ref="E172"/>
    <hyperlink r:id="rId93" ref="E173"/>
    <hyperlink r:id="rId94" ref="E174"/>
    <hyperlink r:id="rId95" ref="E175"/>
    <hyperlink r:id="rId96" ref="E176"/>
    <hyperlink r:id="rId97" ref="E177"/>
    <hyperlink r:id="rId98" ref="E178"/>
    <hyperlink r:id="rId99" ref="E179"/>
    <hyperlink r:id="rId100" ref="E180"/>
    <hyperlink r:id="rId101" ref="E181"/>
    <hyperlink r:id="rId102" ref="E182"/>
    <hyperlink r:id="rId103" ref="E183"/>
    <hyperlink r:id="rId104" ref="E184"/>
    <hyperlink r:id="rId105" ref="E185"/>
    <hyperlink r:id="rId106" ref="E186"/>
    <hyperlink r:id="rId107" ref="E187"/>
    <hyperlink r:id="rId108" ref="E188"/>
    <hyperlink r:id="rId109" ref="E189"/>
    <hyperlink r:id="rId110" ref="E190"/>
    <hyperlink r:id="rId111" ref="E191"/>
    <hyperlink r:id="rId112" ref="E192"/>
    <hyperlink r:id="rId113" ref="E193"/>
    <hyperlink r:id="rId114" ref="E194"/>
    <hyperlink r:id="rId115" ref="E195"/>
    <hyperlink r:id="rId116" ref="E196"/>
    <hyperlink r:id="rId117" ref="E197"/>
    <hyperlink r:id="rId118" ref="E198"/>
    <hyperlink r:id="rId119" ref="E199"/>
    <hyperlink r:id="rId120" ref="E200"/>
    <hyperlink r:id="rId121" ref="E201"/>
    <hyperlink r:id="rId122" ref="E202"/>
    <hyperlink r:id="rId123" ref="E203"/>
    <hyperlink r:id="rId124" ref="E204"/>
    <hyperlink r:id="rId125" ref="E205"/>
    <hyperlink r:id="rId126" ref="E206"/>
    <hyperlink r:id="rId127" ref="E207"/>
    <hyperlink r:id="rId128" ref="E208"/>
    <hyperlink r:id="rId129" ref="E209"/>
    <hyperlink r:id="rId130" ref="E210"/>
    <hyperlink r:id="rId131" ref="E211"/>
    <hyperlink r:id="rId132" ref="E212"/>
    <hyperlink r:id="rId133" ref="E213"/>
    <hyperlink r:id="rId134" ref="E214"/>
    <hyperlink r:id="rId135" ref="E215"/>
    <hyperlink r:id="rId136" ref="E216"/>
    <hyperlink r:id="rId137" ref="E218"/>
    <hyperlink r:id="rId138" ref="E219"/>
    <hyperlink r:id="rId139" location="cebib0010" ref="E220"/>
    <hyperlink r:id="rId140" ref="E221"/>
    <hyperlink r:id="rId141" ref="E222"/>
    <hyperlink r:id="rId142" ref="E228"/>
    <hyperlink r:id="rId143" ref="E229"/>
    <hyperlink r:id="rId144" ref="E238"/>
    <hyperlink r:id="rId145" ref="E244"/>
    <hyperlink r:id="rId146" ref="E245"/>
    <hyperlink r:id="rId147" ref="E246"/>
    <hyperlink r:id="rId148" ref="E250"/>
    <hyperlink r:id="rId149" ref="E251"/>
    <hyperlink r:id="rId150" ref="E252"/>
    <hyperlink r:id="rId151" ref="E253"/>
    <hyperlink r:id="rId152" ref="E254"/>
    <hyperlink r:id="rId153" ref="E255"/>
    <hyperlink r:id="rId154" ref="E256"/>
    <hyperlink r:id="rId155" ref="E257"/>
    <hyperlink r:id="rId156" ref="E258"/>
    <hyperlink r:id="rId157" ref="E259"/>
    <hyperlink r:id="rId158" ref="E265"/>
    <hyperlink r:id="rId159" ref="E272"/>
    <hyperlink r:id="rId160" ref="E319"/>
    <hyperlink r:id="rId161" ref="E320"/>
    <hyperlink r:id="rId162" ref="E321"/>
    <hyperlink r:id="rId163" ref="E322"/>
    <hyperlink r:id="rId164" ref="E323"/>
    <hyperlink r:id="rId165" ref="E324"/>
    <hyperlink r:id="rId166" ref="E325"/>
    <hyperlink r:id="rId167" ref="E326"/>
    <hyperlink r:id="rId168" location="bi005" ref="E327"/>
    <hyperlink r:id="rId169" ref="E328"/>
    <hyperlink r:id="rId170" ref="E329"/>
    <hyperlink r:id="rId171" ref="E330"/>
    <hyperlink r:id="rId172" ref="E331"/>
    <hyperlink r:id="rId173" ref="E332"/>
    <hyperlink r:id="rId174" ref="E333"/>
    <hyperlink r:id="rId175" ref="E334"/>
    <hyperlink r:id="rId176" ref="E335"/>
    <hyperlink r:id="rId177" ref="E336"/>
    <hyperlink r:id="rId178" ref="E337"/>
    <hyperlink r:id="rId179" ref="E338"/>
    <hyperlink r:id="rId180" ref="E339"/>
    <hyperlink r:id="rId181" ref="E340"/>
    <hyperlink r:id="rId182" ref="E341"/>
    <hyperlink r:id="rId183" ref="F341"/>
    <hyperlink r:id="rId184" ref="E342"/>
    <hyperlink r:id="rId185" ref="F342"/>
    <hyperlink r:id="rId186" ref="E343"/>
    <hyperlink r:id="rId187" ref="F343"/>
    <hyperlink r:id="rId188" ref="E344"/>
    <hyperlink r:id="rId189" ref="F344"/>
    <hyperlink r:id="rId190" ref="E345"/>
    <hyperlink r:id="rId191" ref="F345"/>
    <hyperlink r:id="rId192" ref="E346"/>
    <hyperlink r:id="rId193" ref="E353"/>
    <hyperlink r:id="rId194" ref="E354"/>
    <hyperlink r:id="rId195" ref="E355"/>
    <hyperlink r:id="rId196" ref="E356"/>
    <hyperlink r:id="rId197" ref="E357"/>
    <hyperlink r:id="rId198" ref="E359"/>
    <hyperlink r:id="rId199" ref="E360"/>
    <hyperlink r:id="rId200" ref="E361"/>
    <hyperlink r:id="rId201" ref="E362"/>
    <hyperlink r:id="rId202" ref="E363"/>
    <hyperlink r:id="rId203" ref="E364"/>
    <hyperlink r:id="rId204" ref="E365"/>
    <hyperlink r:id="rId205" ref="E366"/>
    <hyperlink r:id="rId206" ref="E367"/>
    <hyperlink r:id="rId207" ref="E368"/>
    <hyperlink r:id="rId208" ref="E369"/>
    <hyperlink r:id="rId209" ref="E370"/>
    <hyperlink r:id="rId210" ref="E371"/>
    <hyperlink r:id="rId211" ref="E372"/>
    <hyperlink r:id="rId212" ref="E373"/>
    <hyperlink r:id="rId213" ref="E374"/>
    <hyperlink r:id="rId214" ref="E375"/>
    <hyperlink r:id="rId215" ref="E376"/>
    <hyperlink r:id="rId216" ref="E377"/>
    <hyperlink r:id="rId217" ref="E378"/>
    <hyperlink r:id="rId218" ref="E379"/>
    <hyperlink r:id="rId219" ref="E380"/>
    <hyperlink r:id="rId220" ref="E383"/>
    <hyperlink r:id="rId221" ref="E384"/>
    <hyperlink r:id="rId222" ref="E390"/>
    <hyperlink r:id="rId223" ref="E393"/>
    <hyperlink r:id="rId224" ref="E394"/>
    <hyperlink r:id="rId225" ref="E515"/>
    <hyperlink r:id="rId226" ref="E516"/>
    <hyperlink r:id="rId227" ref="E517"/>
    <hyperlink r:id="rId228" ref="E518"/>
    <hyperlink r:id="rId229" ref="E520"/>
    <hyperlink r:id="rId230" ref="E521"/>
    <hyperlink r:id="rId231" ref="E523"/>
    <hyperlink r:id="rId232" ref="E526"/>
    <hyperlink r:id="rId233" ref="E528"/>
    <hyperlink r:id="rId234" ref="E530"/>
    <hyperlink r:id="rId235" ref="E531"/>
    <hyperlink r:id="rId236" ref="E533"/>
    <hyperlink r:id="rId237" ref="E535"/>
    <hyperlink r:id="rId238" ref="E537"/>
    <hyperlink r:id="rId239" ref="E539"/>
    <hyperlink r:id="rId240" ref="E540"/>
    <hyperlink r:id="rId241" ref="E541"/>
    <hyperlink r:id="rId242" ref="E546"/>
    <hyperlink r:id="rId243" ref="E547"/>
    <hyperlink r:id="rId244" ref="E548"/>
    <hyperlink r:id="rId245" ref="E549"/>
    <hyperlink r:id="rId246" ref="E550"/>
    <hyperlink r:id="rId247" ref="E551"/>
    <hyperlink r:id="rId248" ref="E552"/>
    <hyperlink r:id="rId249" ref="E553"/>
    <hyperlink r:id="rId250" ref="E554"/>
    <hyperlink r:id="rId251" ref="E555"/>
    <hyperlink r:id="rId252" ref="E556"/>
    <hyperlink r:id="rId253" ref="E558"/>
    <hyperlink r:id="rId254" ref="E559"/>
    <hyperlink r:id="rId255" ref="E560"/>
    <hyperlink r:id="rId256" ref="E562"/>
    <hyperlink r:id="rId257" ref="E564"/>
    <hyperlink r:id="rId258" ref="E568"/>
    <hyperlink r:id="rId259" ref="E570"/>
    <hyperlink r:id="rId260" ref="E571"/>
    <hyperlink r:id="rId261" ref="E572"/>
    <hyperlink r:id="rId262" ref="E573"/>
    <hyperlink r:id="rId263" ref="E578"/>
    <hyperlink r:id="rId264" ref="E579"/>
    <hyperlink r:id="rId265" ref="E580"/>
    <hyperlink r:id="rId266" ref="E584"/>
    <hyperlink r:id="rId267" ref="E586"/>
    <hyperlink r:id="rId268" ref="E588"/>
    <hyperlink r:id="rId269" ref="E589"/>
    <hyperlink r:id="rId270" ref="E590"/>
    <hyperlink r:id="rId271" ref="E591"/>
    <hyperlink r:id="rId272" ref="E593"/>
    <hyperlink r:id="rId273" ref="E594"/>
    <hyperlink r:id="rId274" ref="E595"/>
    <hyperlink r:id="rId275" ref="B596"/>
    <hyperlink r:id="rId276" ref="E596"/>
    <hyperlink r:id="rId277" ref="B597"/>
    <hyperlink r:id="rId278" ref="E597"/>
    <hyperlink r:id="rId279" ref="E598"/>
    <hyperlink r:id="rId280" ref="E599"/>
    <hyperlink r:id="rId281" ref="E600"/>
    <hyperlink r:id="rId282" ref="E601"/>
    <hyperlink r:id="rId283" location="citeas" ref="E602"/>
    <hyperlink r:id="rId284" ref="E603"/>
    <hyperlink r:id="rId285" ref="E604"/>
    <hyperlink r:id="rId286" ref="E605"/>
    <hyperlink r:id="rId287" ref="E606"/>
    <hyperlink r:id="rId288" ref="E607"/>
    <hyperlink r:id="rId289" ref="E608"/>
    <hyperlink r:id="rId290" ref="E609"/>
    <hyperlink r:id="rId291" ref="E610"/>
    <hyperlink r:id="rId292" ref="E611"/>
    <hyperlink r:id="rId293" ref="E612"/>
    <hyperlink r:id="rId294" ref="E613"/>
    <hyperlink r:id="rId295" ref="E614"/>
    <hyperlink r:id="rId296" ref="E615"/>
    <hyperlink r:id="rId297" ref="E616"/>
    <hyperlink r:id="rId298" ref="B617"/>
    <hyperlink r:id="rId299" ref="E617"/>
    <hyperlink r:id="rId300" ref="B618"/>
    <hyperlink r:id="rId301" ref="E618"/>
    <hyperlink r:id="rId302" ref="E619"/>
    <hyperlink r:id="rId303" ref="E620"/>
    <hyperlink r:id="rId304" ref="E621"/>
    <hyperlink r:id="rId305" ref="E622"/>
    <hyperlink r:id="rId306" ref="E623"/>
    <hyperlink r:id="rId307" ref="E624"/>
    <hyperlink r:id="rId308" ref="E625"/>
    <hyperlink r:id="rId309" ref="E626"/>
    <hyperlink r:id="rId310" ref="E627"/>
    <hyperlink r:id="rId311" ref="E628"/>
    <hyperlink r:id="rId312" ref="E629"/>
    <hyperlink r:id="rId313" ref="E630"/>
    <hyperlink r:id="rId314" ref="E631"/>
    <hyperlink r:id="rId315" ref="E632"/>
    <hyperlink r:id="rId316" ref="E633"/>
    <hyperlink r:id="rId317" ref="E634"/>
    <hyperlink r:id="rId318" ref="E635"/>
    <hyperlink r:id="rId319" ref="E636"/>
    <hyperlink r:id="rId320" ref="E650"/>
    <hyperlink r:id="rId321" ref="E658"/>
    <hyperlink r:id="rId322" ref="E660"/>
    <hyperlink r:id="rId323" ref="E661"/>
    <hyperlink r:id="rId324" ref="E663"/>
    <hyperlink r:id="rId325" ref="E664"/>
    <hyperlink r:id="rId326" ref="E666"/>
    <hyperlink r:id="rId327" ref="E667"/>
    <hyperlink r:id="rId328" ref="E668"/>
    <hyperlink r:id="rId329" ref="E669"/>
    <hyperlink r:id="rId330" ref="E670"/>
    <hyperlink r:id="rId331" ref="E671"/>
    <hyperlink r:id="rId332" ref="E672"/>
    <hyperlink r:id="rId333" ref="E673"/>
    <hyperlink r:id="rId334" ref="E674"/>
    <hyperlink r:id="rId335" ref="E675"/>
    <hyperlink r:id="rId336" ref="E676"/>
    <hyperlink r:id="rId337" ref="E677"/>
    <hyperlink r:id="rId338" ref="E678"/>
    <hyperlink r:id="rId339" ref="E679"/>
    <hyperlink r:id="rId340" ref="E680"/>
    <hyperlink r:id="rId341" ref="E681"/>
    <hyperlink r:id="rId342" ref="E682"/>
    <hyperlink r:id="rId343" ref="E683"/>
    <hyperlink r:id="rId344" ref="E684"/>
    <hyperlink r:id="rId345" ref="E685"/>
    <hyperlink r:id="rId346" ref="E686"/>
    <hyperlink r:id="rId347" ref="E687"/>
    <hyperlink r:id="rId348" ref="E688"/>
    <hyperlink r:id="rId349" ref="E689"/>
    <hyperlink r:id="rId350" ref="E690"/>
    <hyperlink r:id="rId351" ref="E691"/>
    <hyperlink r:id="rId352" ref="E692"/>
    <hyperlink r:id="rId353" ref="E693"/>
    <hyperlink r:id="rId354" ref="E694"/>
    <hyperlink r:id="rId355" ref="E695"/>
    <hyperlink r:id="rId356" ref="E696"/>
    <hyperlink r:id="rId357" ref="E697"/>
    <hyperlink r:id="rId358" ref="E698"/>
    <hyperlink r:id="rId359" ref="E699"/>
    <hyperlink r:id="rId360" ref="E700"/>
    <hyperlink r:id="rId361" ref="E701"/>
    <hyperlink r:id="rId362" ref="E702"/>
    <hyperlink r:id="rId363" ref="E703"/>
    <hyperlink r:id="rId364" ref="E704"/>
    <hyperlink r:id="rId365" ref="E705"/>
    <hyperlink r:id="rId366" ref="E706"/>
    <hyperlink r:id="rId367" ref="E707"/>
    <hyperlink r:id="rId368" ref="E708"/>
    <hyperlink r:id="rId369" ref="E709"/>
    <hyperlink r:id="rId370" ref="E710"/>
    <hyperlink r:id="rId371" ref="E711"/>
    <hyperlink r:id="rId372" ref="E712"/>
    <hyperlink r:id="rId373" ref="E713"/>
    <hyperlink r:id="rId374" ref="E714"/>
    <hyperlink r:id="rId375" ref="E715"/>
    <hyperlink r:id="rId376" ref="E716"/>
    <hyperlink r:id="rId377" ref="E717"/>
    <hyperlink r:id="rId378" ref="E718"/>
    <hyperlink r:id="rId379" ref="E719"/>
    <hyperlink r:id="rId380" ref="D720"/>
    <hyperlink r:id="rId381" ref="B722"/>
    <hyperlink r:id="rId382" ref="D725"/>
    <hyperlink r:id="rId383" ref="D726"/>
    <hyperlink r:id="rId384" ref="D727"/>
    <hyperlink r:id="rId385" ref="D729"/>
    <hyperlink r:id="rId386" ref="E731"/>
    <hyperlink r:id="rId387" ref="E732"/>
    <hyperlink r:id="rId388" ref="E733"/>
    <hyperlink r:id="rId389" ref="E734"/>
    <hyperlink r:id="rId390" ref="E735"/>
    <hyperlink r:id="rId391" ref="E736"/>
    <hyperlink r:id="rId392" ref="E737"/>
    <hyperlink r:id="rId393" ref="E738"/>
    <hyperlink r:id="rId394" ref="E739"/>
    <hyperlink r:id="rId395" ref="E740"/>
    <hyperlink r:id="rId396" ref="E742"/>
    <hyperlink r:id="rId397" ref="E743"/>
    <hyperlink r:id="rId398" ref="E744"/>
    <hyperlink r:id="rId399" ref="E745"/>
    <hyperlink r:id="rId400" ref="E746"/>
    <hyperlink r:id="rId401" ref="E748"/>
    <hyperlink r:id="rId402" ref="E749"/>
    <hyperlink r:id="rId403" ref="E751"/>
    <hyperlink r:id="rId404" ref="E752"/>
    <hyperlink r:id="rId405" ref="E753"/>
    <hyperlink r:id="rId406" ref="E755"/>
    <hyperlink r:id="rId407" ref="E756"/>
    <hyperlink r:id="rId408" ref="E761"/>
    <hyperlink r:id="rId409" location="v=onepage&amp;q&amp;f=false" ref="E764"/>
    <hyperlink r:id="rId410" ref="E767"/>
    <hyperlink r:id="rId411" ref="E768"/>
    <hyperlink r:id="rId412" ref="E769"/>
    <hyperlink r:id="rId413" ref="E770"/>
    <hyperlink r:id="rId414" ref="E771"/>
    <hyperlink r:id="rId415" ref="E772"/>
    <hyperlink r:id="rId416" ref="E773"/>
    <hyperlink r:id="rId417" ref="E774"/>
    <hyperlink r:id="rId418" ref="E775"/>
    <hyperlink r:id="rId419" ref="E776"/>
    <hyperlink r:id="rId420" ref="F776"/>
    <hyperlink r:id="rId421" ref="E777"/>
    <hyperlink r:id="rId422" ref="F778"/>
    <hyperlink r:id="rId423" ref="E779"/>
    <hyperlink r:id="rId424" ref="F779"/>
    <hyperlink r:id="rId425" ref="E780"/>
    <hyperlink r:id="rId426" ref="E781"/>
    <hyperlink r:id="rId427" ref="E782"/>
    <hyperlink r:id="rId428" ref="F782"/>
    <hyperlink r:id="rId429" ref="E783"/>
    <hyperlink r:id="rId430" ref="F783"/>
    <hyperlink r:id="rId431" ref="E784"/>
    <hyperlink r:id="rId432" ref="F784"/>
    <hyperlink r:id="rId433" ref="B785"/>
    <hyperlink r:id="rId434" ref="E785"/>
    <hyperlink r:id="rId435" ref="F785"/>
    <hyperlink r:id="rId436" ref="E790"/>
    <hyperlink r:id="rId437" ref="E791"/>
    <hyperlink r:id="rId438" ref="E794"/>
    <hyperlink r:id="rId439" ref="E795"/>
    <hyperlink r:id="rId440" ref="E796"/>
    <hyperlink r:id="rId441" ref="E797"/>
    <hyperlink r:id="rId442" ref="E798"/>
    <hyperlink r:id="rId443" ref="E799"/>
    <hyperlink r:id="rId444" ref="E801"/>
    <hyperlink r:id="rId445" ref="E802"/>
    <hyperlink r:id="rId446" ref="E803"/>
    <hyperlink r:id="rId447" ref="E804"/>
    <hyperlink r:id="rId448" ref="E806"/>
    <hyperlink r:id="rId449" ref="E807"/>
    <hyperlink r:id="rId450" ref="E808"/>
    <hyperlink r:id="rId451" ref="E809"/>
    <hyperlink r:id="rId452" ref="E810"/>
    <hyperlink r:id="rId453" ref="E811"/>
    <hyperlink r:id="rId454" ref="E812"/>
    <hyperlink r:id="rId455" ref="E813"/>
    <hyperlink r:id="rId456" ref="E814"/>
    <hyperlink r:id="rId457" ref="E815"/>
    <hyperlink r:id="rId458" ref="E816"/>
    <hyperlink r:id="rId459" ref="E817"/>
    <hyperlink r:id="rId460" ref="E818"/>
    <hyperlink r:id="rId461" ref="E819"/>
    <hyperlink r:id="rId462" ref="E820"/>
    <hyperlink r:id="rId463" ref="E821"/>
    <hyperlink r:id="rId464" ref="E822"/>
    <hyperlink r:id="rId465" ref="E824"/>
    <hyperlink r:id="rId466" ref="E825"/>
    <hyperlink r:id="rId467" ref="E826"/>
    <hyperlink r:id="rId468" ref="E827"/>
    <hyperlink r:id="rId469" ref="E828"/>
    <hyperlink r:id="rId470" ref="E829"/>
    <hyperlink r:id="rId471" ref="E830"/>
    <hyperlink r:id="rId472" ref="E831"/>
    <hyperlink r:id="rId473" ref="E832"/>
    <hyperlink r:id="rId474" ref="E833"/>
    <hyperlink r:id="rId475" ref="E834"/>
    <hyperlink r:id="rId476" ref="E835"/>
    <hyperlink r:id="rId477" ref="E836"/>
    <hyperlink r:id="rId478" ref="E837"/>
    <hyperlink r:id="rId479" ref="E838"/>
    <hyperlink r:id="rId480" ref="E839"/>
    <hyperlink r:id="rId481" ref="E840"/>
    <hyperlink r:id="rId482" ref="E843"/>
    <hyperlink r:id="rId483" ref="E845"/>
    <hyperlink r:id="rId484" ref="E846"/>
    <hyperlink r:id="rId485" ref="E847"/>
    <hyperlink r:id="rId486" ref="E848"/>
    <hyperlink r:id="rId487" ref="E854"/>
    <hyperlink r:id="rId488" ref="F854"/>
    <hyperlink r:id="rId489" ref="E855"/>
    <hyperlink r:id="rId490" ref="F855"/>
    <hyperlink r:id="rId491" ref="E856"/>
    <hyperlink r:id="rId492" ref="F856"/>
    <hyperlink r:id="rId493" ref="E857"/>
    <hyperlink r:id="rId494" ref="E858"/>
    <hyperlink r:id="rId495" ref="E859"/>
    <hyperlink r:id="rId496" ref="E860"/>
    <hyperlink r:id="rId497" ref="E861"/>
    <hyperlink r:id="rId498" ref="E862"/>
    <hyperlink r:id="rId499" ref="E863"/>
    <hyperlink r:id="rId500" ref="E864"/>
    <hyperlink r:id="rId501" ref="E865"/>
    <hyperlink r:id="rId502" ref="E866"/>
    <hyperlink r:id="rId503" ref="E867"/>
    <hyperlink r:id="rId504" ref="E868"/>
    <hyperlink r:id="rId505" ref="E869"/>
    <hyperlink r:id="rId506" ref="E870"/>
    <hyperlink r:id="rId507" ref="E871"/>
    <hyperlink r:id="rId508" ref="E872"/>
    <hyperlink r:id="rId509" ref="E873"/>
    <hyperlink r:id="rId510" ref="E874"/>
    <hyperlink r:id="rId511" ref="E875"/>
    <hyperlink r:id="rId512" ref="E876"/>
    <hyperlink r:id="rId513" ref="E877"/>
    <hyperlink r:id="rId514" ref="E878"/>
    <hyperlink r:id="rId515" ref="E879"/>
    <hyperlink r:id="rId516" ref="E880"/>
    <hyperlink r:id="rId517" ref="E881"/>
    <hyperlink r:id="rId518" ref="E882"/>
    <hyperlink r:id="rId519" ref="E883"/>
    <hyperlink r:id="rId520" ref="E884"/>
    <hyperlink r:id="rId521" ref="E885"/>
    <hyperlink r:id="rId522" ref="E886"/>
    <hyperlink r:id="rId523" ref="E887"/>
    <hyperlink r:id="rId524" ref="E888"/>
    <hyperlink r:id="rId525" ref="E890"/>
    <hyperlink r:id="rId526" ref="E891"/>
    <hyperlink r:id="rId527" ref="E892"/>
    <hyperlink r:id="rId528" ref="E893"/>
    <hyperlink r:id="rId529" ref="E894"/>
    <hyperlink r:id="rId530" ref="E896"/>
    <hyperlink r:id="rId531" ref="E897"/>
    <hyperlink r:id="rId532" ref="E898"/>
    <hyperlink r:id="rId533" ref="E899"/>
    <hyperlink r:id="rId534" ref="E900"/>
    <hyperlink r:id="rId535" ref="E901"/>
    <hyperlink r:id="rId536" ref="E902"/>
    <hyperlink r:id="rId537" ref="E903"/>
    <hyperlink r:id="rId538" ref="E904"/>
    <hyperlink r:id="rId539" ref="E905"/>
    <hyperlink r:id="rId540" ref="E906"/>
    <hyperlink r:id="rId541" ref="E907"/>
    <hyperlink r:id="rId542" ref="E908"/>
    <hyperlink r:id="rId543" ref="E909"/>
    <hyperlink r:id="rId544" ref="E910"/>
    <hyperlink r:id="rId545" ref="E911"/>
    <hyperlink r:id="rId546" ref="E912"/>
    <hyperlink r:id="rId547" ref="E913"/>
    <hyperlink r:id="rId548" ref="E914"/>
    <hyperlink r:id="rId549" ref="E915"/>
    <hyperlink r:id="rId550" ref="E916"/>
    <hyperlink r:id="rId551" ref="E917"/>
    <hyperlink r:id="rId552" ref="E918"/>
    <hyperlink r:id="rId553" ref="E919"/>
    <hyperlink r:id="rId554" ref="E920"/>
    <hyperlink r:id="rId555" ref="E921"/>
    <hyperlink r:id="rId556" ref="E922"/>
    <hyperlink r:id="rId557" ref="E923"/>
    <hyperlink r:id="rId558" ref="E924"/>
    <hyperlink r:id="rId559" ref="E925"/>
    <hyperlink r:id="rId560" ref="E926"/>
    <hyperlink r:id="rId561" ref="E927"/>
    <hyperlink r:id="rId562" ref="E928"/>
    <hyperlink r:id="rId563" ref="E929"/>
    <hyperlink r:id="rId564" ref="E930"/>
    <hyperlink r:id="rId565" ref="E931"/>
    <hyperlink r:id="rId566" ref="E932"/>
    <hyperlink r:id="rId567" ref="E933"/>
    <hyperlink r:id="rId568" ref="E934"/>
    <hyperlink r:id="rId569" ref="E935"/>
    <hyperlink r:id="rId570" ref="E936"/>
    <hyperlink r:id="rId571" ref="E937"/>
    <hyperlink r:id="rId572" ref="E938"/>
    <hyperlink r:id="rId573" ref="E939"/>
    <hyperlink r:id="rId574" ref="E940"/>
    <hyperlink r:id="rId575" ref="E941"/>
    <hyperlink r:id="rId576" ref="E942"/>
    <hyperlink r:id="rId577" ref="E943"/>
    <hyperlink r:id="rId578" ref="E944"/>
    <hyperlink r:id="rId579" ref="E945"/>
    <hyperlink r:id="rId580" ref="E946"/>
    <hyperlink r:id="rId581" ref="E947"/>
    <hyperlink r:id="rId582" ref="E948"/>
    <hyperlink r:id="rId583" ref="E949"/>
    <hyperlink r:id="rId584" ref="E950"/>
    <hyperlink r:id="rId585" ref="E951"/>
    <hyperlink r:id="rId586" ref="E952"/>
    <hyperlink r:id="rId587" ref="E953"/>
    <hyperlink r:id="rId588" ref="E954"/>
    <hyperlink r:id="rId589" ref="E955"/>
    <hyperlink r:id="rId590" ref="E956"/>
    <hyperlink r:id="rId591" ref="E957"/>
    <hyperlink r:id="rId592" ref="E958"/>
    <hyperlink r:id="rId593" ref="E959"/>
    <hyperlink r:id="rId594" ref="E960"/>
    <hyperlink r:id="rId595" ref="E961"/>
    <hyperlink r:id="rId596" ref="E962"/>
    <hyperlink r:id="rId597" ref="E963"/>
    <hyperlink r:id="rId598" ref="E964"/>
    <hyperlink r:id="rId599" ref="E965"/>
    <hyperlink r:id="rId600" ref="E966"/>
    <hyperlink r:id="rId601" ref="E967"/>
    <hyperlink r:id="rId602" ref="E968"/>
    <hyperlink r:id="rId603" ref="E969"/>
    <hyperlink r:id="rId604" ref="E970"/>
    <hyperlink r:id="rId605" ref="E971"/>
    <hyperlink r:id="rId606" ref="E972"/>
    <hyperlink r:id="rId607" ref="E973"/>
    <hyperlink r:id="rId608" ref="E975"/>
    <hyperlink r:id="rId609" ref="E976"/>
    <hyperlink r:id="rId610" ref="E977"/>
    <hyperlink r:id="rId611" ref="E978"/>
    <hyperlink r:id="rId612" ref="E979"/>
    <hyperlink r:id="rId613" ref="E980"/>
    <hyperlink r:id="rId614" ref="E981"/>
    <hyperlink r:id="rId615" ref="E982"/>
    <hyperlink r:id="rId616" ref="E983"/>
    <hyperlink r:id="rId617" ref="E984"/>
    <hyperlink r:id="rId618" ref="E985"/>
    <hyperlink r:id="rId619" ref="E986"/>
    <hyperlink r:id="rId620" ref="E987"/>
    <hyperlink r:id="rId621" ref="E988"/>
    <hyperlink r:id="rId622" ref="E989"/>
    <hyperlink r:id="rId623" ref="E990"/>
    <hyperlink r:id="rId624" ref="E991"/>
    <hyperlink r:id="rId625" ref="E992"/>
    <hyperlink r:id="rId626" ref="E993"/>
    <hyperlink r:id="rId627" ref="E994"/>
    <hyperlink r:id="rId628" ref="E995"/>
    <hyperlink r:id="rId629" ref="E996"/>
    <hyperlink r:id="rId630" ref="E997"/>
    <hyperlink r:id="rId631" ref="E998"/>
    <hyperlink r:id="rId632" ref="E999"/>
    <hyperlink r:id="rId633" ref="E1000"/>
    <hyperlink r:id="rId634" ref="E1001"/>
    <hyperlink r:id="rId635" ref="E1002"/>
    <hyperlink r:id="rId636" ref="E1003"/>
    <hyperlink r:id="rId637" ref="E1004"/>
    <hyperlink r:id="rId638" ref="E1005"/>
    <hyperlink r:id="rId639" ref="E1006"/>
    <hyperlink r:id="rId640" ref="E1007"/>
    <hyperlink r:id="rId641" ref="E1008"/>
    <hyperlink r:id="rId642" ref="E1009"/>
    <hyperlink r:id="rId643" ref="E1010"/>
    <hyperlink r:id="rId644" ref="E1011"/>
    <hyperlink r:id="rId645" ref="E1012"/>
    <hyperlink r:id="rId646" ref="E1013"/>
    <hyperlink r:id="rId647" ref="E1014"/>
    <hyperlink r:id="rId648" ref="E1015"/>
    <hyperlink r:id="rId649" ref="E1016"/>
    <hyperlink r:id="rId650" ref="E1017"/>
    <hyperlink r:id="rId651" ref="E1018"/>
    <hyperlink r:id="rId652" ref="E1019"/>
    <hyperlink r:id="rId653" ref="E1020"/>
    <hyperlink r:id="rId654" ref="E1021"/>
    <hyperlink r:id="rId655" ref="E1022"/>
    <hyperlink r:id="rId656" ref="E1023"/>
    <hyperlink r:id="rId657" ref="E1024"/>
    <hyperlink r:id="rId658" ref="E1025"/>
    <hyperlink r:id="rId659" ref="E1026"/>
    <hyperlink r:id="rId660" ref="E1027"/>
    <hyperlink r:id="rId661" ref="E1028"/>
    <hyperlink r:id="rId662" ref="E1029"/>
    <hyperlink r:id="rId663" ref="E1030"/>
    <hyperlink r:id="rId664" ref="E1031"/>
    <hyperlink r:id="rId665" ref="E1032"/>
    <hyperlink r:id="rId666" ref="E1033"/>
    <hyperlink r:id="rId667" ref="E1034"/>
    <hyperlink r:id="rId668" ref="E1035"/>
    <hyperlink r:id="rId669" ref="E1036"/>
    <hyperlink r:id="rId670" ref="E1037"/>
    <hyperlink r:id="rId671" ref="E1038"/>
    <hyperlink r:id="rId672" ref="E1039"/>
    <hyperlink r:id="rId673" ref="E1040"/>
    <hyperlink r:id="rId674" ref="E1041"/>
    <hyperlink r:id="rId675" ref="E1042"/>
    <hyperlink r:id="rId676" ref="E1043"/>
    <hyperlink r:id="rId677" ref="E1044"/>
    <hyperlink r:id="rId678" ref="E1045"/>
    <hyperlink r:id="rId679" ref="E1046"/>
    <hyperlink r:id="rId680" ref="E1047"/>
    <hyperlink r:id="rId681" ref="E1048"/>
    <hyperlink r:id="rId682" ref="E1049"/>
    <hyperlink r:id="rId683" ref="E1050"/>
    <hyperlink r:id="rId684" ref="E1051"/>
    <hyperlink r:id="rId685" ref="E1052"/>
    <hyperlink r:id="rId686" ref="E1053"/>
    <hyperlink r:id="rId687" ref="E1054"/>
    <hyperlink r:id="rId688" ref="E1055"/>
    <hyperlink r:id="rId689" ref="E1056"/>
    <hyperlink r:id="rId690" ref="E1057"/>
    <hyperlink r:id="rId691" ref="E1058"/>
    <hyperlink r:id="rId692" ref="E1059"/>
    <hyperlink r:id="rId693" ref="E1060"/>
    <hyperlink r:id="rId694" ref="E1061"/>
    <hyperlink r:id="rId695" ref="E1062"/>
    <hyperlink r:id="rId696" ref="E1063"/>
    <hyperlink r:id="rId697" ref="E1064"/>
    <hyperlink r:id="rId698" ref="E1065"/>
    <hyperlink r:id="rId699" ref="E1066"/>
    <hyperlink r:id="rId700" ref="E1067"/>
    <hyperlink r:id="rId701" ref="E1068"/>
    <hyperlink r:id="rId702" ref="E1069"/>
    <hyperlink r:id="rId703" ref="E1070"/>
    <hyperlink r:id="rId704" ref="E1071"/>
    <hyperlink r:id="rId705" ref="E1072"/>
    <hyperlink r:id="rId706" ref="E1073"/>
    <hyperlink r:id="rId707" ref="E1074"/>
    <hyperlink r:id="rId708" ref="E1075"/>
    <hyperlink r:id="rId709" ref="E1076"/>
    <hyperlink r:id="rId710" ref="E1077"/>
    <hyperlink r:id="rId711" ref="E1078"/>
    <hyperlink r:id="rId712" ref="E1079"/>
    <hyperlink r:id="rId713" ref="E1080"/>
    <hyperlink r:id="rId714" ref="E1081"/>
    <hyperlink r:id="rId715" ref="E1082"/>
    <hyperlink r:id="rId716" ref="E1083"/>
    <hyperlink r:id="rId717" ref="E1084"/>
    <hyperlink r:id="rId718" ref="E1085"/>
    <hyperlink r:id="rId719" ref="E1086"/>
    <hyperlink r:id="rId720" ref="E1087"/>
    <hyperlink r:id="rId721" ref="E1088"/>
    <hyperlink r:id="rId722" ref="E1089"/>
    <hyperlink r:id="rId723" ref="E1090"/>
    <hyperlink r:id="rId724" ref="E1091"/>
    <hyperlink r:id="rId725" ref="E1092"/>
    <hyperlink r:id="rId726" ref="E1093"/>
    <hyperlink r:id="rId727" ref="E1094"/>
    <hyperlink r:id="rId728" ref="E1095"/>
    <hyperlink r:id="rId729" ref="E1096"/>
    <hyperlink r:id="rId730" ref="E1097"/>
    <hyperlink r:id="rId731" ref="E1098"/>
    <hyperlink r:id="rId732" ref="E1099"/>
    <hyperlink r:id="rId733" ref="E1100"/>
    <hyperlink r:id="rId734" ref="E1101"/>
    <hyperlink r:id="rId735" ref="E1102"/>
    <hyperlink r:id="rId736" ref="E1103"/>
    <hyperlink r:id="rId737" ref="E1104"/>
    <hyperlink r:id="rId738" ref="E1105"/>
    <hyperlink r:id="rId739" ref="E1106"/>
    <hyperlink r:id="rId740" ref="E1107"/>
    <hyperlink r:id="rId741" ref="E1108"/>
    <hyperlink r:id="rId742" ref="E1109"/>
    <hyperlink r:id="rId743" ref="E1110"/>
    <hyperlink r:id="rId744" ref="E1111"/>
    <hyperlink r:id="rId745" ref="E1112"/>
    <hyperlink r:id="rId746" ref="E1113"/>
    <hyperlink r:id="rId747" ref="E1114"/>
    <hyperlink r:id="rId748" ref="E1115"/>
    <hyperlink r:id="rId749" ref="E1116"/>
    <hyperlink r:id="rId750" ref="E1117"/>
    <hyperlink r:id="rId751" ref="E1118"/>
    <hyperlink r:id="rId752" ref="E1119"/>
    <hyperlink r:id="rId753" ref="E1120"/>
    <hyperlink r:id="rId754" ref="E1121"/>
    <hyperlink r:id="rId755" ref="E1122"/>
    <hyperlink r:id="rId756" ref="E1123"/>
    <hyperlink r:id="rId757" ref="E1124"/>
    <hyperlink r:id="rId758" ref="E1125"/>
    <hyperlink r:id="rId759" ref="E1126"/>
    <hyperlink r:id="rId760" ref="E1128"/>
    <hyperlink r:id="rId761" ref="E1129"/>
    <hyperlink r:id="rId762" ref="E1130"/>
    <hyperlink r:id="rId763" ref="E1131"/>
    <hyperlink r:id="rId764" ref="E1132"/>
    <hyperlink r:id="rId765" ref="E1133"/>
    <hyperlink r:id="rId766" ref="E1134"/>
    <hyperlink r:id="rId767" ref="E1135"/>
    <hyperlink r:id="rId768" ref="E1137"/>
    <hyperlink r:id="rId769" ref="E1138"/>
    <hyperlink r:id="rId770" ref="E1139"/>
    <hyperlink r:id="rId771" ref="E1140"/>
    <hyperlink r:id="rId772" ref="E1141"/>
    <hyperlink r:id="rId773" ref="E1142"/>
    <hyperlink r:id="rId774" ref="E1143"/>
    <hyperlink r:id="rId775" ref="E1144"/>
    <hyperlink r:id="rId776" ref="E1145"/>
    <hyperlink r:id="rId777" ref="E1146"/>
    <hyperlink r:id="rId778" ref="E1147"/>
    <hyperlink r:id="rId779" ref="E1148"/>
    <hyperlink r:id="rId780" ref="E1149"/>
    <hyperlink r:id="rId781" ref="E1150"/>
    <hyperlink r:id="rId782" ref="E1151"/>
    <hyperlink r:id="rId783" ref="E1152"/>
    <hyperlink r:id="rId784" ref="E1153"/>
    <hyperlink r:id="rId785" ref="E1154"/>
    <hyperlink r:id="rId786" ref="E1155"/>
    <hyperlink r:id="rId787" ref="E1156"/>
    <hyperlink r:id="rId788" ref="E1157"/>
    <hyperlink r:id="rId789" ref="E1158"/>
    <hyperlink r:id="rId790" ref="E1159"/>
    <hyperlink r:id="rId791" ref="E1160"/>
    <hyperlink r:id="rId792" ref="E1161"/>
    <hyperlink r:id="rId793" ref="E1162"/>
    <hyperlink r:id="rId794" ref="E1168"/>
    <hyperlink r:id="rId795" ref="E1172"/>
    <hyperlink r:id="rId796" ref="E1176"/>
    <hyperlink r:id="rId797" ref="E1177"/>
    <hyperlink r:id="rId798" ref="E1178"/>
    <hyperlink r:id="rId799" ref="E1183"/>
    <hyperlink r:id="rId800" ref="B1186"/>
    <hyperlink r:id="rId801" ref="E1186"/>
    <hyperlink r:id="rId802" ref="B1187"/>
    <hyperlink r:id="rId803" ref="E1187"/>
    <hyperlink r:id="rId804" ref="E1188"/>
    <hyperlink r:id="rId805" ref="E1193"/>
    <hyperlink r:id="rId806" ref="E1199"/>
    <hyperlink r:id="rId807" ref="E1211"/>
    <hyperlink r:id="rId808" ref="E1212"/>
    <hyperlink r:id="rId809" location="citeas" ref="E1213"/>
    <hyperlink r:id="rId810" ref="E1214"/>
    <hyperlink r:id="rId811" location="citeas" ref="E1215"/>
    <hyperlink r:id="rId812" ref="E1216"/>
    <hyperlink r:id="rId813" ref="E1217"/>
    <hyperlink r:id="rId814" ref="E1218"/>
    <hyperlink r:id="rId815" ref="E1219"/>
    <hyperlink r:id="rId816" ref="E1220"/>
    <hyperlink r:id="rId817" ref="E1221"/>
    <hyperlink r:id="rId818" ref="E1222"/>
    <hyperlink r:id="rId819" ref="E1223"/>
    <hyperlink r:id="rId820" ref="E1224"/>
    <hyperlink r:id="rId821" ref="E1225"/>
    <hyperlink r:id="rId822" ref="E1226"/>
    <hyperlink r:id="rId823" ref="E1227"/>
    <hyperlink r:id="rId824" ref="E1228"/>
    <hyperlink r:id="rId825" ref="E1229"/>
    <hyperlink r:id="rId826" ref="E1230"/>
    <hyperlink r:id="rId827" ref="E1231"/>
    <hyperlink r:id="rId828" ref="E1232"/>
    <hyperlink r:id="rId829" ref="E1233"/>
    <hyperlink r:id="rId830" ref="E1234"/>
    <hyperlink r:id="rId831" ref="E1235"/>
    <hyperlink r:id="rId832" ref="E1236"/>
    <hyperlink r:id="rId833" ref="E1237"/>
    <hyperlink r:id="rId834" ref="E1238"/>
    <hyperlink r:id="rId835" ref="E1239"/>
    <hyperlink r:id="rId836" ref="E1240"/>
    <hyperlink r:id="rId837" ref="E1241"/>
    <hyperlink r:id="rId838" ref="E1242"/>
    <hyperlink r:id="rId839" ref="E1243"/>
    <hyperlink r:id="rId840" ref="E1244"/>
    <hyperlink r:id="rId841" ref="E1245"/>
    <hyperlink r:id="rId842" ref="E1246"/>
    <hyperlink r:id="rId843" location="citeas" ref="E1247"/>
    <hyperlink r:id="rId844" ref="E1248"/>
    <hyperlink r:id="rId845" ref="E1249"/>
    <hyperlink r:id="rId846" ref="E1251"/>
    <hyperlink r:id="rId847" ref="E1252"/>
    <hyperlink r:id="rId848" ref="E1253"/>
    <hyperlink r:id="rId849" ref="E1254"/>
    <hyperlink r:id="rId850" ref="E1255"/>
    <hyperlink r:id="rId851" ref="E1256"/>
    <hyperlink r:id="rId852" ref="E1257"/>
    <hyperlink r:id="rId853" ref="E1258"/>
    <hyperlink r:id="rId854" ref="E1259"/>
    <hyperlink r:id="rId855" ref="E1260"/>
    <hyperlink r:id="rId856" ref="E1261"/>
    <hyperlink r:id="rId857" ref="E1262"/>
    <hyperlink r:id="rId858" ref="E1263"/>
    <hyperlink r:id="rId859" ref="E1264"/>
    <hyperlink r:id="rId860" ref="E1265"/>
    <hyperlink r:id="rId861" ref="E1266"/>
    <hyperlink r:id="rId862" ref="E1267"/>
    <hyperlink r:id="rId863" ref="E1268"/>
    <hyperlink r:id="rId864" ref="E1269"/>
    <hyperlink r:id="rId865" ref="E1270"/>
    <hyperlink r:id="rId866" ref="E1271"/>
    <hyperlink r:id="rId867" ref="E1272"/>
    <hyperlink r:id="rId868" ref="E1273"/>
    <hyperlink r:id="rId869" ref="E1274"/>
    <hyperlink r:id="rId870" ref="E1275"/>
    <hyperlink r:id="rId871" ref="E1276"/>
    <hyperlink r:id="rId872" ref="E1277"/>
    <hyperlink r:id="rId873" ref="E1278"/>
    <hyperlink r:id="rId874" ref="E1279"/>
    <hyperlink r:id="rId875" ref="E1280"/>
    <hyperlink r:id="rId876" ref="E1281"/>
    <hyperlink r:id="rId877" ref="E1282"/>
    <hyperlink r:id="rId878" ref="E1283"/>
    <hyperlink r:id="rId879" ref="E1284"/>
    <hyperlink r:id="rId880" ref="E1285"/>
    <hyperlink r:id="rId881" ref="E1286"/>
    <hyperlink r:id="rId882" ref="E1287"/>
    <hyperlink r:id="rId883" ref="E1288"/>
    <hyperlink r:id="rId884" ref="E1289"/>
    <hyperlink r:id="rId885" ref="E1291"/>
    <hyperlink r:id="rId886" ref="E1293"/>
    <hyperlink r:id="rId887" ref="E1297"/>
    <hyperlink r:id="rId888" ref="E1298"/>
    <hyperlink r:id="rId889" location="citeas" ref="E1299"/>
    <hyperlink r:id="rId890" ref="E1300"/>
    <hyperlink r:id="rId891" ref="E1301"/>
    <hyperlink r:id="rId892" ref="E1302"/>
    <hyperlink r:id="rId893" ref="E1303"/>
    <hyperlink r:id="rId894" ref="E1304"/>
    <hyperlink r:id="rId895" ref="E1305"/>
    <hyperlink r:id="rId896" ref="E1306"/>
    <hyperlink r:id="rId897" ref="E1307"/>
    <hyperlink r:id="rId898" ref="E1308"/>
    <hyperlink r:id="rId899" ref="E1309"/>
    <hyperlink r:id="rId900" ref="E1310"/>
    <hyperlink r:id="rId901" ref="E1311"/>
    <hyperlink r:id="rId902" ref="E1312"/>
    <hyperlink r:id="rId903" ref="E1313"/>
    <hyperlink r:id="rId904" ref="E1314"/>
    <hyperlink r:id="rId905" ref="E1315"/>
    <hyperlink r:id="rId906" ref="E1316"/>
    <hyperlink r:id="rId907" ref="E1317"/>
    <hyperlink r:id="rId908" ref="E1318"/>
    <hyperlink r:id="rId909" ref="E1319"/>
    <hyperlink r:id="rId910" ref="E1320"/>
    <hyperlink r:id="rId911" ref="E1321"/>
    <hyperlink r:id="rId912" ref="E1322"/>
    <hyperlink r:id="rId913" ref="E1323"/>
    <hyperlink r:id="rId914" ref="E1324"/>
    <hyperlink r:id="rId915" ref="E1325"/>
    <hyperlink r:id="rId916" ref="E1327"/>
    <hyperlink r:id="rId917" ref="E1328"/>
    <hyperlink r:id="rId918" ref="E1329"/>
    <hyperlink r:id="rId919" ref="E1330"/>
    <hyperlink r:id="rId920" ref="E1331"/>
    <hyperlink r:id="rId921" ref="E1332"/>
    <hyperlink r:id="rId922" ref="E1333"/>
    <hyperlink r:id="rId923" ref="E1334"/>
    <hyperlink r:id="rId924" ref="E1336"/>
    <hyperlink r:id="rId925" ref="E1337"/>
    <hyperlink r:id="rId926" location="keywords" ref="E1338"/>
    <hyperlink r:id="rId927" ref="E1536"/>
    <hyperlink r:id="rId928" ref="E1538"/>
  </hyperlinks>
  <printOptions/>
  <pageMargins bottom="0.75" footer="0.0" header="0.0" left="0.7" right="0.7" top="0.75"/>
  <pageSetup orientation="landscape"/>
  <drawing r:id="rId929"/>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3" width="14.14"/>
    <col customWidth="1" min="14" max="16" width="8.86"/>
    <col customWidth="1" min="17" max="25" width="8.0"/>
  </cols>
  <sheetData>
    <row r="1">
      <c r="A1" s="195"/>
      <c r="B1" s="196"/>
      <c r="C1" s="197"/>
      <c r="D1" s="198"/>
      <c r="E1" s="199"/>
      <c r="F1" s="199"/>
      <c r="G1" s="198"/>
      <c r="H1" s="198"/>
      <c r="I1" s="198"/>
      <c r="J1" s="198"/>
      <c r="K1" s="198"/>
      <c r="L1" s="198"/>
    </row>
    <row r="2">
      <c r="A2" s="200" t="s">
        <v>5126</v>
      </c>
      <c r="B2" s="64"/>
      <c r="C2" s="64"/>
      <c r="D2" s="64"/>
      <c r="E2" s="64"/>
      <c r="F2" s="64"/>
      <c r="G2" s="64"/>
      <c r="H2" s="64"/>
      <c r="I2" s="64"/>
      <c r="J2" s="64"/>
      <c r="K2" s="64"/>
      <c r="L2" s="65"/>
      <c r="M2" s="107"/>
      <c r="N2" s="107"/>
      <c r="O2" s="107"/>
      <c r="P2" s="107"/>
      <c r="Q2" s="107"/>
      <c r="R2" s="107"/>
      <c r="S2" s="107"/>
      <c r="T2" s="107"/>
      <c r="U2" s="107"/>
      <c r="V2" s="107"/>
      <c r="W2" s="107"/>
      <c r="X2" s="107"/>
      <c r="Y2" s="107"/>
    </row>
    <row r="3">
      <c r="A3" s="201"/>
      <c r="B3" s="201"/>
      <c r="C3" s="202"/>
      <c r="D3" s="202"/>
      <c r="E3" s="203"/>
      <c r="F3" s="203"/>
      <c r="G3" s="202"/>
      <c r="H3" s="202"/>
      <c r="I3" s="202"/>
      <c r="J3" s="202"/>
      <c r="K3" s="202"/>
      <c r="L3" s="202"/>
      <c r="M3" s="107"/>
      <c r="N3" s="107"/>
      <c r="O3" s="107"/>
      <c r="P3" s="107"/>
      <c r="Q3" s="107"/>
      <c r="R3" s="107"/>
      <c r="S3" s="107"/>
      <c r="T3" s="107"/>
      <c r="U3" s="107"/>
      <c r="V3" s="107"/>
      <c r="W3" s="107"/>
      <c r="X3" s="107"/>
      <c r="Y3" s="107"/>
    </row>
    <row r="4" ht="39.0" customHeight="1">
      <c r="A4" s="108" t="s">
        <v>5127</v>
      </c>
      <c r="B4" s="64"/>
      <c r="C4" s="64"/>
      <c r="D4" s="64"/>
      <c r="E4" s="64"/>
      <c r="F4" s="64"/>
      <c r="G4" s="64"/>
      <c r="H4" s="64"/>
      <c r="I4" s="64"/>
      <c r="J4" s="64"/>
      <c r="K4" s="64"/>
      <c r="L4" s="65"/>
      <c r="M4" s="107"/>
      <c r="N4" s="107"/>
      <c r="O4" s="107"/>
      <c r="P4" s="107"/>
      <c r="Q4" s="107"/>
      <c r="R4" s="107"/>
      <c r="S4" s="107"/>
      <c r="T4" s="107"/>
      <c r="U4" s="107"/>
      <c r="V4" s="107"/>
      <c r="W4" s="107"/>
      <c r="X4" s="107"/>
      <c r="Y4" s="107"/>
    </row>
    <row r="5" ht="24.0" customHeight="1">
      <c r="A5" s="108" t="s">
        <v>5128</v>
      </c>
      <c r="B5" s="64"/>
      <c r="C5" s="64"/>
      <c r="D5" s="64"/>
      <c r="E5" s="64"/>
      <c r="F5" s="64"/>
      <c r="G5" s="64"/>
      <c r="H5" s="64"/>
      <c r="I5" s="64"/>
      <c r="J5" s="64"/>
      <c r="K5" s="64"/>
      <c r="L5" s="65"/>
      <c r="M5" s="107"/>
      <c r="N5" s="107"/>
      <c r="O5" s="107"/>
      <c r="P5" s="107"/>
      <c r="Q5" s="107"/>
      <c r="R5" s="107"/>
      <c r="S5" s="107"/>
      <c r="T5" s="107"/>
      <c r="U5" s="107"/>
      <c r="V5" s="107"/>
      <c r="W5" s="107"/>
      <c r="X5" s="107"/>
      <c r="Y5" s="107"/>
    </row>
    <row r="6">
      <c r="A6" s="108" t="s">
        <v>5128</v>
      </c>
      <c r="B6" s="64"/>
      <c r="C6" s="64"/>
      <c r="D6" s="64"/>
      <c r="E6" s="64"/>
      <c r="F6" s="64"/>
      <c r="G6" s="64"/>
      <c r="H6" s="64"/>
      <c r="I6" s="64"/>
      <c r="J6" s="64"/>
      <c r="K6" s="64"/>
      <c r="L6" s="65"/>
      <c r="M6" s="107"/>
      <c r="N6" s="107"/>
      <c r="O6" s="107"/>
      <c r="P6" s="107"/>
      <c r="Q6" s="107"/>
      <c r="R6" s="107"/>
      <c r="S6" s="107"/>
      <c r="T6" s="107"/>
      <c r="U6" s="107"/>
      <c r="V6" s="107"/>
      <c r="W6" s="107"/>
      <c r="X6" s="107"/>
      <c r="Y6" s="107"/>
    </row>
    <row r="7">
      <c r="A7" s="204" t="s">
        <v>5129</v>
      </c>
      <c r="B7" s="205"/>
      <c r="C7" s="205"/>
      <c r="D7" s="205"/>
      <c r="E7" s="205"/>
      <c r="F7" s="205"/>
      <c r="G7" s="205"/>
      <c r="H7" s="205"/>
      <c r="I7" s="205"/>
      <c r="J7" s="205"/>
      <c r="K7" s="205"/>
      <c r="L7" s="206"/>
      <c r="M7" s="107"/>
      <c r="N7" s="107"/>
      <c r="O7" s="107"/>
      <c r="P7" s="107"/>
      <c r="Q7" s="107"/>
      <c r="R7" s="107"/>
      <c r="S7" s="107"/>
      <c r="T7" s="107"/>
      <c r="U7" s="107"/>
      <c r="V7" s="107"/>
      <c r="W7" s="107"/>
      <c r="X7" s="107"/>
      <c r="Y7" s="107"/>
    </row>
    <row r="8">
      <c r="A8" s="204" t="s">
        <v>5130</v>
      </c>
      <c r="B8" s="205"/>
      <c r="C8" s="205"/>
      <c r="D8" s="205"/>
      <c r="E8" s="205"/>
      <c r="F8" s="205"/>
      <c r="G8" s="205"/>
      <c r="H8" s="205"/>
      <c r="I8" s="205"/>
      <c r="J8" s="205"/>
      <c r="K8" s="205"/>
      <c r="L8" s="206"/>
      <c r="M8" s="107"/>
      <c r="N8" s="107"/>
      <c r="O8" s="107"/>
      <c r="P8" s="107"/>
      <c r="Q8" s="107"/>
      <c r="R8" s="107"/>
      <c r="S8" s="107"/>
      <c r="T8" s="107"/>
      <c r="U8" s="107"/>
      <c r="V8" s="107"/>
      <c r="W8" s="107"/>
      <c r="X8" s="107"/>
      <c r="Y8" s="107"/>
    </row>
    <row r="9" ht="38.25" customHeight="1">
      <c r="A9" s="207" t="s">
        <v>5131</v>
      </c>
      <c r="B9" s="205"/>
      <c r="C9" s="205"/>
      <c r="D9" s="205"/>
      <c r="E9" s="205"/>
      <c r="F9" s="205"/>
      <c r="G9" s="205"/>
      <c r="H9" s="205"/>
      <c r="I9" s="205"/>
      <c r="J9" s="205"/>
      <c r="K9" s="205"/>
      <c r="L9" s="206"/>
      <c r="M9" s="107"/>
      <c r="N9" s="107"/>
      <c r="O9" s="107"/>
      <c r="P9" s="107"/>
      <c r="Q9" s="107"/>
      <c r="R9" s="107"/>
      <c r="S9" s="107"/>
      <c r="T9" s="107"/>
      <c r="U9" s="107"/>
      <c r="V9" s="107"/>
      <c r="W9" s="107"/>
      <c r="X9" s="107"/>
      <c r="Y9" s="107"/>
    </row>
    <row r="10" ht="27.0" customHeight="1">
      <c r="A10" s="207" t="s">
        <v>5132</v>
      </c>
      <c r="B10" s="205"/>
      <c r="C10" s="205"/>
      <c r="D10" s="205"/>
      <c r="E10" s="205"/>
      <c r="F10" s="205"/>
      <c r="G10" s="205"/>
      <c r="H10" s="205"/>
      <c r="I10" s="205"/>
      <c r="J10" s="205"/>
      <c r="K10" s="205"/>
      <c r="L10" s="206"/>
      <c r="M10" s="107"/>
      <c r="N10" s="107"/>
      <c r="O10" s="107"/>
      <c r="P10" s="107"/>
      <c r="Q10" s="107"/>
      <c r="R10" s="107"/>
      <c r="S10" s="107"/>
      <c r="T10" s="107"/>
      <c r="U10" s="107"/>
      <c r="V10" s="107"/>
      <c r="W10" s="107"/>
      <c r="X10" s="107"/>
      <c r="Y10" s="107"/>
    </row>
    <row r="11" ht="34.5" customHeight="1">
      <c r="A11" s="67" t="s">
        <v>5133</v>
      </c>
      <c r="B11" s="64"/>
      <c r="C11" s="64"/>
      <c r="D11" s="64"/>
      <c r="E11" s="64"/>
      <c r="F11" s="64"/>
      <c r="G11" s="64"/>
      <c r="H11" s="64"/>
      <c r="I11" s="64"/>
      <c r="J11" s="64"/>
      <c r="K11" s="64"/>
      <c r="L11" s="65"/>
      <c r="M11" s="107"/>
      <c r="N11" s="107"/>
      <c r="O11" s="107"/>
      <c r="P11" s="107"/>
      <c r="Q11" s="107"/>
      <c r="R11" s="107"/>
      <c r="S11" s="107"/>
      <c r="T11" s="107"/>
      <c r="U11" s="107"/>
      <c r="V11" s="107"/>
      <c r="W11" s="107"/>
      <c r="X11" s="107"/>
      <c r="Y11" s="107"/>
    </row>
    <row r="12">
      <c r="A12" s="208"/>
      <c r="B12" s="209"/>
      <c r="C12" s="210"/>
      <c r="D12" s="211"/>
      <c r="E12" s="212"/>
      <c r="F12" s="213"/>
      <c r="G12" s="214"/>
      <c r="H12" s="214"/>
      <c r="I12" s="214"/>
      <c r="J12" s="214"/>
      <c r="K12" s="214"/>
      <c r="L12" s="214"/>
      <c r="M12" s="107"/>
      <c r="N12" s="107"/>
      <c r="O12" s="107"/>
      <c r="P12" s="107"/>
      <c r="Q12" s="107"/>
      <c r="R12" s="107"/>
      <c r="S12" s="107"/>
      <c r="T12" s="107"/>
      <c r="U12" s="107"/>
      <c r="V12" s="107"/>
      <c r="W12" s="107"/>
      <c r="X12" s="107"/>
      <c r="Y12" s="107"/>
    </row>
    <row r="13" ht="51.0" customHeight="1">
      <c r="A13" s="215" t="s">
        <v>5134</v>
      </c>
      <c r="B13" s="111" t="s">
        <v>5135</v>
      </c>
      <c r="C13" s="132" t="s">
        <v>8</v>
      </c>
      <c r="D13" s="112" t="s">
        <v>5136</v>
      </c>
      <c r="E13" s="216" t="s">
        <v>5137</v>
      </c>
      <c r="F13" s="216" t="s">
        <v>5138</v>
      </c>
      <c r="G13" s="217" t="s">
        <v>5139</v>
      </c>
      <c r="H13" s="132" t="s">
        <v>5140</v>
      </c>
      <c r="I13" s="132" t="s">
        <v>5141</v>
      </c>
      <c r="J13" s="132" t="s">
        <v>5142</v>
      </c>
      <c r="K13" s="111" t="s">
        <v>217</v>
      </c>
      <c r="L13" s="218" t="s">
        <v>221</v>
      </c>
      <c r="M13" s="219" t="s">
        <v>222</v>
      </c>
    </row>
    <row r="14" ht="15.0" customHeight="1">
      <c r="A14" s="220" t="s">
        <v>5143</v>
      </c>
      <c r="B14" s="220" t="s">
        <v>5144</v>
      </c>
      <c r="C14" s="221" t="s">
        <v>147</v>
      </c>
      <c r="D14" s="222" t="s">
        <v>5145</v>
      </c>
      <c r="E14" s="221">
        <v>2023.0</v>
      </c>
      <c r="F14" s="223" t="s">
        <v>5146</v>
      </c>
      <c r="G14" s="224" t="s">
        <v>5147</v>
      </c>
      <c r="H14" s="224" t="s">
        <v>1078</v>
      </c>
      <c r="I14" s="224" t="s">
        <v>5148</v>
      </c>
      <c r="J14" s="224" t="s">
        <v>5149</v>
      </c>
      <c r="K14" s="120">
        <v>100.0</v>
      </c>
      <c r="L14" s="121">
        <v>0.0</v>
      </c>
      <c r="M14" s="225" t="s">
        <v>153</v>
      </c>
    </row>
    <row r="15" ht="15.0" customHeight="1">
      <c r="A15" s="122" t="s">
        <v>185</v>
      </c>
      <c r="L15" s="122">
        <f>SUM(L13:L14)</f>
        <v>0</v>
      </c>
    </row>
    <row r="17" ht="15.0" customHeight="1">
      <c r="A17" s="123" t="s">
        <v>1169</v>
      </c>
      <c r="B17" s="103"/>
      <c r="C17" s="103"/>
      <c r="D17" s="103"/>
      <c r="E17" s="103"/>
      <c r="F17" s="103"/>
      <c r="G17" s="103"/>
      <c r="H17"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17:H17"/>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0" width="14.86"/>
    <col customWidth="1" min="11" max="14" width="8.86"/>
    <col customWidth="1" min="15" max="25" width="8.0"/>
  </cols>
  <sheetData>
    <row r="1">
      <c r="A1" s="104"/>
      <c r="B1" s="61"/>
      <c r="C1" s="61"/>
      <c r="D1" s="1"/>
      <c r="E1" s="1"/>
      <c r="F1" s="1"/>
      <c r="G1" s="1"/>
      <c r="H1" s="1"/>
      <c r="I1" s="1"/>
    </row>
    <row r="2" ht="35.25" customHeight="1">
      <c r="A2" s="105" t="s">
        <v>5150</v>
      </c>
      <c r="B2" s="64"/>
      <c r="C2" s="64"/>
      <c r="D2" s="64"/>
      <c r="E2" s="64"/>
      <c r="F2" s="64"/>
      <c r="G2" s="64"/>
      <c r="H2" s="64"/>
      <c r="I2" s="65"/>
      <c r="J2" s="107"/>
      <c r="K2" s="107"/>
      <c r="L2" s="107"/>
      <c r="M2" s="107"/>
      <c r="N2" s="107"/>
      <c r="O2" s="107"/>
      <c r="P2" s="107"/>
      <c r="Q2" s="107"/>
      <c r="R2" s="107"/>
      <c r="S2" s="107"/>
      <c r="T2" s="107"/>
      <c r="U2" s="107"/>
      <c r="V2" s="107"/>
      <c r="W2" s="107"/>
      <c r="X2" s="107"/>
      <c r="Y2" s="107"/>
    </row>
    <row r="3">
      <c r="A3" s="109"/>
      <c r="B3" s="110"/>
      <c r="C3" s="110"/>
      <c r="D3" s="109"/>
      <c r="E3" s="109"/>
      <c r="F3" s="106"/>
      <c r="G3" s="106"/>
      <c r="H3" s="106"/>
      <c r="I3" s="106"/>
      <c r="J3" s="107"/>
      <c r="K3" s="107"/>
      <c r="L3" s="107"/>
      <c r="M3" s="107"/>
      <c r="N3" s="107"/>
      <c r="O3" s="107"/>
      <c r="P3" s="107"/>
      <c r="Q3" s="107"/>
      <c r="R3" s="107"/>
      <c r="S3" s="107"/>
      <c r="T3" s="107"/>
      <c r="U3" s="107"/>
      <c r="V3" s="107"/>
      <c r="W3" s="107"/>
      <c r="X3" s="107"/>
      <c r="Y3" s="107"/>
    </row>
    <row r="4">
      <c r="A4" s="128" t="s">
        <v>5151</v>
      </c>
      <c r="B4" s="64"/>
      <c r="C4" s="64"/>
      <c r="D4" s="64"/>
      <c r="E4" s="64"/>
      <c r="F4" s="64"/>
      <c r="G4" s="64"/>
      <c r="H4" s="64"/>
      <c r="I4" s="65"/>
      <c r="J4" s="107"/>
      <c r="K4" s="107"/>
      <c r="L4" s="107"/>
      <c r="M4" s="107"/>
      <c r="N4" s="107"/>
      <c r="O4" s="107"/>
      <c r="P4" s="107"/>
      <c r="Q4" s="107"/>
      <c r="R4" s="107"/>
      <c r="S4" s="107"/>
      <c r="T4" s="107"/>
      <c r="U4" s="107"/>
      <c r="V4" s="107"/>
      <c r="W4" s="107"/>
      <c r="X4" s="107"/>
      <c r="Y4" s="107"/>
    </row>
    <row r="5" ht="26.25" customHeight="1">
      <c r="A5" s="108" t="s">
        <v>5152</v>
      </c>
      <c r="B5" s="64"/>
      <c r="C5" s="64"/>
      <c r="D5" s="64"/>
      <c r="E5" s="64"/>
      <c r="F5" s="64"/>
      <c r="G5" s="64"/>
      <c r="H5" s="64"/>
      <c r="I5" s="65"/>
      <c r="J5" s="107"/>
      <c r="K5" s="107"/>
      <c r="L5" s="107"/>
      <c r="M5" s="107"/>
      <c r="N5" s="107"/>
      <c r="O5" s="107"/>
      <c r="P5" s="107"/>
      <c r="Q5" s="107"/>
      <c r="R5" s="107"/>
      <c r="S5" s="107"/>
      <c r="T5" s="107"/>
      <c r="U5" s="107"/>
      <c r="V5" s="107"/>
      <c r="W5" s="107"/>
      <c r="X5" s="107"/>
      <c r="Y5" s="107"/>
    </row>
    <row r="6" ht="27.0" customHeight="1">
      <c r="A6" s="108" t="s">
        <v>5153</v>
      </c>
      <c r="B6" s="64"/>
      <c r="C6" s="64"/>
      <c r="D6" s="64"/>
      <c r="E6" s="64"/>
      <c r="F6" s="64"/>
      <c r="G6" s="64"/>
      <c r="H6" s="64"/>
      <c r="I6" s="65"/>
      <c r="J6" s="107"/>
      <c r="K6" s="107"/>
      <c r="L6" s="107"/>
      <c r="M6" s="107"/>
      <c r="N6" s="107"/>
      <c r="O6" s="107"/>
      <c r="P6" s="107"/>
      <c r="Q6" s="107"/>
      <c r="R6" s="107"/>
      <c r="S6" s="107"/>
      <c r="T6" s="107"/>
      <c r="U6" s="107"/>
      <c r="V6" s="107"/>
      <c r="W6" s="107"/>
      <c r="X6" s="107"/>
      <c r="Y6" s="107"/>
    </row>
    <row r="7" ht="26.25" customHeight="1">
      <c r="A7" s="226" t="s">
        <v>5154</v>
      </c>
      <c r="B7" s="64"/>
      <c r="C7" s="64"/>
      <c r="D7" s="64"/>
      <c r="E7" s="64"/>
      <c r="F7" s="64"/>
      <c r="G7" s="64"/>
      <c r="H7" s="64"/>
      <c r="I7" s="65"/>
      <c r="N7" s="227"/>
    </row>
    <row r="8" ht="69.0" customHeight="1">
      <c r="A8" s="226" t="s">
        <v>5155</v>
      </c>
      <c r="B8" s="64"/>
      <c r="C8" s="64"/>
      <c r="D8" s="64"/>
      <c r="E8" s="64"/>
      <c r="F8" s="64"/>
      <c r="G8" s="64"/>
      <c r="H8" s="64"/>
      <c r="I8" s="65"/>
    </row>
    <row r="9" ht="30.75" customHeight="1">
      <c r="A9" s="109"/>
      <c r="B9" s="110"/>
      <c r="C9" s="110"/>
      <c r="D9" s="109"/>
      <c r="E9" s="109"/>
      <c r="F9" s="109"/>
      <c r="G9" s="109"/>
      <c r="H9" s="106"/>
      <c r="I9" s="106"/>
    </row>
    <row r="10" ht="78.0" customHeight="1">
      <c r="A10" s="131" t="s">
        <v>5156</v>
      </c>
      <c r="B10" s="228" t="s">
        <v>5157</v>
      </c>
      <c r="C10" s="132" t="s">
        <v>8</v>
      </c>
      <c r="D10" s="228" t="s">
        <v>5158</v>
      </c>
      <c r="E10" s="112" t="s">
        <v>214</v>
      </c>
      <c r="F10" s="112" t="s">
        <v>215</v>
      </c>
      <c r="G10" s="112" t="s">
        <v>216</v>
      </c>
      <c r="H10" s="131" t="s">
        <v>217</v>
      </c>
      <c r="I10" s="131" t="s">
        <v>221</v>
      </c>
      <c r="J10" s="113" t="s">
        <v>222</v>
      </c>
      <c r="K10" s="107"/>
      <c r="L10" s="107"/>
      <c r="M10" s="107"/>
      <c r="N10" s="107"/>
      <c r="O10" s="107"/>
      <c r="P10" s="107"/>
      <c r="Q10" s="107"/>
      <c r="R10" s="107"/>
      <c r="S10" s="107"/>
      <c r="T10" s="107"/>
      <c r="U10" s="107"/>
      <c r="V10" s="107"/>
      <c r="W10" s="107"/>
      <c r="X10" s="107"/>
      <c r="Y10" s="107"/>
    </row>
    <row r="11" ht="15.0" customHeight="1">
      <c r="A11" s="224" t="s">
        <v>5159</v>
      </c>
      <c r="B11" s="224" t="s">
        <v>5160</v>
      </c>
      <c r="C11" s="119" t="s">
        <v>94</v>
      </c>
      <c r="D11" s="224" t="s">
        <v>5161</v>
      </c>
      <c r="E11" s="119">
        <v>1.0</v>
      </c>
      <c r="F11" s="119">
        <v>1.0</v>
      </c>
      <c r="G11" s="119">
        <v>2.0</v>
      </c>
      <c r="H11" s="119">
        <v>200.0</v>
      </c>
      <c r="I11" s="121">
        <v>200.0</v>
      </c>
      <c r="J11" s="229" t="s">
        <v>689</v>
      </c>
      <c r="K11" s="3"/>
    </row>
    <row r="12" ht="15.0" customHeight="1">
      <c r="A12" s="224" t="s">
        <v>5162</v>
      </c>
      <c r="B12" s="224" t="s">
        <v>5163</v>
      </c>
      <c r="C12" s="222" t="s">
        <v>94</v>
      </c>
      <c r="D12" s="224" t="s">
        <v>5164</v>
      </c>
      <c r="E12" s="119">
        <v>1.0</v>
      </c>
      <c r="F12" s="119">
        <v>1.0</v>
      </c>
      <c r="G12" s="119">
        <v>7.0</v>
      </c>
      <c r="H12" s="119">
        <v>200.0</v>
      </c>
      <c r="I12" s="121">
        <v>200.0</v>
      </c>
      <c r="J12" s="229" t="s">
        <v>689</v>
      </c>
      <c r="K12" s="3"/>
    </row>
    <row r="13" ht="15.0" customHeight="1">
      <c r="A13" s="224" t="s">
        <v>5165</v>
      </c>
      <c r="B13" s="224" t="s">
        <v>5166</v>
      </c>
      <c r="C13" s="119" t="s">
        <v>147</v>
      </c>
      <c r="D13" s="224" t="s">
        <v>5167</v>
      </c>
      <c r="E13" s="119">
        <v>1.0</v>
      </c>
      <c r="F13" s="119">
        <v>1.0</v>
      </c>
      <c r="G13" s="119">
        <v>2.0</v>
      </c>
      <c r="H13" s="119">
        <v>1000.0</v>
      </c>
      <c r="I13" s="230">
        <v>1000.0</v>
      </c>
      <c r="J13" s="30" t="s">
        <v>5077</v>
      </c>
      <c r="K13" s="3"/>
    </row>
    <row r="14">
      <c r="A14" s="193" t="s">
        <v>185</v>
      </c>
      <c r="B14" s="193"/>
      <c r="C14" s="61"/>
      <c r="D14" s="1"/>
      <c r="E14" s="1"/>
      <c r="F14" s="1"/>
      <c r="G14" s="1"/>
      <c r="H14" s="231"/>
      <c r="I14" s="232">
        <f>SUM(I11:I13)</f>
        <v>1400</v>
      </c>
    </row>
    <row r="15">
      <c r="A15" s="233"/>
      <c r="B15" s="61"/>
      <c r="C15" s="61"/>
      <c r="D15" s="61"/>
      <c r="E15" s="1"/>
      <c r="F15" s="1"/>
      <c r="G15" s="1"/>
      <c r="H15" s="1"/>
      <c r="I15" s="1"/>
    </row>
    <row r="16">
      <c r="A16" s="144" t="s">
        <v>1169</v>
      </c>
      <c r="B16" s="103"/>
      <c r="C16" s="103"/>
      <c r="D16" s="103"/>
      <c r="E16" s="103"/>
      <c r="F16" s="103"/>
      <c r="G16" s="103"/>
      <c r="H16" s="103"/>
      <c r="I16"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6:I16"/>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104"/>
      <c r="B1" s="104"/>
      <c r="C1" s="61"/>
      <c r="D1" s="1"/>
      <c r="E1" s="1"/>
      <c r="F1" s="1"/>
      <c r="G1" s="1"/>
      <c r="H1" s="1"/>
      <c r="I1" s="1"/>
      <c r="J1" s="1"/>
    </row>
    <row r="2" ht="33.0" customHeight="1">
      <c r="A2" s="105" t="s">
        <v>5168</v>
      </c>
      <c r="B2" s="64"/>
      <c r="C2" s="64"/>
      <c r="D2" s="64"/>
      <c r="E2" s="64"/>
      <c r="F2" s="64"/>
      <c r="G2" s="64"/>
      <c r="H2" s="65"/>
      <c r="I2" s="106"/>
      <c r="J2" s="106"/>
      <c r="K2" s="107"/>
      <c r="L2" s="107"/>
      <c r="M2" s="107"/>
      <c r="N2" s="107"/>
      <c r="O2" s="107"/>
      <c r="P2" s="107"/>
      <c r="Q2" s="107"/>
      <c r="R2" s="107"/>
      <c r="S2" s="107"/>
      <c r="T2" s="107"/>
      <c r="U2" s="107"/>
      <c r="V2" s="107"/>
      <c r="W2" s="107"/>
      <c r="X2" s="107"/>
    </row>
    <row r="3">
      <c r="A3" s="127"/>
      <c r="B3" s="127"/>
      <c r="C3" s="127"/>
      <c r="D3" s="127"/>
      <c r="E3" s="127"/>
      <c r="F3" s="127"/>
      <c r="G3" s="127"/>
      <c r="H3" s="127"/>
      <c r="I3" s="106"/>
      <c r="J3" s="106"/>
      <c r="K3" s="107"/>
      <c r="L3" s="107"/>
      <c r="M3" s="107"/>
      <c r="N3" s="107"/>
      <c r="O3" s="107"/>
      <c r="P3" s="107"/>
      <c r="Q3" s="107"/>
      <c r="R3" s="107"/>
      <c r="S3" s="107"/>
      <c r="T3" s="107"/>
      <c r="U3" s="107"/>
      <c r="V3" s="107"/>
      <c r="W3" s="107"/>
      <c r="X3" s="107"/>
    </row>
    <row r="4" ht="19.5" customHeight="1">
      <c r="A4" s="234" t="s">
        <v>5169</v>
      </c>
      <c r="B4" s="64"/>
      <c r="C4" s="64"/>
      <c r="D4" s="64"/>
      <c r="E4" s="64"/>
      <c r="F4" s="64"/>
      <c r="G4" s="64"/>
      <c r="H4" s="65"/>
      <c r="I4" s="106"/>
      <c r="J4" s="106"/>
      <c r="K4" s="235"/>
      <c r="L4" s="235"/>
      <c r="M4" s="235"/>
      <c r="N4" s="235"/>
      <c r="O4" s="235"/>
      <c r="P4" s="235"/>
      <c r="Q4" s="235"/>
      <c r="R4" s="235"/>
      <c r="S4" s="235"/>
      <c r="T4" s="235"/>
      <c r="U4" s="235"/>
      <c r="V4" s="235"/>
      <c r="W4" s="235"/>
      <c r="X4" s="235"/>
    </row>
    <row r="5">
      <c r="A5" s="234" t="s">
        <v>5170</v>
      </c>
      <c r="B5" s="64"/>
      <c r="C5" s="64"/>
      <c r="D5" s="64"/>
      <c r="E5" s="64"/>
      <c r="F5" s="64"/>
      <c r="G5" s="64"/>
      <c r="H5" s="65"/>
      <c r="I5" s="106"/>
      <c r="J5" s="106"/>
      <c r="K5" s="235"/>
      <c r="L5" s="235"/>
      <c r="M5" s="235"/>
      <c r="N5" s="235"/>
      <c r="O5" s="235"/>
      <c r="P5" s="235"/>
      <c r="Q5" s="235"/>
      <c r="R5" s="235"/>
      <c r="S5" s="235"/>
      <c r="T5" s="235"/>
      <c r="U5" s="235"/>
      <c r="V5" s="235"/>
      <c r="W5" s="235"/>
      <c r="X5" s="235"/>
    </row>
    <row r="6" ht="13.5" customHeight="1">
      <c r="A6" s="234" t="s">
        <v>5171</v>
      </c>
      <c r="B6" s="64"/>
      <c r="C6" s="64"/>
      <c r="D6" s="64"/>
      <c r="E6" s="64"/>
      <c r="F6" s="64"/>
      <c r="G6" s="64"/>
      <c r="H6" s="65"/>
      <c r="I6" s="193"/>
      <c r="J6" s="193"/>
      <c r="K6" s="236"/>
      <c r="L6" s="236"/>
      <c r="M6" s="236"/>
      <c r="N6" s="236"/>
      <c r="O6" s="236"/>
      <c r="P6" s="236"/>
      <c r="Q6" s="236"/>
      <c r="R6" s="236"/>
      <c r="S6" s="236"/>
      <c r="T6" s="236"/>
      <c r="U6" s="236"/>
      <c r="V6" s="236"/>
      <c r="W6" s="236"/>
      <c r="X6" s="236"/>
    </row>
    <row r="7">
      <c r="A7" s="234" t="s">
        <v>5172</v>
      </c>
      <c r="B7" s="64"/>
      <c r="C7" s="64"/>
      <c r="D7" s="64"/>
      <c r="E7" s="64"/>
      <c r="F7" s="64"/>
      <c r="G7" s="64"/>
      <c r="H7" s="65"/>
      <c r="I7" s="193"/>
      <c r="J7" s="193"/>
      <c r="K7" s="236"/>
      <c r="L7" s="236"/>
      <c r="M7" s="236"/>
      <c r="N7" s="236"/>
      <c r="O7" s="236"/>
      <c r="P7" s="236"/>
      <c r="Q7" s="236"/>
      <c r="R7" s="236"/>
      <c r="S7" s="236"/>
      <c r="T7" s="236"/>
      <c r="U7" s="236"/>
      <c r="V7" s="236"/>
      <c r="W7" s="236"/>
      <c r="X7" s="236"/>
    </row>
    <row r="8" ht="323.25" customHeight="1">
      <c r="A8" s="234" t="s">
        <v>5173</v>
      </c>
      <c r="B8" s="64"/>
      <c r="C8" s="64"/>
      <c r="D8" s="64"/>
      <c r="E8" s="64"/>
      <c r="F8" s="64"/>
      <c r="G8" s="64"/>
      <c r="H8" s="65"/>
      <c r="I8" s="193"/>
      <c r="J8" s="193"/>
      <c r="K8" s="236"/>
      <c r="L8" s="236"/>
      <c r="M8" s="236"/>
      <c r="N8" s="236"/>
      <c r="O8" s="236"/>
      <c r="P8" s="236"/>
      <c r="Q8" s="236"/>
      <c r="R8" s="236"/>
      <c r="S8" s="236"/>
      <c r="T8" s="236"/>
      <c r="U8" s="236"/>
      <c r="V8" s="236"/>
      <c r="W8" s="236"/>
      <c r="X8" s="236"/>
    </row>
    <row r="9">
      <c r="A9" s="109"/>
      <c r="B9" s="109"/>
      <c r="C9" s="110"/>
      <c r="D9" s="109"/>
      <c r="E9" s="109"/>
      <c r="F9" s="109"/>
      <c r="G9" s="109"/>
      <c r="H9" s="109"/>
      <c r="I9" s="106"/>
      <c r="J9" s="106"/>
      <c r="K9" s="235"/>
      <c r="L9" s="235"/>
      <c r="M9" s="235"/>
      <c r="N9" s="235"/>
      <c r="O9" s="235"/>
      <c r="P9" s="235"/>
      <c r="Q9" s="235"/>
      <c r="R9" s="235"/>
      <c r="S9" s="235"/>
      <c r="T9" s="235"/>
      <c r="U9" s="235"/>
      <c r="V9" s="235"/>
      <c r="W9" s="235"/>
      <c r="X9" s="235"/>
    </row>
    <row r="10" ht="57.0" customHeight="1">
      <c r="A10" s="217" t="s">
        <v>5174</v>
      </c>
      <c r="B10" s="217" t="s">
        <v>8</v>
      </c>
      <c r="C10" s="217" t="s">
        <v>5175</v>
      </c>
      <c r="D10" s="217" t="s">
        <v>5176</v>
      </c>
      <c r="E10" s="217" t="s">
        <v>5177</v>
      </c>
      <c r="F10" s="217" t="s">
        <v>5178</v>
      </c>
      <c r="G10" s="131" t="s">
        <v>217</v>
      </c>
      <c r="H10" s="131" t="s">
        <v>221</v>
      </c>
      <c r="I10" s="113" t="s">
        <v>222</v>
      </c>
      <c r="J10" s="106"/>
      <c r="K10" s="235"/>
      <c r="L10" s="235"/>
      <c r="M10" s="235"/>
      <c r="N10" s="235"/>
      <c r="O10" s="235"/>
      <c r="P10" s="235"/>
      <c r="Q10" s="235"/>
      <c r="R10" s="235"/>
      <c r="S10" s="235"/>
      <c r="T10" s="235"/>
      <c r="U10" s="235"/>
      <c r="V10" s="235"/>
      <c r="W10" s="235"/>
      <c r="X10" s="235"/>
    </row>
    <row r="12" ht="15.0" customHeight="1">
      <c r="A12" s="122" t="s">
        <v>185</v>
      </c>
      <c r="H12" s="122">
        <f>SUM(H10:H11)</f>
        <v>0</v>
      </c>
    </row>
    <row r="14" ht="15.0" customHeight="1">
      <c r="A14" s="123" t="s">
        <v>1169</v>
      </c>
      <c r="B14" s="103"/>
      <c r="C14" s="103"/>
      <c r="D14" s="103"/>
      <c r="E14" s="103"/>
      <c r="F14" s="103"/>
      <c r="G14" s="103"/>
      <c r="H14"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4:H14"/>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104"/>
      <c r="B1" s="104"/>
      <c r="C1" s="61"/>
      <c r="D1" s="1"/>
      <c r="E1" s="1"/>
      <c r="F1" s="1"/>
      <c r="G1" s="1"/>
      <c r="H1" s="1"/>
      <c r="I1" s="1"/>
    </row>
    <row r="2" ht="28.5" customHeight="1">
      <c r="A2" s="237" t="s">
        <v>5179</v>
      </c>
      <c r="B2" s="64"/>
      <c r="C2" s="64"/>
      <c r="D2" s="64"/>
      <c r="E2" s="64"/>
      <c r="F2" s="64"/>
      <c r="G2" s="64"/>
      <c r="H2" s="64"/>
      <c r="I2" s="64"/>
    </row>
    <row r="3">
      <c r="A3" s="145"/>
      <c r="B3" s="145"/>
      <c r="C3" s="145"/>
      <c r="D3" s="145"/>
      <c r="E3" s="145"/>
      <c r="F3" s="145"/>
      <c r="G3" s="145"/>
      <c r="H3" s="145"/>
      <c r="I3" s="145"/>
    </row>
    <row r="4" ht="16.5" customHeight="1">
      <c r="A4" s="238" t="s">
        <v>5169</v>
      </c>
      <c r="B4" s="64"/>
      <c r="C4" s="64"/>
      <c r="D4" s="64"/>
      <c r="E4" s="64"/>
      <c r="F4" s="64"/>
      <c r="G4" s="64"/>
      <c r="H4" s="64"/>
      <c r="I4" s="64"/>
    </row>
    <row r="5">
      <c r="A5" s="67" t="s">
        <v>5180</v>
      </c>
      <c r="B5" s="64"/>
      <c r="C5" s="64"/>
      <c r="D5" s="64"/>
      <c r="E5" s="64"/>
      <c r="F5" s="64"/>
      <c r="G5" s="64"/>
      <c r="H5" s="64"/>
      <c r="I5" s="64"/>
    </row>
    <row r="6" ht="19.5" customHeight="1">
      <c r="A6" s="67" t="s">
        <v>5181</v>
      </c>
      <c r="B6" s="64"/>
      <c r="C6" s="64"/>
      <c r="D6" s="64"/>
      <c r="E6" s="64"/>
      <c r="F6" s="64"/>
      <c r="G6" s="64"/>
      <c r="H6" s="64"/>
      <c r="I6" s="64"/>
    </row>
    <row r="7">
      <c r="A7" s="239" t="s">
        <v>5182</v>
      </c>
      <c r="B7" s="64"/>
      <c r="C7" s="64"/>
      <c r="D7" s="64"/>
      <c r="E7" s="64"/>
      <c r="F7" s="64"/>
      <c r="G7" s="64"/>
      <c r="H7" s="64"/>
      <c r="I7" s="64"/>
      <c r="K7" s="240"/>
    </row>
    <row r="8">
      <c r="A8" s="239" t="s">
        <v>5183</v>
      </c>
      <c r="B8" s="64"/>
      <c r="C8" s="64"/>
      <c r="D8" s="64"/>
      <c r="E8" s="64"/>
      <c r="F8" s="64"/>
      <c r="G8" s="64"/>
      <c r="H8" s="64"/>
      <c r="I8" s="64"/>
      <c r="K8" s="240"/>
    </row>
    <row r="9">
      <c r="A9" s="239" t="s">
        <v>5184</v>
      </c>
      <c r="B9" s="64"/>
      <c r="C9" s="64"/>
      <c r="D9" s="64"/>
      <c r="E9" s="64"/>
      <c r="F9" s="64"/>
      <c r="G9" s="64"/>
      <c r="H9" s="64"/>
      <c r="I9" s="64"/>
      <c r="K9" s="240"/>
    </row>
    <row r="10">
      <c r="A10" s="239" t="s">
        <v>5185</v>
      </c>
      <c r="B10" s="64"/>
      <c r="C10" s="64"/>
      <c r="D10" s="64"/>
      <c r="E10" s="64"/>
      <c r="F10" s="64"/>
      <c r="G10" s="64"/>
      <c r="H10" s="64"/>
      <c r="I10" s="64"/>
      <c r="K10" s="240"/>
    </row>
    <row r="11">
      <c r="A11" s="238" t="s">
        <v>5186</v>
      </c>
      <c r="B11" s="64"/>
      <c r="C11" s="64"/>
      <c r="D11" s="64"/>
      <c r="E11" s="64"/>
      <c r="F11" s="64"/>
      <c r="G11" s="64"/>
      <c r="H11" s="64"/>
      <c r="I11" s="64"/>
      <c r="K11" s="240"/>
    </row>
    <row r="12" ht="91.5" customHeight="1">
      <c r="A12" s="67" t="s">
        <v>5187</v>
      </c>
      <c r="B12" s="64"/>
      <c r="C12" s="64"/>
      <c r="D12" s="64"/>
      <c r="E12" s="64"/>
      <c r="F12" s="64"/>
      <c r="G12" s="64"/>
      <c r="H12" s="64"/>
      <c r="I12" s="64"/>
      <c r="K12" s="240"/>
    </row>
    <row r="13">
      <c r="A13" s="109"/>
      <c r="B13" s="109"/>
      <c r="C13" s="110"/>
      <c r="D13" s="109"/>
      <c r="E13" s="109"/>
      <c r="F13" s="109"/>
      <c r="G13" s="109"/>
      <c r="H13" s="109"/>
      <c r="I13" s="109"/>
      <c r="M13" s="3"/>
    </row>
    <row r="14" ht="39.0" customHeight="1">
      <c r="A14" s="217" t="s">
        <v>5174</v>
      </c>
      <c r="B14" s="217" t="s">
        <v>8</v>
      </c>
      <c r="C14" s="217" t="s">
        <v>5175</v>
      </c>
      <c r="D14" s="217" t="s">
        <v>5176</v>
      </c>
      <c r="E14" s="217" t="s">
        <v>5177</v>
      </c>
      <c r="F14" s="217" t="s">
        <v>5178</v>
      </c>
      <c r="G14" s="111" t="s">
        <v>5188</v>
      </c>
      <c r="H14" s="111" t="s">
        <v>217</v>
      </c>
      <c r="I14" s="111" t="s">
        <v>5189</v>
      </c>
      <c r="J14" s="113" t="s">
        <v>222</v>
      </c>
      <c r="K14" s="240"/>
    </row>
    <row r="16" ht="15.0" customHeight="1">
      <c r="A16" s="122" t="s">
        <v>185</v>
      </c>
      <c r="I16" s="122">
        <f>SUM(I14:I15)</f>
        <v>0</v>
      </c>
    </row>
    <row r="18" ht="15.0" customHeight="1">
      <c r="A18" s="123" t="s">
        <v>1169</v>
      </c>
      <c r="B18" s="103"/>
      <c r="C18" s="103"/>
      <c r="D18" s="103"/>
      <c r="E18" s="103"/>
      <c r="F18" s="103"/>
      <c r="G18" s="103"/>
      <c r="H18" s="103"/>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18:H18"/>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